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04. Transferências\Jeferson\HOSPITAL REFORMA FACHADA\"/>
    </mc:Choice>
  </mc:AlternateContent>
  <bookViews>
    <workbookView xWindow="0" yWindow="0" windowWidth="28800" windowHeight="13125" activeTab="4"/>
  </bookViews>
  <sheets>
    <sheet name="Dados" sheetId="2" r:id="rId1"/>
    <sheet name="BDI" sheetId="3" r:id="rId2"/>
    <sheet name="Orçamentária-CDHU" sheetId="1" r:id="rId3"/>
    <sheet name="Composição 1" sheetId="5" r:id="rId4"/>
    <sheet name="Cronograma Físico-Financeiro" sheetId="6" r:id="rId5"/>
  </sheets>
  <definedNames>
    <definedName name="_xlnm.Print_Titles" localSheetId="3">'Composição 1'!$1:$9</definedName>
    <definedName name="_xlnm.Print_Titles" localSheetId="4">'Cronograma Físico-Financeiro'!$1:$9</definedName>
    <definedName name="_xlnm.Print_Titles" localSheetId="2">'Orçamentária-CDHU'!$1:$9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9" i="6" l="1"/>
  <c r="N139" i="6"/>
  <c r="M139" i="6"/>
  <c r="L139" i="6"/>
  <c r="K139" i="6"/>
  <c r="J139" i="6"/>
  <c r="B153" i="6"/>
  <c r="B152" i="6"/>
  <c r="B151" i="6"/>
  <c r="I142" i="6"/>
  <c r="I118" i="6" s="1"/>
  <c r="H137" i="6"/>
  <c r="H136" i="6"/>
  <c r="F135" i="6"/>
  <c r="I135" i="6" s="1"/>
  <c r="I134" i="6"/>
  <c r="H134" i="6"/>
  <c r="I133" i="6"/>
  <c r="H133" i="6"/>
  <c r="H131" i="6"/>
  <c r="H130" i="6"/>
  <c r="H129" i="6"/>
  <c r="I126" i="6"/>
  <c r="H126" i="6"/>
  <c r="I125" i="6"/>
  <c r="H125" i="6"/>
  <c r="I124" i="6"/>
  <c r="H124" i="6"/>
  <c r="H123" i="6"/>
  <c r="F122" i="6"/>
  <c r="I122" i="6" s="1"/>
  <c r="I119" i="6"/>
  <c r="H119" i="6"/>
  <c r="H118" i="6"/>
  <c r="I117" i="6"/>
  <c r="H117" i="6"/>
  <c r="H116" i="6"/>
  <c r="F115" i="6"/>
  <c r="I115" i="6" s="1"/>
  <c r="I114" i="6"/>
  <c r="H114" i="6"/>
  <c r="I113" i="6"/>
  <c r="H113" i="6"/>
  <c r="I112" i="6"/>
  <c r="H112" i="6"/>
  <c r="F112" i="6"/>
  <c r="H111" i="6"/>
  <c r="H110" i="6"/>
  <c r="I109" i="6"/>
  <c r="H109" i="6"/>
  <c r="H106" i="6"/>
  <c r="I105" i="6"/>
  <c r="H105" i="6"/>
  <c r="H104" i="6"/>
  <c r="H103" i="6"/>
  <c r="I102" i="6"/>
  <c r="H102" i="6"/>
  <c r="I101" i="6"/>
  <c r="H101" i="6"/>
  <c r="H100" i="6"/>
  <c r="I99" i="6"/>
  <c r="H99" i="6"/>
  <c r="H98" i="6"/>
  <c r="H97" i="6"/>
  <c r="I96" i="6"/>
  <c r="H96" i="6"/>
  <c r="I95" i="6"/>
  <c r="H95" i="6"/>
  <c r="H107" i="6" s="1"/>
  <c r="H94" i="6"/>
  <c r="G91" i="6"/>
  <c r="F91" i="6"/>
  <c r="I91" i="6" s="1"/>
  <c r="I90" i="6"/>
  <c r="H90" i="6"/>
  <c r="I89" i="6"/>
  <c r="H89" i="6"/>
  <c r="H88" i="6"/>
  <c r="I87" i="6"/>
  <c r="H87" i="6"/>
  <c r="H86" i="6"/>
  <c r="H85" i="6"/>
  <c r="I84" i="6"/>
  <c r="H84" i="6"/>
  <c r="I83" i="6"/>
  <c r="H83" i="6"/>
  <c r="H82" i="6"/>
  <c r="I81" i="6"/>
  <c r="H81" i="6"/>
  <c r="H80" i="6"/>
  <c r="H79" i="6"/>
  <c r="I78" i="6"/>
  <c r="H78" i="6"/>
  <c r="I77" i="6"/>
  <c r="H77" i="6"/>
  <c r="H76" i="6"/>
  <c r="I75" i="6"/>
  <c r="H75" i="6"/>
  <c r="H74" i="6"/>
  <c r="H73" i="6"/>
  <c r="I72" i="6"/>
  <c r="H72" i="6"/>
  <c r="I71" i="6"/>
  <c r="H71" i="6"/>
  <c r="H70" i="6"/>
  <c r="I69" i="6"/>
  <c r="H69" i="6"/>
  <c r="H68" i="6"/>
  <c r="H92" i="6" s="1"/>
  <c r="I65" i="6"/>
  <c r="H65" i="6"/>
  <c r="I64" i="6"/>
  <c r="H64" i="6"/>
  <c r="H63" i="6"/>
  <c r="I62" i="6"/>
  <c r="H62" i="6"/>
  <c r="H61" i="6"/>
  <c r="H60" i="6"/>
  <c r="I59" i="6"/>
  <c r="H59" i="6"/>
  <c r="I58" i="6"/>
  <c r="H58" i="6"/>
  <c r="H57" i="6"/>
  <c r="I56" i="6"/>
  <c r="H56" i="6"/>
  <c r="H55" i="6"/>
  <c r="F54" i="6"/>
  <c r="I54" i="6" s="1"/>
  <c r="I53" i="6"/>
  <c r="H53" i="6"/>
  <c r="I52" i="6"/>
  <c r="H52" i="6"/>
  <c r="F49" i="6"/>
  <c r="I49" i="6" s="1"/>
  <c r="I48" i="6"/>
  <c r="H48" i="6"/>
  <c r="I47" i="6"/>
  <c r="H47" i="6"/>
  <c r="I46" i="6"/>
  <c r="H46" i="6"/>
  <c r="I45" i="6"/>
  <c r="H45" i="6"/>
  <c r="I44" i="6"/>
  <c r="H44" i="6"/>
  <c r="H43" i="6"/>
  <c r="I42" i="6"/>
  <c r="H42" i="6"/>
  <c r="I41" i="6"/>
  <c r="H41" i="6"/>
  <c r="I40" i="6"/>
  <c r="H40" i="6"/>
  <c r="I39" i="6"/>
  <c r="H39" i="6"/>
  <c r="I38" i="6"/>
  <c r="H38" i="6"/>
  <c r="H37" i="6"/>
  <c r="I36" i="6"/>
  <c r="H36" i="6"/>
  <c r="I35" i="6"/>
  <c r="H35" i="6"/>
  <c r="I34" i="6"/>
  <c r="H34" i="6"/>
  <c r="I33" i="6"/>
  <c r="H33" i="6"/>
  <c r="I32" i="6"/>
  <c r="H32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I30" i="6" s="1"/>
  <c r="H18" i="6"/>
  <c r="H30" i="6" s="1"/>
  <c r="I15" i="6"/>
  <c r="H15" i="6"/>
  <c r="I14" i="6"/>
  <c r="H14" i="6"/>
  <c r="I13" i="6"/>
  <c r="H13" i="6"/>
  <c r="H16" i="6" s="1"/>
  <c r="I12" i="6"/>
  <c r="I16" i="6" s="1"/>
  <c r="H12" i="6"/>
  <c r="A7" i="6"/>
  <c r="A6" i="6"/>
  <c r="A5" i="6"/>
  <c r="A4" i="6"/>
  <c r="A3" i="6"/>
  <c r="H50" i="6" l="1"/>
  <c r="H54" i="6"/>
  <c r="H66" i="6" s="1"/>
  <c r="H115" i="6"/>
  <c r="H120" i="6" s="1"/>
  <c r="H135" i="6"/>
  <c r="H138" i="6" s="1"/>
  <c r="I60" i="6"/>
  <c r="I73" i="6"/>
  <c r="I79" i="6"/>
  <c r="I85" i="6"/>
  <c r="I97" i="6"/>
  <c r="I103" i="6"/>
  <c r="I110" i="6"/>
  <c r="H122" i="6"/>
  <c r="H127" i="6" s="1"/>
  <c r="H91" i="6"/>
  <c r="I129" i="6"/>
  <c r="I131" i="6" s="1"/>
  <c r="I37" i="6"/>
  <c r="I50" i="6" s="1"/>
  <c r="I43" i="6"/>
  <c r="H49" i="6"/>
  <c r="I55" i="6"/>
  <c r="I66" i="6" s="1"/>
  <c r="I61" i="6"/>
  <c r="I68" i="6"/>
  <c r="I74" i="6"/>
  <c r="I80" i="6"/>
  <c r="I86" i="6"/>
  <c r="I98" i="6"/>
  <c r="I104" i="6"/>
  <c r="I111" i="6"/>
  <c r="I120" i="6" s="1"/>
  <c r="I116" i="6"/>
  <c r="I136" i="6"/>
  <c r="I138" i="6" s="1"/>
  <c r="I123" i="6"/>
  <c r="I127" i="6" s="1"/>
  <c r="I130" i="6"/>
  <c r="I137" i="6"/>
  <c r="I57" i="6"/>
  <c r="I63" i="6"/>
  <c r="I70" i="6"/>
  <c r="I76" i="6"/>
  <c r="I82" i="6"/>
  <c r="I88" i="6"/>
  <c r="I94" i="6"/>
  <c r="I100" i="6"/>
  <c r="I106" i="6"/>
  <c r="F91" i="1"/>
  <c r="I91" i="1" s="1"/>
  <c r="G91" i="1"/>
  <c r="H17" i="5"/>
  <c r="H16" i="5"/>
  <c r="H139" i="6" l="1"/>
  <c r="I141" i="6" s="1"/>
  <c r="I107" i="6"/>
  <c r="I92" i="6"/>
  <c r="I139" i="6" s="1"/>
  <c r="H91" i="1"/>
  <c r="F135" i="1"/>
  <c r="H136" i="1"/>
  <c r="H134" i="1"/>
  <c r="H135" i="1"/>
  <c r="H137" i="1"/>
  <c r="H133" i="1"/>
  <c r="I143" i="6" l="1"/>
  <c r="I144" i="6" s="1"/>
  <c r="H138" i="1"/>
  <c r="H139" i="1" s="1"/>
  <c r="H110" i="1"/>
  <c r="H77" i="1"/>
  <c r="H75" i="1"/>
  <c r="I147" i="6" l="1"/>
  <c r="I148" i="6" s="1"/>
  <c r="I146" i="6"/>
  <c r="H129" i="1"/>
  <c r="H131" i="1" s="1"/>
  <c r="H130" i="1"/>
  <c r="H124" i="1"/>
  <c r="H104" i="1" l="1"/>
  <c r="H39" i="1"/>
  <c r="H40" i="1"/>
  <c r="H41" i="1"/>
  <c r="H42" i="1"/>
  <c r="H26" i="1"/>
  <c r="H23" i="1"/>
  <c r="H24" i="1"/>
  <c r="H25" i="1"/>
  <c r="H27" i="1"/>
  <c r="H113" i="1"/>
  <c r="F112" i="1"/>
  <c r="H116" i="1"/>
  <c r="F115" i="1"/>
  <c r="H115" i="1" s="1"/>
  <c r="H114" i="1"/>
  <c r="H118" i="1"/>
  <c r="H125" i="1"/>
  <c r="F122" i="1"/>
  <c r="H122" i="1" s="1"/>
  <c r="H109" i="1"/>
  <c r="H111" i="1"/>
  <c r="H117" i="1"/>
  <c r="H119" i="1"/>
  <c r="H123" i="1"/>
  <c r="H126" i="1"/>
  <c r="H78" i="1"/>
  <c r="H80" i="1"/>
  <c r="H76" i="1"/>
  <c r="H84" i="1"/>
  <c r="H95" i="1"/>
  <c r="H94" i="1"/>
  <c r="H96" i="1"/>
  <c r="H97" i="1"/>
  <c r="H98" i="1"/>
  <c r="H99" i="1"/>
  <c r="H100" i="1"/>
  <c r="H101" i="1"/>
  <c r="H102" i="1"/>
  <c r="H127" i="1" l="1"/>
  <c r="H112" i="1"/>
  <c r="H120" i="1" s="1"/>
  <c r="H103" i="1"/>
  <c r="H105" i="1"/>
  <c r="H106" i="1"/>
  <c r="H74" i="1"/>
  <c r="H79" i="1"/>
  <c r="H81" i="1"/>
  <c r="H82" i="1"/>
  <c r="H73" i="1"/>
  <c r="H72" i="1"/>
  <c r="H88" i="1"/>
  <c r="H86" i="1"/>
  <c r="H71" i="1"/>
  <c r="H83" i="1"/>
  <c r="H85" i="1"/>
  <c r="H87" i="1"/>
  <c r="H70" i="1"/>
  <c r="H65" i="1"/>
  <c r="H62" i="1"/>
  <c r="H63" i="1"/>
  <c r="H64" i="1"/>
  <c r="H61" i="1"/>
  <c r="F54" i="1"/>
  <c r="H54" i="1" s="1"/>
  <c r="H47" i="1"/>
  <c r="H46" i="1"/>
  <c r="H45" i="1"/>
  <c r="H34" i="1"/>
  <c r="H53" i="1"/>
  <c r="H55" i="1"/>
  <c r="H56" i="1"/>
  <c r="H57" i="1"/>
  <c r="H58" i="1"/>
  <c r="H59" i="1"/>
  <c r="H52" i="1"/>
  <c r="F49" i="1"/>
  <c r="H49" i="1" s="1"/>
  <c r="H48" i="1"/>
  <c r="H37" i="1"/>
  <c r="H36" i="1"/>
  <c r="H44" i="1"/>
  <c r="H35" i="1"/>
  <c r="H22" i="1"/>
  <c r="H68" i="1"/>
  <c r="H69" i="1"/>
  <c r="H89" i="1"/>
  <c r="H21" i="1"/>
  <c r="H28" i="1"/>
  <c r="H29" i="1"/>
  <c r="H32" i="1"/>
  <c r="H38" i="1"/>
  <c r="H43" i="1"/>
  <c r="H60" i="1"/>
  <c r="H90" i="1"/>
  <c r="H15" i="1"/>
  <c r="H18" i="1"/>
  <c r="H19" i="1"/>
  <c r="H20" i="1"/>
  <c r="H107" i="1" l="1"/>
  <c r="H92" i="1"/>
  <c r="H66" i="1"/>
  <c r="H33" i="1"/>
  <c r="H50" i="1" s="1"/>
  <c r="H30" i="1"/>
  <c r="B25" i="5"/>
  <c r="B24" i="5"/>
  <c r="B23" i="5"/>
  <c r="H15" i="5"/>
  <c r="H14" i="5"/>
  <c r="H13" i="5"/>
  <c r="H12" i="5"/>
  <c r="A7" i="5"/>
  <c r="A6" i="5"/>
  <c r="A5" i="5"/>
  <c r="A4" i="5"/>
  <c r="A3" i="5"/>
  <c r="B153" i="1"/>
  <c r="B152" i="1"/>
  <c r="B151" i="1"/>
  <c r="A7" i="1"/>
  <c r="A6" i="1"/>
  <c r="A5" i="1"/>
  <c r="A4" i="1"/>
  <c r="A3" i="1"/>
  <c r="B54" i="3"/>
  <c r="B53" i="3"/>
  <c r="B52" i="3"/>
  <c r="A7" i="3"/>
  <c r="A6" i="3"/>
  <c r="A5" i="3"/>
  <c r="A4" i="3"/>
  <c r="A3" i="3"/>
  <c r="A31" i="3"/>
  <c r="J25" i="3"/>
  <c r="I25" i="3"/>
  <c r="H25" i="3"/>
  <c r="J24" i="3"/>
  <c r="I24" i="3"/>
  <c r="H24" i="3"/>
  <c r="F24" i="3"/>
  <c r="J23" i="3"/>
  <c r="I23" i="3"/>
  <c r="H23" i="3"/>
  <c r="F23" i="3"/>
  <c r="F25" i="3" s="1"/>
  <c r="J22" i="3"/>
  <c r="I22" i="3"/>
  <c r="H22" i="3"/>
  <c r="J21" i="3"/>
  <c r="I21" i="3"/>
  <c r="H21" i="3"/>
  <c r="J20" i="3"/>
  <c r="I20" i="3"/>
  <c r="H20" i="3"/>
  <c r="J19" i="3"/>
  <c r="I19" i="3"/>
  <c r="H19" i="3"/>
  <c r="G19" i="3" s="1"/>
  <c r="J18" i="3"/>
  <c r="I18" i="3"/>
  <c r="H18" i="3"/>
  <c r="J17" i="3"/>
  <c r="I17" i="3"/>
  <c r="H17" i="3"/>
  <c r="H18" i="5" l="1"/>
  <c r="H19" i="5" s="1"/>
  <c r="G22" i="3"/>
  <c r="F26" i="3"/>
  <c r="G24" i="3"/>
  <c r="G25" i="3"/>
  <c r="G18" i="3"/>
  <c r="G20" i="3"/>
  <c r="G17" i="3"/>
  <c r="G26" i="3" s="1"/>
  <c r="G21" i="3"/>
  <c r="G23" i="3"/>
  <c r="I142" i="1" l="1"/>
  <c r="I136" i="1" s="1"/>
  <c r="H12" i="1"/>
  <c r="I134" i="1" l="1"/>
  <c r="I135" i="1"/>
  <c r="I137" i="1"/>
  <c r="I110" i="1"/>
  <c r="I133" i="1"/>
  <c r="I75" i="1"/>
  <c r="I77" i="1"/>
  <c r="I124" i="1"/>
  <c r="I130" i="1"/>
  <c r="I129" i="1"/>
  <c r="I131" i="1" s="1"/>
  <c r="I26" i="1"/>
  <c r="I39" i="1"/>
  <c r="I40" i="1"/>
  <c r="I41" i="1"/>
  <c r="I42" i="1"/>
  <c r="I24" i="1"/>
  <c r="I23" i="1"/>
  <c r="I25" i="1"/>
  <c r="I27" i="1"/>
  <c r="I113" i="1"/>
  <c r="I112" i="1"/>
  <c r="I114" i="1"/>
  <c r="I115" i="1"/>
  <c r="I116" i="1"/>
  <c r="I118" i="1"/>
  <c r="I126" i="1"/>
  <c r="I122" i="1"/>
  <c r="I111" i="1"/>
  <c r="I123" i="1"/>
  <c r="I106" i="1"/>
  <c r="I125" i="1"/>
  <c r="I109" i="1"/>
  <c r="I119" i="1"/>
  <c r="I117" i="1"/>
  <c r="I80" i="1"/>
  <c r="I78" i="1"/>
  <c r="I84" i="1"/>
  <c r="I76" i="1"/>
  <c r="I94" i="1"/>
  <c r="I95" i="1"/>
  <c r="I99" i="1"/>
  <c r="I101" i="1"/>
  <c r="I100" i="1"/>
  <c r="I102" i="1"/>
  <c r="I96" i="1"/>
  <c r="I97" i="1"/>
  <c r="I98" i="1"/>
  <c r="I103" i="1"/>
  <c r="I104" i="1"/>
  <c r="I105" i="1"/>
  <c r="I72" i="1"/>
  <c r="I74" i="1"/>
  <c r="I73" i="1"/>
  <c r="I79" i="1"/>
  <c r="I81" i="1"/>
  <c r="I82" i="1"/>
  <c r="I86" i="1"/>
  <c r="I88" i="1"/>
  <c r="I65" i="1"/>
  <c r="I83" i="1"/>
  <c r="I85" i="1"/>
  <c r="I87" i="1"/>
  <c r="I89" i="1"/>
  <c r="I71" i="1"/>
  <c r="I62" i="1"/>
  <c r="I63" i="1"/>
  <c r="I61" i="1"/>
  <c r="I64" i="1"/>
  <c r="I46" i="1"/>
  <c r="I47" i="1"/>
  <c r="I34" i="1"/>
  <c r="I45" i="1"/>
  <c r="I53" i="1"/>
  <c r="I54" i="1"/>
  <c r="I55" i="1"/>
  <c r="I56" i="1"/>
  <c r="I58" i="1"/>
  <c r="I57" i="1"/>
  <c r="I59" i="1"/>
  <c r="I36" i="1"/>
  <c r="I49" i="1"/>
  <c r="I52" i="1"/>
  <c r="I37" i="1"/>
  <c r="I48" i="1"/>
  <c r="I22" i="1"/>
  <c r="I33" i="1"/>
  <c r="I44" i="1"/>
  <c r="I35" i="1"/>
  <c r="I68" i="1"/>
  <c r="I69" i="1"/>
  <c r="I70" i="1"/>
  <c r="I21" i="1"/>
  <c r="I38" i="1"/>
  <c r="I28" i="1"/>
  <c r="I32" i="1"/>
  <c r="I43" i="1"/>
  <c r="I60" i="1"/>
  <c r="I29" i="1"/>
  <c r="I19" i="1"/>
  <c r="I15" i="1"/>
  <c r="I18" i="1"/>
  <c r="I20" i="1"/>
  <c r="I12" i="1"/>
  <c r="I13" i="1"/>
  <c r="I14" i="1"/>
  <c r="I90" i="1"/>
  <c r="H13" i="1"/>
  <c r="H14" i="1"/>
  <c r="I138" i="1" l="1"/>
  <c r="I127" i="1"/>
  <c r="I120" i="1"/>
  <c r="I107" i="1"/>
  <c r="I92" i="1"/>
  <c r="I66" i="1"/>
  <c r="I50" i="1"/>
  <c r="I30" i="1"/>
  <c r="H16" i="1"/>
  <c r="I16" i="1"/>
  <c r="I139" i="1" l="1"/>
  <c r="I141" i="1"/>
  <c r="I143" i="1" s="1"/>
  <c r="I144" i="1" l="1"/>
  <c r="I146" i="1" l="1"/>
  <c r="I147" i="1"/>
  <c r="I148" i="1" s="1"/>
</calcChain>
</file>

<file path=xl/comments1.xml><?xml version="1.0" encoding="utf-8"?>
<comments xmlns="http://schemas.openxmlformats.org/spreadsheetml/2006/main">
  <authors>
    <author>Dell</author>
  </authors>
  <commentList>
    <comment ref="B14" authorId="0" shapeId="0">
      <text>
        <r>
          <rPr>
            <b/>
            <sz val="9"/>
            <color indexed="81"/>
            <rFont val="Segoe UI"/>
            <family val="2"/>
          </rPr>
          <t>Dell:</t>
        </r>
        <r>
          <rPr>
            <sz val="9"/>
            <color indexed="81"/>
            <rFont val="Segoe UI"/>
            <family val="2"/>
          </rPr>
          <t xml:space="preserve">
Preencher nesta coluna as informações</t>
        </r>
      </text>
    </comment>
  </commentList>
</comments>
</file>

<file path=xl/sharedStrings.xml><?xml version="1.0" encoding="utf-8"?>
<sst xmlns="http://schemas.openxmlformats.org/spreadsheetml/2006/main" count="1823" uniqueCount="378">
  <si>
    <t>Fornecimento de Materiais e Equipamentos</t>
  </si>
  <si>
    <t>Coluna1</t>
  </si>
  <si>
    <t>Sem aplicação de BDI</t>
  </si>
  <si>
    <t>Construção de Praças Urbanas, Rodovias, Ferrovias e Recapeamento e Pavimentação de Vias Urbanas</t>
  </si>
  <si>
    <t>PREFEITURA MUNICIPAL DA ESTÂNCIA TURÍSTICA DE IBIÚNA</t>
  </si>
  <si>
    <t>Nome:</t>
  </si>
  <si>
    <t>Título:</t>
  </si>
  <si>
    <t>CREA/CAU:</t>
  </si>
  <si>
    <t>PLANILHA ORÇAMENTÁRIA</t>
  </si>
  <si>
    <t>Item</t>
  </si>
  <si>
    <t>Fonte</t>
  </si>
  <si>
    <t>Código</t>
  </si>
  <si>
    <t>Descrição dos Serviços</t>
  </si>
  <si>
    <t>Unidade</t>
  </si>
  <si>
    <t>Quantidade</t>
  </si>
  <si>
    <t>Preço Unitário (Sem BDI)</t>
  </si>
  <si>
    <t>Preço Total (Sem BDI)</t>
  </si>
  <si>
    <t>Preço Total (Com BDI)</t>
  </si>
  <si>
    <t>TOTAL SEM BDI</t>
  </si>
  <si>
    <t>BDI (%)</t>
  </si>
  <si>
    <t>VALOR DO BDI</t>
  </si>
  <si>
    <t>TOTAL GERAL</t>
  </si>
  <si>
    <t>1.1</t>
  </si>
  <si>
    <t>MACROSSERVIÇO</t>
  </si>
  <si>
    <t>ETAPA</t>
  </si>
  <si>
    <t>SUBTOTAL</t>
  </si>
  <si>
    <t>TOTAL</t>
  </si>
  <si>
    <t>VALOR DE RECURSO</t>
  </si>
  <si>
    <t>VALOR DE CONTRAPARTIDA</t>
  </si>
  <si>
    <t>PERCENTUAL DE RECURSO</t>
  </si>
  <si>
    <t>PERCENTUAL DE CONTRAPARTIDA</t>
  </si>
  <si>
    <t>CDHU</t>
  </si>
  <si>
    <t>DADOS DA OBRA</t>
  </si>
  <si>
    <t>RECURSOS FINANCEIROS</t>
  </si>
  <si>
    <t>Valor de recurso convenial disponibilizado</t>
  </si>
  <si>
    <t>DADOS DO PROFISSIONAL</t>
  </si>
  <si>
    <t>COMPOSIÇÃO DEMONSTRATIVA DE BDI</t>
  </si>
  <si>
    <t>TIPO DE OBRA DO EMPREENDIMENTO</t>
  </si>
  <si>
    <t>DESONERAÇÃO</t>
  </si>
  <si>
    <t>Construção e Reforma de Edifícios</t>
  </si>
  <si>
    <t>Sim</t>
  </si>
  <si>
    <t>Percentual para base de cálculo do ISS</t>
  </si>
  <si>
    <t>Não</t>
  </si>
  <si>
    <t>Alíquota de ISS</t>
  </si>
  <si>
    <t>Itens</t>
  </si>
  <si>
    <t>Siglas</t>
  </si>
  <si>
    <t>% Adotado</t>
  </si>
  <si>
    <t>Situação</t>
  </si>
  <si>
    <t>Intervalo de admissibilidade</t>
  </si>
  <si>
    <t>1º Quartil</t>
  </si>
  <si>
    <t>Médio</t>
  </si>
  <si>
    <t>3º Quartil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</si>
  <si>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</si>
  <si>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</si>
  <si>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</si>
  <si>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</si>
  <si>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</si>
  <si>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</si>
  <si>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</si>
  <si>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</si>
  <si>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</si>
  <si>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</si>
  <si>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</si>
  <si>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</si>
  <si>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</si>
  <si>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</si>
  <si>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- 0% ou 4,5%, conforme Lei 12.844/2013 - Desoneração)</t>
  </si>
  <si>
    <t>CPRB</t>
  </si>
  <si>
    <t>BDI SEM desoneração</t>
  </si>
  <si>
    <t>BDI PAD</t>
  </si>
  <si>
    <t>BDI COM DESONERAÇÃO</t>
  </si>
  <si>
    <t>BDI DES</t>
  </si>
  <si>
    <t>Observações:</t>
  </si>
  <si>
    <t>Obras de Educação</t>
  </si>
  <si>
    <t>PLANILHA DE COMPOSIÇÕES</t>
  </si>
  <si>
    <t>M</t>
  </si>
  <si>
    <t>M2</t>
  </si>
  <si>
    <t>H</t>
  </si>
  <si>
    <t>KG</t>
  </si>
  <si>
    <t>TXKM</t>
  </si>
  <si>
    <t>CJ</t>
  </si>
  <si>
    <t>02.03.120</t>
  </si>
  <si>
    <t>Tapume fixo para fechamento de áreas, com portão</t>
  </si>
  <si>
    <t>02.05.060</t>
  </si>
  <si>
    <t>Montagem e desmontagem de andaime torre metálica com altura até 10 m</t>
  </si>
  <si>
    <t>02.05.202</t>
  </si>
  <si>
    <t>Andaime torre metálico (1,5 x 1,5 m) com piso metálico</t>
  </si>
  <si>
    <t>MXMES</t>
  </si>
  <si>
    <t>02.08.020</t>
  </si>
  <si>
    <t>Placa de identificação para obra</t>
  </si>
  <si>
    <t>03.01.020</t>
  </si>
  <si>
    <t>Demolição manual de concreto simples</t>
  </si>
  <si>
    <t>03.01.040</t>
  </si>
  <si>
    <t>Demolição manual de concreto armado</t>
  </si>
  <si>
    <t>03.03.060</t>
  </si>
  <si>
    <t>Demolição manual de revestimento em massa de piso</t>
  </si>
  <si>
    <t>03.04.020</t>
  </si>
  <si>
    <t>Demolição manual de revestimento cerâmico, incluindo a base</t>
  </si>
  <si>
    <t>03.08.060</t>
  </si>
  <si>
    <t>Demolição manual de forro em gesso, inclusive sistema de fixação</t>
  </si>
  <si>
    <t>04.03.040</t>
  </si>
  <si>
    <t>Retirada de telhamento perfil e material qualquer, exceto barro</t>
  </si>
  <si>
    <t>04.08.020</t>
  </si>
  <si>
    <t>Retirada de folha de esquadria em madeira</t>
  </si>
  <si>
    <t>04.08.060</t>
  </si>
  <si>
    <t>04.09.020</t>
  </si>
  <si>
    <t>Retirada de esquadria metálica em geral</t>
  </si>
  <si>
    <t>04.09.100</t>
  </si>
  <si>
    <t>Retirada de guarda-corpo ou gradil em geral</t>
  </si>
  <si>
    <t>04.11.020</t>
  </si>
  <si>
    <t>Retirada de aparelho sanitário incluindo acessórios</t>
  </si>
  <si>
    <t>04.11.080</t>
  </si>
  <si>
    <t>Retirada de registro ou válvula embutidos</t>
  </si>
  <si>
    <t>04.14.040</t>
  </si>
  <si>
    <t>Retirada de esquadria em vidro</t>
  </si>
  <si>
    <t>05.07.040</t>
  </si>
  <si>
    <t>05.07.070</t>
  </si>
  <si>
    <t>Remoção de entulho de obra com caçamba metálica - gesso e/ou drywall</t>
  </si>
  <si>
    <t>10.01.020</t>
  </si>
  <si>
    <t>Armadura em barra de aço CA-25 fyk = 250 MPa</t>
  </si>
  <si>
    <t>10.01.040</t>
  </si>
  <si>
    <t>Armadura em barra de aço CA-50 (A ou B) fyk = 500 MPa</t>
  </si>
  <si>
    <t>11.01.130</t>
  </si>
  <si>
    <t>Concreto usinado, fck = 25 MPa</t>
  </si>
  <si>
    <t>14.04.210</t>
  </si>
  <si>
    <t>Alvenaria de bloco cerâmico de vedação de 14 cm</t>
  </si>
  <si>
    <t>14.28.012</t>
  </si>
  <si>
    <t>Elemento vazado em cerâmica, tipo quadriculado de 18 x 18 x 7 cm</t>
  </si>
  <si>
    <t>15.03.030</t>
  </si>
  <si>
    <t>Fornecimento e montagem de estrutura em aço ASTM-A36, sem pintura</t>
  </si>
  <si>
    <t>16.13.060</t>
  </si>
  <si>
    <t>16.33.022</t>
  </si>
  <si>
    <t>Calha, rufo, afins em chapa galvanizada nº 24 - corte 0,33 m</t>
  </si>
  <si>
    <t>17.02.020</t>
  </si>
  <si>
    <t>Chapisco</t>
  </si>
  <si>
    <t>17.02.120</t>
  </si>
  <si>
    <t>Emboço comum</t>
  </si>
  <si>
    <t>17.02.220</t>
  </si>
  <si>
    <t>Reboco</t>
  </si>
  <si>
    <t>17.03.040</t>
  </si>
  <si>
    <t>Cimentado desempenado e alisado (queimado)</t>
  </si>
  <si>
    <t>17.10.020</t>
  </si>
  <si>
    <t>Piso em granilite moldado no local</t>
  </si>
  <si>
    <t>17.40.010</t>
  </si>
  <si>
    <t>Reparos em piso de granilite - estucamento e polimento</t>
  </si>
  <si>
    <t>17.40.160</t>
  </si>
  <si>
    <t>Resina epóxi para piso de granilite</t>
  </si>
  <si>
    <t>18.11.012</t>
  </si>
  <si>
    <t>Revestimento em placa cerâmica esmaltada de 7,5x7,5 cm, assentado e rejuntado com argamassa industrializada</t>
  </si>
  <si>
    <t>21.03.151</t>
  </si>
  <si>
    <t>22.03.122</t>
  </si>
  <si>
    <t>Forro em fibra mineral NRC 0.85, em placas acústicas removíveis de 625mm x 1250mm</t>
  </si>
  <si>
    <t>22.06.350</t>
  </si>
  <si>
    <t>Brise metálico curvo e móvel termoacústico em chapa lisa de alumínio pré-pintada</t>
  </si>
  <si>
    <t>23.09.050</t>
  </si>
  <si>
    <t>Porta lisa com batente madeira - 90 x 210 cm</t>
  </si>
  <si>
    <t>24.08.020</t>
  </si>
  <si>
    <t>Corrimão duplo em tubo de aço inoxidável escovado, com diâmetro de 1 1/2´ e montantes com diâmetro de 2´</t>
  </si>
  <si>
    <t>25.01.040</t>
  </si>
  <si>
    <t>25.02.010</t>
  </si>
  <si>
    <t>26.02.060</t>
  </si>
  <si>
    <t>Vidro temperado incolor de 10 mm</t>
  </si>
  <si>
    <t>28.20.810</t>
  </si>
  <si>
    <t>Equipamento automatizador telescópico unilateral de portas deslizantes para folha dupla</t>
  </si>
  <si>
    <t>30.01.010</t>
  </si>
  <si>
    <t>Barra de apoio reta, para pessoas com mobilidade reduzida, em tubo de aço inoxidável de 1 1/2´</t>
  </si>
  <si>
    <t>30.01.061</t>
  </si>
  <si>
    <t>Barra de apoio lateral para lavatório, para pessoas com mobilidade reduzida, em tubo de aço inoxidável de 1.1/4", comprimento 25 a 30 cm</t>
  </si>
  <si>
    <t>30.08.040</t>
  </si>
  <si>
    <t>Lavatório de louça para canto sem coluna para pessoas com mobilidade reduzida</t>
  </si>
  <si>
    <t>30.08.060</t>
  </si>
  <si>
    <t>Bacia sifonada de louça para pessoas com mobilidade reduzida - capacidade de 6 litros</t>
  </si>
  <si>
    <t>33.10.030</t>
  </si>
  <si>
    <t>Tinta acrílica antimofo em massa, inclusive preparo</t>
  </si>
  <si>
    <t>33.10.050</t>
  </si>
  <si>
    <t>Tinta acrílica em massa, inclusive preparo</t>
  </si>
  <si>
    <t>33.10.060</t>
  </si>
  <si>
    <t>Epóxi em massa, inclusive preparo</t>
  </si>
  <si>
    <t>33.10.100</t>
  </si>
  <si>
    <t>Textura acrílica para uso interno / externo, inclusive preparo</t>
  </si>
  <si>
    <t>35.04.120</t>
  </si>
  <si>
    <t>Banco em concreto pré-moldado, comprimento 150 cm</t>
  </si>
  <si>
    <t>38.19.030</t>
  </si>
  <si>
    <t>Eletroduto de PVC corrugado flexível leve, diâmetro externo de 25 mm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</si>
  <si>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</si>
  <si>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</si>
  <si>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</si>
  <si>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</si>
  <si>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40.05.080</t>
  </si>
  <si>
    <t>Interruptor com 1 tecla paralelo e placa</t>
  </si>
  <si>
    <t>40.07.010</t>
  </si>
  <si>
    <t>Caixa em PVC de 4´ x 2´</t>
  </si>
  <si>
    <t>41.31.080</t>
  </si>
  <si>
    <t>Luminária LED redonda de embutir com difusor translúcido, 4000 K, fluxo luminoso de 800 a 1060 lm, potência de 9 W a 12 W</t>
  </si>
  <si>
    <t>44.03.050</t>
  </si>
  <si>
    <t>Dispenser papel higiênico em ABS para rolão 300 / 600 m, com visor</t>
  </si>
  <si>
    <t>44.03.130</t>
  </si>
  <si>
    <t>Saboneteira tipo dispenser, para refil de 800 ml</t>
  </si>
  <si>
    <t>44.03.180</t>
  </si>
  <si>
    <t>Dispenser toalheiro em ABS, para folhas</t>
  </si>
  <si>
    <t>44.03.300</t>
  </si>
  <si>
    <t>Torneira clínica com volante tipo alavanca</t>
  </si>
  <si>
    <t>44.20.280</t>
  </si>
  <si>
    <t>Tampa de plástico para bacia sanitária</t>
  </si>
  <si>
    <t>46.05.020</t>
  </si>
  <si>
    <t>46.10.010</t>
  </si>
  <si>
    <t>Tubo de cobre classe A, DN= 15mm (1/2´), inclusive conexões</t>
  </si>
  <si>
    <t>46.10.020</t>
  </si>
  <si>
    <t>Tubo de cobre classe A, DN= 22mm (3/4´), inclusive conexões</t>
  </si>
  <si>
    <t>47.04.050</t>
  </si>
  <si>
    <t>Válvula de descarga antivandalismo, DN= 1 1/2´</t>
  </si>
  <si>
    <t>55.01.020</t>
  </si>
  <si>
    <t>Limpeza final da obra</t>
  </si>
  <si>
    <t>55.01.140</t>
  </si>
  <si>
    <t>SINAPI</t>
  </si>
  <si>
    <t xml:space="preserve">OBJETO:REFORMA DA FACHADA DO HOSPITAL </t>
  </si>
  <si>
    <t>ENDEREÇO: AVENIDA GABRIEL MONTEIRO DA SILVA Nº 888 - CENTRO - IBIÚNA - SP</t>
  </si>
  <si>
    <t>DATA DA ELABORAÇÃO: 14/04/2026</t>
  </si>
  <si>
    <t xml:space="preserve">PRAZO DE EXECUÇÃO: 06 MESES </t>
  </si>
  <si>
    <t>JEFERSON JOSÉ VIEIRA RUIVO</t>
  </si>
  <si>
    <t xml:space="preserve">ENGENHEIRO CIVIL </t>
  </si>
  <si>
    <t>SERVIÇOS PRLIMINARES</t>
  </si>
  <si>
    <t>M²</t>
  </si>
  <si>
    <t>1.2</t>
  </si>
  <si>
    <t>1.3</t>
  </si>
  <si>
    <t>1.4</t>
  </si>
  <si>
    <t>2.1</t>
  </si>
  <si>
    <t>M³</t>
  </si>
  <si>
    <t>Remoção de entulho separado de obra com caçamba metálica - terra,alvenaria, concreto, argamassa, madeira, papel, plástico ou metal</t>
  </si>
  <si>
    <t>2.2</t>
  </si>
  <si>
    <t>2.3</t>
  </si>
  <si>
    <t>2.4</t>
  </si>
  <si>
    <t>2.5</t>
  </si>
  <si>
    <t>2.6</t>
  </si>
  <si>
    <t>3.1</t>
  </si>
  <si>
    <t xml:space="preserve">RAMPA </t>
  </si>
  <si>
    <t>2.7</t>
  </si>
  <si>
    <t>3.2</t>
  </si>
  <si>
    <t>3.3</t>
  </si>
  <si>
    <t>3.4</t>
  </si>
  <si>
    <t>3.5</t>
  </si>
  <si>
    <t>3.6</t>
  </si>
  <si>
    <t>UNI</t>
  </si>
  <si>
    <t>3.7</t>
  </si>
  <si>
    <t>Telhamento em chapa de aço pré-pintada, tipo sanduíche, espessura de 0,50mm, com lã de rocha</t>
  </si>
  <si>
    <t>3.8</t>
  </si>
  <si>
    <t>Tubo PVC rígido, tipo Coletor Esgoto, junta elástica, DN= 100 mm,inclusive conexões</t>
  </si>
  <si>
    <t>3.9</t>
  </si>
  <si>
    <t>3.10</t>
  </si>
  <si>
    <t xml:space="preserve">EXTENSÃO DA RECEPÇÃO </t>
  </si>
  <si>
    <t>4.1</t>
  </si>
  <si>
    <t>3.11</t>
  </si>
  <si>
    <t>Revestimento em placa de alumínio composto "ACM", espessura de 4</t>
  </si>
  <si>
    <t>3.12</t>
  </si>
  <si>
    <t>Porta de entrada de abrir em alumínio anodizado com vidro - linha comercial</t>
  </si>
  <si>
    <t>3.13</t>
  </si>
  <si>
    <t>3.14</t>
  </si>
  <si>
    <t>Caixilho basculante em alumínio anodizado, sob medida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</si>
  <si>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</si>
  <si>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</si>
  <si>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</si>
  <si>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</si>
  <si>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</si>
  <si>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</si>
  <si>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</si>
  <si>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</si>
  <si>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</si>
  <si>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</si>
  <si>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</si>
  <si>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</si>
  <si>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</si>
  <si>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REPAROS INTERNOS NA RECEPÇÃO/CORREDOR E SANITÁRIOS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</si>
  <si>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</si>
  <si>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</si>
  <si>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</si>
  <si>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</si>
  <si>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</si>
  <si>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</si>
  <si>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</si>
  <si>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</si>
  <si>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</si>
  <si>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</si>
  <si>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</si>
  <si>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</si>
  <si>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Retirada de batente com guarnição e peças lineares em madeira,chumbados</t>
  </si>
  <si>
    <t>5.13</t>
  </si>
  <si>
    <t>5.14</t>
  </si>
  <si>
    <t>5.15</t>
  </si>
  <si>
    <t>5.16</t>
  </si>
  <si>
    <t>5.17</t>
  </si>
  <si>
    <t>NOVA TRIAGEM E MUDANÇAS INTERNAS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</si>
  <si>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</si>
  <si>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</si>
  <si>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</si>
  <si>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</si>
  <si>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</si>
  <si>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</si>
  <si>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</si>
  <si>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</si>
  <si>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</si>
  <si>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5.18</t>
  </si>
  <si>
    <t>5.19</t>
  </si>
  <si>
    <t>5.20</t>
  </si>
  <si>
    <t>5.21</t>
  </si>
  <si>
    <t>URGÊNCIA E EMERGÊNCIA</t>
  </si>
  <si>
    <t>PINTURA E FACHADA</t>
  </si>
  <si>
    <t>7.1</t>
  </si>
  <si>
    <t>8.1</t>
  </si>
  <si>
    <t>7.2</t>
  </si>
  <si>
    <t>7.3</t>
  </si>
  <si>
    <t>7.4</t>
  </si>
  <si>
    <t>8.2</t>
  </si>
  <si>
    <t>8.3</t>
  </si>
  <si>
    <t>8.4</t>
  </si>
  <si>
    <t>Limpeza de superfície rígida com hidrojateamento</t>
  </si>
  <si>
    <t>7.5</t>
  </si>
  <si>
    <t>7.6</t>
  </si>
  <si>
    <t>7.7</t>
  </si>
  <si>
    <t>7.8</t>
  </si>
  <si>
    <t>7.9</t>
  </si>
  <si>
    <t>7.10</t>
  </si>
  <si>
    <t xml:space="preserve">DEMOLIÇOES E MUDANÇA DO AR CONDICIONADO </t>
  </si>
  <si>
    <t>2.8</t>
  </si>
  <si>
    <t>2.9</t>
  </si>
  <si>
    <t>2.10</t>
  </si>
  <si>
    <t>2.15</t>
  </si>
  <si>
    <t>2.16</t>
  </si>
  <si>
    <t>3.15</t>
  </si>
  <si>
    <t>3.16</t>
  </si>
  <si>
    <t>3.17</t>
  </si>
  <si>
    <t>3.18</t>
  </si>
  <si>
    <t>6.10</t>
  </si>
  <si>
    <t>6.11</t>
  </si>
  <si>
    <t>6.12</t>
  </si>
  <si>
    <t>6.13</t>
  </si>
  <si>
    <t>8.5</t>
  </si>
  <si>
    <t>GERADOR (MUDANÇA DE LOCAL)</t>
  </si>
  <si>
    <t xml:space="preserve">TRANSPORTE COM CAMINHÃO CARROCERIA COM GUINDAUTO (MUNCK), MOMENTO MÁXIMO DE CARGA 11,7 TM, EM VIA URBANA EM LEITO NATURAL (UNIDADE TXKM) </t>
  </si>
  <si>
    <t>9.1</t>
  </si>
  <si>
    <t>9.2</t>
  </si>
  <si>
    <t>5.22</t>
  </si>
  <si>
    <t>5.23</t>
  </si>
  <si>
    <t>7.11</t>
  </si>
  <si>
    <t>10.1</t>
  </si>
  <si>
    <t>10.2</t>
  </si>
  <si>
    <t>INSTALAÇÕES ELÉTRICAS</t>
  </si>
  <si>
    <t>10.3</t>
  </si>
  <si>
    <t>10.4</t>
  </si>
  <si>
    <t>10.5</t>
  </si>
  <si>
    <t>FONTE: CDHU 201 - SINAPI MARÇO/2026 - AMBOS DESONERADOS</t>
  </si>
  <si>
    <t>B.01.000.010101</t>
  </si>
  <si>
    <t>B.01.000.010111</t>
  </si>
  <si>
    <t>B.09.000.039075</t>
  </si>
  <si>
    <t>D.04.000.030360</t>
  </si>
  <si>
    <t>S.03.000.000001</t>
  </si>
  <si>
    <t>Ajudante geral</t>
  </si>
  <si>
    <t>Carpinteiro</t>
  </si>
  <si>
    <t>Cola para chapas melamínicas</t>
  </si>
  <si>
    <t>Chapa de laminado melamínico</t>
  </si>
  <si>
    <t>Chapa em MDF cru, espessura de 2cm</t>
  </si>
  <si>
    <t>E.07.000.020122</t>
  </si>
  <si>
    <t>Perfil retangular em alumínio de 50x25x2mm</t>
  </si>
  <si>
    <t>1.5</t>
  </si>
  <si>
    <t>1.6</t>
  </si>
  <si>
    <t>5.24</t>
  </si>
  <si>
    <t>Composição 1 - Chapa em MDF com revestimento melamínico</t>
  </si>
  <si>
    <t>Chapa em MDF com revestimento melamínico</t>
  </si>
  <si>
    <t>composição 1</t>
  </si>
  <si>
    <t>Ibiúna, 14 de Abril de 2026.</t>
  </si>
  <si>
    <t>CRONOGRAMA FÍSICO-FINANCEIRO</t>
  </si>
  <si>
    <t xml:space="preserve">EVOLUÇÃO FINANCEIRA </t>
  </si>
  <si>
    <t>MÊS 01</t>
  </si>
  <si>
    <t>MÊS 02</t>
  </si>
  <si>
    <t>MÊS 03</t>
  </si>
  <si>
    <t>MÊS 04</t>
  </si>
  <si>
    <t>MÊS 05</t>
  </si>
  <si>
    <t>MÊS 06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</si>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</sst>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Verdana"/>
      <family val="2"/>
    </font>
    <font>
      <b/>
      <sz val="10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Calibri"/>
      <family val="2"/>
      <scheme val="minor"/>
    </font>
    <font>
      <sz val="8"/>
      <name val="Verdana"/>
      <family val="2"/>
    </font>
    <font>
      <b/>
      <sz val="10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164" fontId="1" fillId="0" borderId="0" applyFont="0" applyFill="0" applyBorder="0" applyAlignment="0" applyProtection="0"/>
  </cellStyleXfs>
  <cellXfs count="288">
    <xf numFmtId="0" fontId="0" fillId="0" borderId="0" xfId="0"/>
    <xf numFmtId="0" fontId="5" fillId="0" borderId="0" xfId="0" applyFont="1"/>
    <xf numFmtId="10" fontId="5" fillId="0" borderId="0" xfId="1" applyNumberFormat="1" applyFont="1" applyFill="1"/>
    <xf numFmtId="0" fontId="5" fillId="0" borderId="4" xfId="3" applyFont="1" applyBorder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4" fontId="10" fillId="2" borderId="8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4" applyFont="1" applyFill="1" applyBorder="1"/>
    <xf numFmtId="164" fontId="5" fillId="0" borderId="11" xfId="4" applyFont="1" applyFill="1" applyBorder="1"/>
    <xf numFmtId="164" fontId="10" fillId="2" borderId="8" xfId="4" applyFont="1" applyFill="1" applyBorder="1" applyAlignment="1" applyProtection="1">
      <alignment horizontal="center" vertical="center" wrapText="1"/>
      <protection locked="0"/>
    </xf>
    <xf numFmtId="164" fontId="10" fillId="2" borderId="24" xfId="4" applyFont="1" applyFill="1" applyBorder="1" applyAlignment="1" applyProtection="1">
      <alignment horizontal="center" vertical="center" wrapText="1"/>
      <protection locked="0"/>
    </xf>
    <xf numFmtId="164" fontId="6" fillId="0" borderId="0" xfId="4" applyFont="1" applyFill="1" applyBorder="1" applyAlignment="1" applyProtection="1">
      <alignment horizontal="center" vertical="center"/>
      <protection locked="0"/>
    </xf>
    <xf numFmtId="164" fontId="6" fillId="0" borderId="11" xfId="4" applyFont="1" applyFill="1" applyBorder="1" applyAlignment="1" applyProtection="1">
      <alignment horizontal="center" vertical="center"/>
      <protection locked="0"/>
    </xf>
    <xf numFmtId="164" fontId="5" fillId="0" borderId="13" xfId="4" applyFont="1" applyFill="1" applyBorder="1"/>
    <xf numFmtId="164" fontId="5" fillId="0" borderId="14" xfId="4" applyFont="1" applyFill="1" applyBorder="1"/>
    <xf numFmtId="164" fontId="5" fillId="0" borderId="0" xfId="4" applyFont="1" applyFill="1"/>
    <xf numFmtId="4" fontId="5" fillId="0" borderId="0" xfId="0" applyNumberFormat="1" applyFont="1"/>
    <xf numFmtId="4" fontId="5" fillId="0" borderId="0" xfId="3" applyNumberFormat="1" applyFont="1" applyAlignment="1" applyProtection="1">
      <alignment horizontal="center" vertical="center"/>
      <protection locked="0"/>
    </xf>
    <xf numFmtId="4" fontId="5" fillId="0" borderId="13" xfId="0" applyNumberFormat="1" applyFont="1" applyBorder="1"/>
    <xf numFmtId="4" fontId="5" fillId="0" borderId="0" xfId="3" applyNumberFormat="1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12" fillId="0" borderId="25" xfId="3" applyFont="1" applyBorder="1" applyAlignment="1" applyProtection="1">
      <alignment horizontal="center" vertical="center" wrapText="1"/>
      <protection locked="0"/>
    </xf>
    <xf numFmtId="0" fontId="12" fillId="0" borderId="2" xfId="3" applyFont="1" applyBorder="1" applyAlignment="1" applyProtection="1">
      <alignment horizontal="center" vertical="center" wrapText="1"/>
      <protection locked="0"/>
    </xf>
    <xf numFmtId="0" fontId="12" fillId="0" borderId="2" xfId="3" applyFont="1" applyBorder="1" applyAlignment="1" applyProtection="1">
      <alignment horizontal="center" vertical="center"/>
      <protection locked="0"/>
    </xf>
    <xf numFmtId="0" fontId="12" fillId="0" borderId="2" xfId="3" applyFont="1" applyBorder="1" applyAlignment="1" applyProtection="1">
      <alignment horizontal="left" vertical="center" wrapText="1"/>
      <protection locked="0"/>
    </xf>
    <xf numFmtId="4" fontId="12" fillId="0" borderId="2" xfId="3" applyNumberFormat="1" applyFont="1" applyBorder="1" applyAlignment="1" applyProtection="1">
      <alignment horizontal="center" vertical="center"/>
      <protection locked="0"/>
    </xf>
    <xf numFmtId="164" fontId="12" fillId="0" borderId="2" xfId="4" applyFont="1" applyFill="1" applyBorder="1" applyAlignment="1" applyProtection="1">
      <alignment horizontal="center" vertical="center"/>
      <protection locked="0"/>
    </xf>
    <xf numFmtId="164" fontId="12" fillId="0" borderId="26" xfId="4" applyFont="1" applyFill="1" applyBorder="1" applyAlignment="1" applyProtection="1">
      <alignment horizontal="center" vertical="center"/>
      <protection locked="0"/>
    </xf>
    <xf numFmtId="0" fontId="12" fillId="0" borderId="0" xfId="0" applyFont="1"/>
    <xf numFmtId="0" fontId="12" fillId="0" borderId="2" xfId="3" applyFont="1" applyBorder="1" applyAlignment="1" applyProtection="1">
      <alignment horizontal="left" vertical="center"/>
      <protection locked="0"/>
    </xf>
    <xf numFmtId="0" fontId="13" fillId="0" borderId="4" xfId="2" applyFont="1" applyBorder="1" applyAlignment="1">
      <alignment horizontal="center" vertical="center"/>
    </xf>
    <xf numFmtId="0" fontId="13" fillId="0" borderId="12" xfId="2" applyFont="1" applyBorder="1" applyAlignment="1">
      <alignment horizontal="center" vertical="center"/>
    </xf>
    <xf numFmtId="164" fontId="0" fillId="0" borderId="24" xfId="4" applyFont="1" applyBorder="1" applyAlignment="1">
      <alignment horizontal="right" vertical="center"/>
    </xf>
    <xf numFmtId="164" fontId="0" fillId="0" borderId="26" xfId="4" applyFont="1" applyBorder="1" applyAlignment="1">
      <alignment horizontal="right" vertical="center"/>
    </xf>
    <xf numFmtId="164" fontId="0" fillId="0" borderId="29" xfId="4" applyFont="1" applyBorder="1" applyAlignment="1">
      <alignment horizontal="right" vertical="center"/>
    </xf>
    <xf numFmtId="0" fontId="14" fillId="4" borderId="25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/>
      <protection locked="0"/>
    </xf>
    <xf numFmtId="0" fontId="14" fillId="4" borderId="2" xfId="3" applyFont="1" applyFill="1" applyBorder="1" applyAlignment="1" applyProtection="1">
      <alignment horizontal="left" vertical="center" wrapText="1"/>
      <protection locked="0"/>
    </xf>
    <xf numFmtId="4" fontId="14" fillId="4" borderId="2" xfId="3" applyNumberFormat="1" applyFont="1" applyFill="1" applyBorder="1" applyAlignment="1" applyProtection="1">
      <alignment horizontal="center" vertical="center"/>
      <protection locked="0"/>
    </xf>
    <xf numFmtId="164" fontId="14" fillId="4" borderId="2" xfId="4" applyFont="1" applyFill="1" applyBorder="1" applyAlignment="1" applyProtection="1">
      <alignment horizontal="center" vertical="center"/>
      <protection locked="0"/>
    </xf>
    <xf numFmtId="164" fontId="14" fillId="4" borderId="26" xfId="4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14" fillId="0" borderId="0" xfId="0" applyFont="1"/>
    <xf numFmtId="164" fontId="14" fillId="5" borderId="26" xfId="4" applyFont="1" applyFill="1" applyBorder="1" applyAlignment="1" applyProtection="1">
      <alignment horizontal="center" vertical="center"/>
      <protection locked="0"/>
    </xf>
    <xf numFmtId="10" fontId="0" fillId="0" borderId="29" xfId="1" applyNumberFormat="1" applyFont="1" applyBorder="1" applyAlignment="1">
      <alignment horizontal="right" vertical="center"/>
    </xf>
    <xf numFmtId="164" fontId="0" fillId="0" borderId="26" xfId="4" applyFont="1" applyFill="1" applyBorder="1" applyAlignment="1">
      <alignment horizontal="right" vertical="center"/>
    </xf>
    <xf numFmtId="0" fontId="14" fillId="5" borderId="31" xfId="3" applyFont="1" applyFill="1" applyBorder="1" applyAlignment="1" applyProtection="1">
      <alignment horizontal="right" vertical="center" wrapText="1"/>
      <protection locked="0"/>
    </xf>
    <xf numFmtId="164" fontId="14" fillId="6" borderId="28" xfId="4" applyFont="1" applyFill="1" applyBorder="1" applyAlignment="1" applyProtection="1">
      <alignment horizontal="center" vertical="center"/>
      <protection locked="0"/>
    </xf>
    <xf numFmtId="164" fontId="14" fillId="6" borderId="29" xfId="4" applyFont="1" applyFill="1" applyBorder="1" applyAlignment="1" applyProtection="1">
      <alignment horizontal="center" vertical="center"/>
      <protection locked="0"/>
    </xf>
    <xf numFmtId="0" fontId="14" fillId="5" borderId="18" xfId="3" applyFont="1" applyFill="1" applyBorder="1" applyAlignment="1" applyProtection="1">
      <alignment vertical="center" wrapText="1"/>
      <protection locked="0"/>
    </xf>
    <xf numFmtId="0" fontId="14" fillId="5" borderId="3" xfId="3" applyFont="1" applyFill="1" applyBorder="1" applyAlignment="1" applyProtection="1">
      <alignment vertical="center" wrapText="1"/>
      <protection locked="0"/>
    </xf>
    <xf numFmtId="0" fontId="7" fillId="7" borderId="15" xfId="0" applyFont="1" applyFill="1" applyBorder="1" applyAlignment="1">
      <alignment vertical="top"/>
    </xf>
    <xf numFmtId="0" fontId="7" fillId="7" borderId="16" xfId="0" applyFont="1" applyFill="1" applyBorder="1" applyAlignment="1">
      <alignment vertical="top"/>
    </xf>
    <xf numFmtId="0" fontId="7" fillId="7" borderId="18" xfId="0" applyFont="1" applyFill="1" applyBorder="1" applyAlignment="1">
      <alignment vertical="center"/>
    </xf>
    <xf numFmtId="0" fontId="7" fillId="7" borderId="3" xfId="0" applyFont="1" applyFill="1" applyBorder="1" applyAlignment="1">
      <alignment vertical="center" wrapText="1"/>
    </xf>
    <xf numFmtId="0" fontId="7" fillId="7" borderId="18" xfId="0" applyFont="1" applyFill="1" applyBorder="1"/>
    <xf numFmtId="0" fontId="7" fillId="7" borderId="3" xfId="0" applyFont="1" applyFill="1" applyBorder="1"/>
    <xf numFmtId="0" fontId="7" fillId="7" borderId="3" xfId="0" applyFont="1" applyFill="1" applyBorder="1" applyAlignment="1">
      <alignment wrapText="1"/>
    </xf>
    <xf numFmtId="0" fontId="0" fillId="7" borderId="20" xfId="0" applyFill="1" applyBorder="1" applyAlignment="1">
      <alignment vertical="center"/>
    </xf>
    <xf numFmtId="0" fontId="0" fillId="7" borderId="21" xfId="0" applyFill="1" applyBorder="1" applyAlignment="1">
      <alignment vertical="center"/>
    </xf>
    <xf numFmtId="0" fontId="5" fillId="0" borderId="4" xfId="0" applyFont="1" applyBorder="1"/>
    <xf numFmtId="0" fontId="5" fillId="0" borderId="11" xfId="0" applyFont="1" applyBorder="1"/>
    <xf numFmtId="164" fontId="5" fillId="7" borderId="22" xfId="4" applyFont="1" applyFill="1" applyBorder="1" applyAlignment="1"/>
    <xf numFmtId="0" fontId="10" fillId="0" borderId="4" xfId="2" applyFont="1" applyBorder="1" applyAlignment="1">
      <alignment horizontal="left" vertical="top"/>
    </xf>
    <xf numFmtId="0" fontId="12" fillId="8" borderId="0" xfId="3" applyFont="1" applyFill="1"/>
    <xf numFmtId="0" fontId="10" fillId="0" borderId="12" xfId="2" applyFont="1" applyBorder="1" applyAlignment="1">
      <alignment horizontal="left" vertical="top"/>
    </xf>
    <xf numFmtId="0" fontId="12" fillId="8" borderId="13" xfId="3" applyFont="1" applyFill="1" applyBorder="1" applyAlignment="1">
      <alignment horizontal="left"/>
    </xf>
    <xf numFmtId="0" fontId="12" fillId="8" borderId="13" xfId="3" applyFont="1" applyFill="1" applyBorder="1"/>
    <xf numFmtId="0" fontId="5" fillId="0" borderId="13" xfId="0" applyFont="1" applyBorder="1"/>
    <xf numFmtId="0" fontId="5" fillId="0" borderId="14" xfId="0" applyFont="1" applyBorder="1"/>
    <xf numFmtId="0" fontId="7" fillId="0" borderId="15" xfId="0" applyFont="1" applyBorder="1" applyAlignment="1">
      <alignment vertical="top"/>
    </xf>
    <xf numFmtId="0" fontId="7" fillId="0" borderId="16" xfId="0" applyFont="1" applyBorder="1" applyAlignment="1">
      <alignment vertical="top"/>
    </xf>
    <xf numFmtId="0" fontId="7" fillId="0" borderId="17" xfId="0" applyFont="1" applyBorder="1" applyAlignment="1">
      <alignment vertical="top"/>
    </xf>
    <xf numFmtId="0" fontId="7" fillId="0" borderId="18" xfId="0" applyFont="1" applyBorder="1" applyAlignment="1">
      <alignment vertical="top"/>
    </xf>
    <xf numFmtId="0" fontId="7" fillId="0" borderId="3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3" xfId="0" applyFont="1" applyBorder="1"/>
    <xf numFmtId="0" fontId="7" fillId="0" borderId="19" xfId="0" applyFont="1" applyBorder="1"/>
    <xf numFmtId="0" fontId="7" fillId="0" borderId="3" xfId="0" applyFont="1" applyBorder="1" applyAlignment="1">
      <alignment wrapText="1"/>
    </xf>
    <xf numFmtId="0" fontId="7" fillId="0" borderId="19" xfId="0" applyFont="1" applyBorder="1" applyAlignment="1">
      <alignment wrapText="1"/>
    </xf>
    <xf numFmtId="0" fontId="7" fillId="0" borderId="20" xfId="0" applyFont="1" applyBorder="1" applyAlignment="1">
      <alignment vertical="top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10" fillId="2" borderId="2" xfId="3" applyFont="1" applyFill="1" applyBorder="1" applyAlignment="1" applyProtection="1">
      <alignment horizontal="center" vertical="center"/>
      <protection locked="0"/>
    </xf>
    <xf numFmtId="0" fontId="10" fillId="2" borderId="26" xfId="3" applyFont="1" applyFill="1" applyBorder="1" applyAlignment="1" applyProtection="1">
      <alignment horizontal="center" vertical="center"/>
      <protection locked="0"/>
    </xf>
    <xf numFmtId="0" fontId="5" fillId="0" borderId="2" xfId="3" applyFont="1" applyBorder="1" applyAlignment="1" applyProtection="1">
      <alignment horizontal="center" vertical="center"/>
      <protection locked="0"/>
    </xf>
    <xf numFmtId="10" fontId="5" fillId="7" borderId="2" xfId="3" applyNumberFormat="1" applyFont="1" applyFill="1" applyBorder="1" applyAlignment="1" applyProtection="1">
      <alignment horizontal="center" vertical="center"/>
      <protection locked="0"/>
    </xf>
    <xf numFmtId="4" fontId="5" fillId="0" borderId="2" xfId="3" applyNumberFormat="1" applyFont="1" applyBorder="1" applyAlignment="1" applyProtection="1">
      <alignment horizontal="center" vertical="center"/>
      <protection locked="0"/>
    </xf>
    <xf numFmtId="10" fontId="5" fillId="0" borderId="2" xfId="3" applyNumberFormat="1" applyFont="1" applyBorder="1" applyAlignment="1" applyProtection="1">
      <alignment horizontal="center" vertical="center"/>
      <protection locked="0"/>
    </xf>
    <xf numFmtId="10" fontId="5" fillId="0" borderId="26" xfId="3" applyNumberFormat="1" applyFont="1" applyBorder="1" applyAlignment="1" applyProtection="1">
      <alignment horizontal="center" vertical="center"/>
      <protection locked="0"/>
    </xf>
    <xf numFmtId="4" fontId="6" fillId="0" borderId="2" xfId="3" applyNumberFormat="1" applyFont="1" applyBorder="1" applyAlignment="1" applyProtection="1">
      <alignment horizontal="center" vertical="center"/>
      <protection locked="0"/>
    </xf>
    <xf numFmtId="0" fontId="5" fillId="0" borderId="2" xfId="3" applyFont="1" applyBorder="1" applyAlignment="1" applyProtection="1">
      <alignment horizontal="center" vertical="center" wrapText="1"/>
      <protection locked="0"/>
    </xf>
    <xf numFmtId="0" fontId="5" fillId="0" borderId="28" xfId="3" applyFont="1" applyBorder="1" applyAlignment="1" applyProtection="1">
      <alignment horizontal="center" vertical="center" wrapText="1"/>
      <protection locked="0"/>
    </xf>
    <xf numFmtId="10" fontId="5" fillId="0" borderId="28" xfId="3" applyNumberFormat="1" applyFont="1" applyBorder="1" applyAlignment="1" applyProtection="1">
      <alignment horizontal="center" vertical="center"/>
      <protection locked="0"/>
    </xf>
    <xf numFmtId="4" fontId="6" fillId="0" borderId="28" xfId="3" applyNumberFormat="1" applyFont="1" applyBorder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center" vertical="center" wrapText="1"/>
      <protection locked="0"/>
    </xf>
    <xf numFmtId="10" fontId="5" fillId="0" borderId="0" xfId="3" applyNumberFormat="1" applyFont="1" applyAlignment="1" applyProtection="1">
      <alignment horizontal="center" vertical="center"/>
      <protection locked="0"/>
    </xf>
    <xf numFmtId="4" fontId="6" fillId="0" borderId="0" xfId="3" applyNumberFormat="1" applyFont="1" applyAlignment="1" applyProtection="1">
      <alignment horizontal="center" vertical="center"/>
      <protection locked="0"/>
    </xf>
    <xf numFmtId="2" fontId="6" fillId="0" borderId="0" xfId="3" applyNumberFormat="1" applyFont="1" applyAlignment="1" applyProtection="1">
      <alignment horizontal="center" vertical="center"/>
      <protection locked="0"/>
    </xf>
    <xf numFmtId="2" fontId="6" fillId="0" borderId="11" xfId="3" applyNumberFormat="1" applyFont="1" applyBorder="1" applyAlignment="1" applyProtection="1">
      <alignment horizontal="center" vertical="center"/>
      <protection locked="0"/>
    </xf>
    <xf numFmtId="0" fontId="3" fillId="0" borderId="4" xfId="3" applyBorder="1"/>
    <xf numFmtId="0" fontId="3" fillId="0" borderId="0" xfId="3"/>
    <xf numFmtId="0" fontId="3" fillId="0" borderId="11" xfId="3" applyBorder="1"/>
    <xf numFmtId="0" fontId="3" fillId="0" borderId="4" xfId="3" applyBorder="1" applyAlignment="1">
      <alignment horizontal="left" vertical="top"/>
    </xf>
    <xf numFmtId="0" fontId="3" fillId="0" borderId="0" xfId="3" applyAlignment="1">
      <alignment horizontal="left" vertical="top"/>
    </xf>
    <xf numFmtId="0" fontId="3" fillId="0" borderId="11" xfId="3" applyBorder="1" applyAlignment="1">
      <alignment horizontal="left" vertical="top"/>
    </xf>
    <xf numFmtId="0" fontId="5" fillId="0" borderId="4" xfId="3" applyFont="1" applyBorder="1" applyAlignment="1">
      <alignment horizontal="right" vertical="top"/>
    </xf>
    <xf numFmtId="0" fontId="5" fillId="0" borderId="0" xfId="3" applyFont="1" applyAlignment="1">
      <alignment horizontal="right" vertical="top"/>
    </xf>
    <xf numFmtId="0" fontId="5" fillId="0" borderId="11" xfId="3" applyFont="1" applyBorder="1" applyAlignment="1">
      <alignment horizontal="right" vertical="top"/>
    </xf>
    <xf numFmtId="0" fontId="5" fillId="0" borderId="9" xfId="0" applyFont="1" applyBorder="1"/>
    <xf numFmtId="0" fontId="5" fillId="0" borderId="37" xfId="0" applyFont="1" applyBorder="1"/>
    <xf numFmtId="0" fontId="5" fillId="0" borderId="10" xfId="0" applyFont="1" applyBorder="1"/>
    <xf numFmtId="0" fontId="12" fillId="0" borderId="0" xfId="3" applyFont="1" applyAlignment="1">
      <alignment horizontal="left"/>
    </xf>
    <xf numFmtId="0" fontId="12" fillId="0" borderId="0" xfId="3" applyFont="1"/>
    <xf numFmtId="0" fontId="12" fillId="0" borderId="13" xfId="3" applyFont="1" applyBorder="1" applyAlignment="1">
      <alignment horizontal="left"/>
    </xf>
    <xf numFmtId="0" fontId="12" fillId="0" borderId="13" xfId="3" applyFont="1" applyBorder="1"/>
    <xf numFmtId="2" fontId="0" fillId="0" borderId="26" xfId="1" applyNumberFormat="1" applyFont="1" applyBorder="1" applyAlignment="1">
      <alignment horizontal="right" vertical="center"/>
    </xf>
    <xf numFmtId="0" fontId="5" fillId="0" borderId="0" xfId="3" applyFont="1" applyAlignment="1" applyProtection="1">
      <alignment horizontal="left" vertical="center"/>
      <protection locked="0"/>
    </xf>
    <xf numFmtId="0" fontId="5" fillId="0" borderId="0" xfId="0" applyFont="1" applyAlignment="1">
      <alignment horizontal="left" wrapText="1"/>
    </xf>
    <xf numFmtId="0" fontId="10" fillId="2" borderId="8" xfId="3" applyFont="1" applyFill="1" applyBorder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left" vertical="center" wrapText="1"/>
      <protection locked="0"/>
    </xf>
    <xf numFmtId="0" fontId="14" fillId="9" borderId="25" xfId="3" applyFont="1" applyFill="1" applyBorder="1" applyAlignment="1" applyProtection="1">
      <alignment horizontal="center" vertical="center" wrapText="1"/>
      <protection locked="0"/>
    </xf>
    <xf numFmtId="0" fontId="14" fillId="9" borderId="2" xfId="3" applyFont="1" applyFill="1" applyBorder="1" applyAlignment="1" applyProtection="1">
      <alignment horizontal="center" vertical="center" wrapText="1"/>
      <protection locked="0"/>
    </xf>
    <xf numFmtId="0" fontId="14" fillId="9" borderId="2" xfId="3" applyFont="1" applyFill="1" applyBorder="1" applyAlignment="1" applyProtection="1">
      <alignment horizontal="center" vertical="center"/>
      <protection locked="0"/>
    </xf>
    <xf numFmtId="0" fontId="14" fillId="9" borderId="2" xfId="3" applyFont="1" applyFill="1" applyBorder="1" applyAlignment="1" applyProtection="1">
      <alignment horizontal="left" vertical="center" wrapText="1"/>
      <protection locked="0"/>
    </xf>
    <xf numFmtId="4" fontId="14" fillId="9" borderId="2" xfId="3" applyNumberFormat="1" applyFont="1" applyFill="1" applyBorder="1" applyAlignment="1" applyProtection="1">
      <alignment horizontal="center" vertical="center"/>
      <protection locked="0"/>
    </xf>
    <xf numFmtId="164" fontId="14" fillId="9" borderId="2" xfId="4" applyFont="1" applyFill="1" applyBorder="1" applyAlignment="1" applyProtection="1">
      <alignment horizontal="center" vertical="center"/>
      <protection locked="0"/>
    </xf>
    <xf numFmtId="164" fontId="14" fillId="9" borderId="26" xfId="4" applyFont="1" applyFill="1" applyBorder="1" applyAlignment="1" applyProtection="1">
      <alignment horizontal="center" vertical="center"/>
      <protection locked="0"/>
    </xf>
    <xf numFmtId="0" fontId="14" fillId="10" borderId="25" xfId="3" applyFont="1" applyFill="1" applyBorder="1" applyAlignment="1" applyProtection="1">
      <alignment horizontal="center" vertical="center" wrapText="1"/>
      <protection locked="0"/>
    </xf>
    <xf numFmtId="0" fontId="14" fillId="10" borderId="2" xfId="3" applyFont="1" applyFill="1" applyBorder="1" applyAlignment="1" applyProtection="1">
      <alignment horizontal="center" vertical="center" wrapText="1"/>
      <protection locked="0"/>
    </xf>
    <xf numFmtId="0" fontId="14" fillId="10" borderId="2" xfId="3" applyFont="1" applyFill="1" applyBorder="1" applyAlignment="1" applyProtection="1">
      <alignment horizontal="center" vertical="center"/>
      <protection locked="0"/>
    </xf>
    <xf numFmtId="0" fontId="14" fillId="10" borderId="2" xfId="3" applyFont="1" applyFill="1" applyBorder="1" applyAlignment="1" applyProtection="1">
      <alignment horizontal="left" vertical="center" wrapText="1"/>
      <protection locked="0"/>
    </xf>
    <xf numFmtId="4" fontId="14" fillId="10" borderId="2" xfId="3" applyNumberFormat="1" applyFont="1" applyFill="1" applyBorder="1" applyAlignment="1" applyProtection="1">
      <alignment horizontal="center" vertical="center"/>
      <protection locked="0"/>
    </xf>
    <xf numFmtId="164" fontId="14" fillId="10" borderId="2" xfId="4" applyFont="1" applyFill="1" applyBorder="1" applyAlignment="1" applyProtection="1">
      <alignment horizontal="center" vertical="center"/>
      <protection locked="0"/>
    </xf>
    <xf numFmtId="164" fontId="14" fillId="10" borderId="26" xfId="4" applyFont="1" applyFill="1" applyBorder="1" applyAlignment="1" applyProtection="1">
      <alignment horizontal="center" vertical="center"/>
      <protection locked="0"/>
    </xf>
    <xf numFmtId="164" fontId="12" fillId="10" borderId="2" xfId="4" applyFont="1" applyFill="1" applyBorder="1" applyAlignment="1" applyProtection="1">
      <alignment horizontal="center" vertical="center"/>
      <protection locked="0"/>
    </xf>
    <xf numFmtId="164" fontId="12" fillId="10" borderId="26" xfId="4" applyFont="1" applyFill="1" applyBorder="1" applyAlignment="1" applyProtection="1">
      <alignment horizontal="center" vertical="center"/>
      <protection locked="0"/>
    </xf>
    <xf numFmtId="0" fontId="12" fillId="11" borderId="2" xfId="3" applyFont="1" applyFill="1" applyBorder="1" applyAlignment="1" applyProtection="1">
      <alignment horizontal="center" vertical="center" wrapText="1"/>
      <protection locked="0"/>
    </xf>
    <xf numFmtId="0" fontId="12" fillId="11" borderId="2" xfId="3" applyFont="1" applyFill="1" applyBorder="1" applyAlignment="1" applyProtection="1">
      <alignment horizontal="center" vertical="center"/>
      <protection locked="0"/>
    </xf>
    <xf numFmtId="0" fontId="12" fillId="11" borderId="2" xfId="3" applyFont="1" applyFill="1" applyBorder="1" applyAlignment="1" applyProtection="1">
      <alignment horizontal="left" vertical="center" wrapText="1"/>
      <protection locked="0"/>
    </xf>
    <xf numFmtId="4" fontId="12" fillId="11" borderId="2" xfId="3" applyNumberFormat="1" applyFont="1" applyFill="1" applyBorder="1" applyAlignment="1" applyProtection="1">
      <alignment horizontal="center" vertical="center"/>
      <protection locked="0"/>
    </xf>
    <xf numFmtId="164" fontId="12" fillId="11" borderId="2" xfId="4" applyFont="1" applyFill="1" applyBorder="1" applyAlignment="1" applyProtection="1">
      <alignment horizontal="center" vertical="center"/>
      <protection locked="0"/>
    </xf>
    <xf numFmtId="0" fontId="14" fillId="10" borderId="2" xfId="3" applyFont="1" applyFill="1" applyBorder="1" applyAlignment="1" applyProtection="1">
      <alignment vertical="center" wrapText="1"/>
      <protection locked="0"/>
    </xf>
    <xf numFmtId="0" fontId="14" fillId="10" borderId="2" xfId="3" applyFont="1" applyFill="1" applyBorder="1" applyAlignment="1" applyProtection="1">
      <alignment horizontal="right" vertical="center" wrapText="1"/>
      <protection locked="0"/>
    </xf>
    <xf numFmtId="0" fontId="12" fillId="11" borderId="2" xfId="3" applyFont="1" applyFill="1" applyBorder="1" applyAlignment="1" applyProtection="1">
      <alignment vertical="center" wrapText="1"/>
      <protection locked="0"/>
    </xf>
    <xf numFmtId="44" fontId="12" fillId="11" borderId="2" xfId="3" applyNumberFormat="1" applyFont="1" applyFill="1" applyBorder="1" applyAlignment="1" applyProtection="1">
      <alignment horizontal="center" vertical="center" wrapText="1"/>
      <protection locked="0"/>
    </xf>
    <xf numFmtId="44" fontId="12" fillId="11" borderId="2" xfId="3" applyNumberFormat="1" applyFont="1" applyFill="1" applyBorder="1" applyAlignment="1" applyProtection="1">
      <alignment horizontal="right" vertical="center" wrapText="1"/>
      <protection locked="0"/>
    </xf>
    <xf numFmtId="2" fontId="12" fillId="11" borderId="2" xfId="3" applyNumberFormat="1" applyFont="1" applyFill="1" applyBorder="1" applyAlignment="1" applyProtection="1">
      <alignment horizontal="center" vertical="center" wrapText="1"/>
      <protection locked="0"/>
    </xf>
    <xf numFmtId="0" fontId="14" fillId="9" borderId="2" xfId="3" applyFont="1" applyFill="1" applyBorder="1" applyAlignment="1" applyProtection="1">
      <alignment vertical="center" wrapText="1"/>
      <protection locked="0"/>
    </xf>
    <xf numFmtId="0" fontId="14" fillId="9" borderId="2" xfId="3" applyFont="1" applyFill="1" applyBorder="1" applyAlignment="1" applyProtection="1">
      <alignment horizontal="right" vertical="center" wrapText="1"/>
      <protection locked="0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5" fillId="7" borderId="20" xfId="0" applyFont="1" applyFill="1" applyBorder="1" applyAlignment="1">
      <alignment horizontal="left"/>
    </xf>
    <xf numFmtId="0" fontId="5" fillId="7" borderId="21" xfId="0" applyFont="1" applyFill="1" applyBorder="1" applyAlignment="1">
      <alignment horizontal="left"/>
    </xf>
    <xf numFmtId="0" fontId="5" fillId="7" borderId="21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left"/>
    </xf>
    <xf numFmtId="0" fontId="10" fillId="0" borderId="16" xfId="0" applyFont="1" applyBorder="1" applyAlignment="1">
      <alignment horizontal="left"/>
    </xf>
    <xf numFmtId="0" fontId="5" fillId="0" borderId="25" xfId="3" applyFont="1" applyBorder="1" applyAlignment="1" applyProtection="1">
      <alignment horizontal="left" vertical="center"/>
      <protection locked="0"/>
    </xf>
    <xf numFmtId="0" fontId="5" fillId="0" borderId="2" xfId="3" applyFont="1" applyBorder="1" applyAlignment="1" applyProtection="1">
      <alignment horizontal="left" vertical="center"/>
      <protection locked="0"/>
    </xf>
    <xf numFmtId="9" fontId="5" fillId="7" borderId="16" xfId="1" applyFont="1" applyFill="1" applyBorder="1" applyAlignment="1">
      <alignment horizontal="center"/>
    </xf>
    <xf numFmtId="9" fontId="5" fillId="7" borderId="17" xfId="1" applyFont="1" applyFill="1" applyBorder="1" applyAlignment="1">
      <alignment horizontal="center"/>
    </xf>
    <xf numFmtId="10" fontId="5" fillId="7" borderId="21" xfId="1" applyNumberFormat="1" applyFont="1" applyFill="1" applyBorder="1" applyAlignment="1">
      <alignment horizontal="center"/>
    </xf>
    <xf numFmtId="10" fontId="5" fillId="7" borderId="22" xfId="1" applyNumberFormat="1" applyFont="1" applyFill="1" applyBorder="1" applyAlignment="1">
      <alignment horizontal="center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0" fontId="10" fillId="2" borderId="25" xfId="3" applyFont="1" applyFill="1" applyBorder="1" applyAlignment="1" applyProtection="1">
      <alignment horizontal="center" vertical="center"/>
      <protection locked="0"/>
    </xf>
    <xf numFmtId="0" fontId="10" fillId="2" borderId="2" xfId="3" applyFont="1" applyFill="1" applyBorder="1" applyAlignment="1" applyProtection="1">
      <alignment horizontal="center" vertical="center"/>
      <protection locked="0"/>
    </xf>
    <xf numFmtId="4" fontId="10" fillId="2" borderId="8" xfId="3" applyNumberFormat="1" applyFont="1" applyFill="1" applyBorder="1" applyAlignment="1" applyProtection="1">
      <alignment horizontal="center" vertical="center" wrapText="1"/>
      <protection locked="0"/>
    </xf>
    <xf numFmtId="4" fontId="10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3" applyFont="1" applyFill="1" applyBorder="1" applyAlignment="1" applyProtection="1">
      <alignment horizontal="center"/>
      <protection locked="0"/>
    </xf>
    <xf numFmtId="0" fontId="10" fillId="2" borderId="24" xfId="3" applyFont="1" applyFill="1" applyBorder="1" applyAlignment="1" applyProtection="1">
      <alignment horizontal="center"/>
      <protection locked="0"/>
    </xf>
    <xf numFmtId="0" fontId="5" fillId="0" borderId="25" xfId="3" applyFont="1" applyBorder="1" applyAlignment="1" applyProtection="1">
      <alignment horizontal="left" vertical="center" wrapText="1"/>
      <protection locked="0"/>
    </xf>
    <xf numFmtId="0" fontId="5" fillId="0" borderId="2" xfId="3" applyFont="1" applyBorder="1" applyAlignment="1" applyProtection="1">
      <alignment horizontal="left" vertical="center" wrapText="1"/>
      <protection locked="0"/>
    </xf>
    <xf numFmtId="0" fontId="3" fillId="0" borderId="4" xfId="3" applyBorder="1" applyAlignment="1">
      <alignment horizontal="left" vertical="top"/>
    </xf>
    <xf numFmtId="0" fontId="3" fillId="0" borderId="0" xfId="3" applyAlignment="1">
      <alignment horizontal="left" vertical="top"/>
    </xf>
    <xf numFmtId="0" fontId="3" fillId="0" borderId="11" xfId="3" applyBorder="1" applyAlignment="1">
      <alignment horizontal="left" vertical="top"/>
    </xf>
    <xf numFmtId="0" fontId="3" fillId="0" borderId="12" xfId="3" applyBorder="1" applyAlignment="1">
      <alignment horizontal="left" vertical="top"/>
    </xf>
    <xf numFmtId="0" fontId="3" fillId="0" borderId="13" xfId="3" applyBorder="1" applyAlignment="1">
      <alignment horizontal="left" vertical="top"/>
    </xf>
    <xf numFmtId="0" fontId="3" fillId="0" borderId="14" xfId="3" applyBorder="1" applyAlignment="1">
      <alignment horizontal="left" vertical="top"/>
    </xf>
    <xf numFmtId="0" fontId="5" fillId="7" borderId="5" xfId="3" applyFont="1" applyFill="1" applyBorder="1" applyAlignment="1">
      <alignment horizontal="right" vertical="top"/>
    </xf>
    <xf numFmtId="0" fontId="5" fillId="7" borderId="6" xfId="3" applyFont="1" applyFill="1" applyBorder="1" applyAlignment="1">
      <alignment horizontal="right" vertical="top"/>
    </xf>
    <xf numFmtId="0" fontId="5" fillId="7" borderId="7" xfId="3" applyFont="1" applyFill="1" applyBorder="1" applyAlignment="1">
      <alignment horizontal="right" vertical="top"/>
    </xf>
    <xf numFmtId="0" fontId="4" fillId="0" borderId="30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/>
    </xf>
    <xf numFmtId="0" fontId="5" fillId="0" borderId="27" xfId="3" applyFont="1" applyBorder="1" applyAlignment="1" applyProtection="1">
      <alignment horizontal="center" vertical="center"/>
      <protection locked="0"/>
    </xf>
    <xf numFmtId="0" fontId="5" fillId="0" borderId="28" xfId="3" applyFont="1" applyBorder="1" applyAlignment="1" applyProtection="1">
      <alignment horizontal="center" vertical="center"/>
      <protection locked="0"/>
    </xf>
    <xf numFmtId="2" fontId="6" fillId="0" borderId="28" xfId="3" applyNumberFormat="1" applyFont="1" applyBorder="1" applyAlignment="1" applyProtection="1">
      <alignment horizontal="center" vertical="center"/>
      <protection locked="0"/>
    </xf>
    <xf numFmtId="2" fontId="6" fillId="0" borderId="29" xfId="3" applyNumberFormat="1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>
      <alignment horizontal="left"/>
    </xf>
    <xf numFmtId="0" fontId="10" fillId="0" borderId="37" xfId="0" applyFont="1" applyBorder="1" applyAlignment="1">
      <alignment horizontal="left"/>
    </xf>
    <xf numFmtId="0" fontId="10" fillId="0" borderId="10" xfId="0" applyFont="1" applyBorder="1" applyAlignment="1">
      <alignment horizontal="left"/>
    </xf>
    <xf numFmtId="0" fontId="0" fillId="0" borderId="33" xfId="0" applyBorder="1" applyAlignment="1">
      <alignment horizontal="right" vertical="center"/>
    </xf>
    <xf numFmtId="0" fontId="0" fillId="0" borderId="28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2" fillId="0" borderId="0" xfId="3" applyFont="1" applyAlignment="1">
      <alignment horizontal="left" vertical="center"/>
    </xf>
    <xf numFmtId="0" fontId="12" fillId="0" borderId="13" xfId="3" applyFont="1" applyBorder="1" applyAlignment="1">
      <alignment horizontal="left" vertical="center"/>
    </xf>
    <xf numFmtId="0" fontId="0" fillId="0" borderId="3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11" fillId="3" borderId="18" xfId="3" applyFont="1" applyFill="1" applyBorder="1" applyAlignment="1" applyProtection="1">
      <alignment horizontal="center" vertical="center"/>
      <protection locked="0"/>
    </xf>
    <xf numFmtId="0" fontId="11" fillId="3" borderId="3" xfId="3" applyFont="1" applyFill="1" applyBorder="1" applyAlignment="1" applyProtection="1">
      <alignment horizontal="center" vertical="center"/>
      <protection locked="0"/>
    </xf>
    <xf numFmtId="0" fontId="11" fillId="3" borderId="19" xfId="3" applyFont="1" applyFill="1" applyBorder="1" applyAlignment="1" applyProtection="1">
      <alignment horizontal="center" vertical="center"/>
      <protection locked="0"/>
    </xf>
    <xf numFmtId="0" fontId="14" fillId="6" borderId="27" xfId="3" applyFont="1" applyFill="1" applyBorder="1" applyAlignment="1" applyProtection="1">
      <alignment horizontal="right" vertical="center" wrapText="1"/>
      <protection locked="0"/>
    </xf>
    <xf numFmtId="0" fontId="14" fillId="6" borderId="28" xfId="3" applyFont="1" applyFill="1" applyBorder="1" applyAlignment="1" applyProtection="1">
      <alignment horizontal="right" vertical="center" wrapText="1"/>
      <protection locked="0"/>
    </xf>
    <xf numFmtId="164" fontId="7" fillId="0" borderId="9" xfId="4" applyFont="1" applyBorder="1" applyAlignment="1">
      <alignment horizontal="center" vertical="center"/>
    </xf>
    <xf numFmtId="164" fontId="7" fillId="0" borderId="10" xfId="4" applyFont="1" applyBorder="1" applyAlignment="1">
      <alignment horizontal="center" vertical="center"/>
    </xf>
    <xf numFmtId="164" fontId="7" fillId="0" borderId="4" xfId="4" applyFont="1" applyBorder="1" applyAlignment="1">
      <alignment horizontal="center" vertical="center"/>
    </xf>
    <xf numFmtId="164" fontId="7" fillId="0" borderId="11" xfId="4" applyFont="1" applyBorder="1" applyAlignment="1">
      <alignment horizontal="center" vertical="center"/>
    </xf>
    <xf numFmtId="164" fontId="7" fillId="0" borderId="12" xfId="4" applyFont="1" applyBorder="1" applyAlignment="1">
      <alignment horizontal="center" vertical="center"/>
    </xf>
    <xf numFmtId="164" fontId="7" fillId="0" borderId="14" xfId="4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18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18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164" fontId="7" fillId="0" borderId="34" xfId="4" applyFont="1" applyBorder="1" applyAlignment="1">
      <alignment horizontal="center" vertical="center"/>
    </xf>
    <xf numFmtId="164" fontId="7" fillId="0" borderId="35" xfId="4" applyFont="1" applyBorder="1" applyAlignment="1">
      <alignment horizontal="center" vertical="center"/>
    </xf>
    <xf numFmtId="164" fontId="7" fillId="0" borderId="36" xfId="4" applyFont="1" applyBorder="1" applyAlignment="1">
      <alignment horizontal="center" vertical="center"/>
    </xf>
    <xf numFmtId="164" fontId="7" fillId="0" borderId="37" xfId="4" applyFont="1" applyBorder="1" applyAlignment="1">
      <alignment horizontal="center" vertical="center"/>
    </xf>
    <xf numFmtId="164" fontId="7" fillId="0" borderId="0" xfId="4" applyFont="1" applyBorder="1" applyAlignment="1">
      <alignment horizontal="center" vertical="center"/>
    </xf>
    <xf numFmtId="164" fontId="7" fillId="0" borderId="13" xfId="4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64" fontId="10" fillId="2" borderId="39" xfId="4" applyFont="1" applyFill="1" applyBorder="1" applyAlignment="1" applyProtection="1">
      <alignment horizontal="center" vertical="center" wrapText="1"/>
      <protection locked="0"/>
    </xf>
    <xf numFmtId="164" fontId="14" fillId="4" borderId="38" xfId="4" applyFont="1" applyFill="1" applyBorder="1" applyAlignment="1" applyProtection="1">
      <alignment horizontal="center" vertical="center"/>
      <protection locked="0"/>
    </xf>
    <xf numFmtId="0" fontId="5" fillId="12" borderId="6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10" fillId="2" borderId="40" xfId="3" applyFont="1" applyFill="1" applyBorder="1" applyAlignment="1" applyProtection="1">
      <alignment horizontal="center" vertical="center"/>
      <protection locked="0"/>
    </xf>
    <xf numFmtId="0" fontId="10" fillId="2" borderId="41" xfId="3" applyFont="1" applyFill="1" applyBorder="1" applyAlignment="1" applyProtection="1">
      <alignment horizontal="center" vertical="center"/>
      <protection locked="0"/>
    </xf>
    <xf numFmtId="0" fontId="10" fillId="2" borderId="41" xfId="3" applyFont="1" applyFill="1" applyBorder="1" applyAlignment="1" applyProtection="1">
      <alignment horizontal="center" vertical="center" wrapText="1"/>
      <protection locked="0"/>
    </xf>
    <xf numFmtId="4" fontId="10" fillId="2" borderId="41" xfId="3" applyNumberFormat="1" applyFont="1" applyFill="1" applyBorder="1" applyAlignment="1" applyProtection="1">
      <alignment horizontal="center" vertical="center"/>
      <protection locked="0"/>
    </xf>
    <xf numFmtId="164" fontId="10" fillId="2" borderId="41" xfId="4" applyFont="1" applyFill="1" applyBorder="1" applyAlignment="1" applyProtection="1">
      <alignment horizontal="center" vertical="center" wrapText="1"/>
      <protection locked="0"/>
    </xf>
    <xf numFmtId="164" fontId="10" fillId="2" borderId="42" xfId="4" applyFont="1" applyFill="1" applyBorder="1" applyAlignment="1" applyProtection="1">
      <alignment horizontal="center" vertical="center" wrapText="1"/>
      <protection locked="0"/>
    </xf>
    <xf numFmtId="0" fontId="14" fillId="4" borderId="43" xfId="3" applyFont="1" applyFill="1" applyBorder="1" applyAlignment="1" applyProtection="1">
      <alignment horizontal="center" vertical="center" wrapText="1"/>
      <protection locked="0"/>
    </xf>
    <xf numFmtId="0" fontId="14" fillId="4" borderId="44" xfId="3" applyFont="1" applyFill="1" applyBorder="1" applyAlignment="1" applyProtection="1">
      <alignment horizontal="center" vertical="center" wrapText="1"/>
      <protection locked="0"/>
    </xf>
    <xf numFmtId="0" fontId="14" fillId="4" borderId="44" xfId="3" applyFont="1" applyFill="1" applyBorder="1" applyAlignment="1" applyProtection="1">
      <alignment horizontal="center" vertical="center"/>
      <protection locked="0"/>
    </xf>
    <xf numFmtId="0" fontId="14" fillId="4" borderId="44" xfId="3" applyFont="1" applyFill="1" applyBorder="1" applyAlignment="1" applyProtection="1">
      <alignment horizontal="left" vertical="center" wrapText="1"/>
      <protection locked="0"/>
    </xf>
    <xf numFmtId="4" fontId="14" fillId="4" borderId="44" xfId="3" applyNumberFormat="1" applyFont="1" applyFill="1" applyBorder="1" applyAlignment="1" applyProtection="1">
      <alignment horizontal="center" vertical="center"/>
      <protection locked="0"/>
    </xf>
    <xf numFmtId="164" fontId="14" fillId="4" borderId="44" xfId="4" applyFont="1" applyFill="1" applyBorder="1" applyAlignment="1" applyProtection="1">
      <alignment horizontal="center" vertical="center"/>
      <protection locked="0"/>
    </xf>
    <xf numFmtId="0" fontId="11" fillId="3" borderId="5" xfId="3" applyFont="1" applyFill="1" applyBorder="1" applyAlignment="1" applyProtection="1">
      <alignment horizontal="center" vertical="center"/>
      <protection locked="0"/>
    </xf>
    <xf numFmtId="0" fontId="11" fillId="3" borderId="6" xfId="3" applyFont="1" applyFill="1" applyBorder="1" applyAlignment="1" applyProtection="1">
      <alignment horizontal="center" vertical="center"/>
      <protection locked="0"/>
    </xf>
  </cellXfs>
  <cellStyles count="5">
    <cellStyle name="Moeda" xfId="4" builtinId="4"/>
    <cellStyle name="Normal" xfId="0" builtinId="0"/>
    <cellStyle name="Normal 2" xfId="3"/>
    <cellStyle name="Normal_FICHA DE VERIFICAÇÃO PRELIMINAR - Plano R" xfId="2"/>
    <cellStyle name="Porcentagem" xfId="1" builtinId="5"/>
  </cellStyles>
  <dxfs count="2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5700"/>
      </font>
      <fill>
        <patternFill>
          <bgColor rgb="FFFFEB9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E26B0A"/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228600</xdr:colOff>
      <xdr:row>1</xdr:row>
      <xdr:rowOff>71187</xdr:rowOff>
    </xdr:from>
    <xdr:to>
      <xdr:col>7</xdr:col>
      <xdr:colOff>1079897</xdr:colOff>
      <xdr:row>6</xdr:row>
      <xdr:rowOff>185310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74867A7-0AEA-4C36-B21A-F250A7122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77100" y="309312"/>
          <a:ext cx="851297" cy="10666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337739</xdr:colOff>
      <xdr:row>1</xdr:row>
      <xdr:rowOff>71187</xdr:rowOff>
    </xdr:from>
    <xdr:to>
      <xdr:col>9</xdr:col>
      <xdr:colOff>474661</xdr:colOff>
      <xdr:row>6</xdr:row>
      <xdr:rowOff>185310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F2918C1B-ECB7-4825-B1D8-3DC956AED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29189" y="309312"/>
          <a:ext cx="851297" cy="10666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186518</xdr:colOff>
      <xdr:row>142</xdr:row>
      <xdr:rowOff>90478</xdr:rowOff>
    </xdr:from>
    <xdr:to>
      <xdr:col>1</xdr:col>
      <xdr:colOff>220478</xdr:colOff>
      <xdr:row>146</xdr:row>
      <xdr:rowOff>1764</xdr:rowOff>
    </xdr:to>
    <xdr:pic>
      <xdr:nvPicPr>
        <xdr:cNvPr id="4" name="Imagem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6518" y="4662478"/>
          <a:ext cx="643560" cy="6923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538942</xdr:colOff>
      <xdr:row>1</xdr:row>
      <xdr:rowOff>87303</xdr:rowOff>
    </xdr:from>
    <xdr:to>
      <xdr:col>8</xdr:col>
      <xdr:colOff>466724</xdr:colOff>
      <xdr:row>6</xdr:row>
      <xdr:rowOff>123512</xdr:rowOff>
    </xdr:to>
    <xdr:pic>
      <xdr:nvPicPr>
        <xdr:cNvPr id="5" name="Imagem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20692" y="325428"/>
          <a:ext cx="927907" cy="9982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53167</xdr:colOff>
      <xdr:row>1</xdr:row>
      <xdr:rowOff>106353</xdr:rowOff>
    </xdr:from>
    <xdr:to>
      <xdr:col>7</xdr:col>
      <xdr:colOff>981074</xdr:colOff>
      <xdr:row>6</xdr:row>
      <xdr:rowOff>142562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ADCCF310-A5B2-421E-9D9B-B4861D7D0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4917" y="344478"/>
          <a:ext cx="927907" cy="9982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186518</xdr:colOff>
      <xdr:row>142</xdr:row>
      <xdr:rowOff>90478</xdr:rowOff>
    </xdr:from>
    <xdr:to>
      <xdr:col>1</xdr:col>
      <xdr:colOff>220478</xdr:colOff>
      <xdr:row>146</xdr:row>
      <xdr:rowOff>1764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6518" y="25188853"/>
          <a:ext cx="643560" cy="6923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176992</xdr:colOff>
      <xdr:row>1</xdr:row>
      <xdr:rowOff>115878</xdr:rowOff>
    </xdr:from>
    <xdr:to>
      <xdr:col>8</xdr:col>
      <xdr:colOff>104774</xdr:colOff>
      <xdr:row>6</xdr:row>
      <xdr:rowOff>152087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11642" y="354003"/>
          <a:ext cx="927907" cy="9982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a2" displayName="Tabela2" ref="M10:M12" totalsRowShown="0" headerRowDxfId="28" dataDxfId="27">
  <autoFilter ref="M10:M12"/>
  <tableColumns count="1">
    <tableColumn id="1" name="Coluna1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a33" displayName="Tabela33" ref="M15:M20" totalsRowShown="0" headerRowDxfId="25" dataDxfId="24">
  <autoFilter ref="M15:M20"/>
  <tableColumns count="1">
    <tableColumn id="1" name="Coluna1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"/>
  <sheetViews>
    <sheetView workbookViewId="0">
      <selection activeCell="E9" sqref="E9"/>
    </sheetView>
  </sheetViews>
  <sheetFormatPr defaultRowHeight="15" x14ac:dyDescent="0.25"/>
  <cols>
    <col min="1" max="1" width="22.28515625" bestFit="1" customWidth="1"/>
    <col min="2" max="2" width="11" bestFit="1" customWidth="1"/>
    <col min="3" max="7" width="18.140625" customWidth="1"/>
    <col min="8" max="8" width="18.42578125" customWidth="1"/>
  </cols>
  <sheetData>
    <row r="1" spans="1:8" ht="18.75" thickBot="1" x14ac:dyDescent="0.3">
      <c r="A1" s="158" t="s">
        <v>32</v>
      </c>
      <c r="B1" s="159"/>
      <c r="C1" s="159"/>
      <c r="D1" s="159"/>
      <c r="E1" s="159"/>
      <c r="F1" s="159"/>
      <c r="G1" s="159"/>
      <c r="H1" s="160"/>
    </row>
    <row r="2" spans="1:8" ht="15.75" thickBot="1" x14ac:dyDescent="0.3">
      <c r="A2" s="161" t="s">
        <v>4</v>
      </c>
      <c r="B2" s="162"/>
      <c r="C2" s="162"/>
      <c r="D2" s="162"/>
      <c r="E2" s="162"/>
      <c r="F2" s="162"/>
      <c r="G2" s="162"/>
      <c r="H2" s="163"/>
    </row>
    <row r="3" spans="1:8" x14ac:dyDescent="0.25">
      <c r="A3" s="56" t="s">
        <v>215</v>
      </c>
      <c r="B3" s="57"/>
      <c r="C3" s="57"/>
      <c r="D3" s="57"/>
      <c r="E3" s="57"/>
      <c r="F3" s="57"/>
      <c r="G3" s="57"/>
      <c r="H3" s="164"/>
    </row>
    <row r="4" spans="1:8" x14ac:dyDescent="0.25">
      <c r="A4" s="58" t="s">
        <v>216</v>
      </c>
      <c r="B4" s="59"/>
      <c r="C4" s="59"/>
      <c r="D4" s="59"/>
      <c r="E4" s="59"/>
      <c r="F4" s="59"/>
      <c r="G4" s="59"/>
      <c r="H4" s="164"/>
    </row>
    <row r="5" spans="1:8" x14ac:dyDescent="0.25">
      <c r="A5" s="60" t="s">
        <v>217</v>
      </c>
      <c r="B5" s="61"/>
      <c r="C5" s="61"/>
      <c r="D5" s="61"/>
      <c r="E5" s="61"/>
      <c r="F5" s="61"/>
      <c r="G5" s="61"/>
      <c r="H5" s="164"/>
    </row>
    <row r="6" spans="1:8" x14ac:dyDescent="0.25">
      <c r="A6" s="60" t="s">
        <v>349</v>
      </c>
      <c r="B6" s="62"/>
      <c r="C6" s="62"/>
      <c r="D6" s="62"/>
      <c r="E6" s="62"/>
      <c r="F6" s="62"/>
      <c r="G6" s="62"/>
      <c r="H6" s="164"/>
    </row>
    <row r="7" spans="1:8" ht="15.75" thickBot="1" x14ac:dyDescent="0.3">
      <c r="A7" s="63" t="s">
        <v>218</v>
      </c>
      <c r="B7" s="64"/>
      <c r="C7" s="64"/>
      <c r="D7" s="64"/>
      <c r="E7" s="64"/>
      <c r="F7" s="64"/>
      <c r="G7" s="64"/>
      <c r="H7" s="165"/>
    </row>
    <row r="8" spans="1:8" x14ac:dyDescent="0.25">
      <c r="A8" s="65"/>
      <c r="B8" s="1"/>
      <c r="C8" s="1"/>
      <c r="D8" s="1"/>
      <c r="E8" s="1"/>
      <c r="F8" s="1"/>
      <c r="G8" s="1"/>
      <c r="H8" s="66"/>
    </row>
    <row r="9" spans="1:8" ht="15.75" thickBot="1" x14ac:dyDescent="0.3">
      <c r="A9" s="65"/>
      <c r="B9" s="1"/>
      <c r="C9" s="1"/>
      <c r="D9" s="1"/>
      <c r="E9" s="1"/>
      <c r="F9" s="1"/>
      <c r="G9" s="1"/>
      <c r="H9" s="66"/>
    </row>
    <row r="10" spans="1:8" x14ac:dyDescent="0.25">
      <c r="A10" s="155" t="s">
        <v>33</v>
      </c>
      <c r="B10" s="156"/>
      <c r="C10" s="156"/>
      <c r="D10" s="156"/>
      <c r="E10" s="156"/>
      <c r="F10" s="156"/>
      <c r="G10" s="156"/>
      <c r="H10" s="157"/>
    </row>
    <row r="11" spans="1:8" ht="15.75" thickBot="1" x14ac:dyDescent="0.3">
      <c r="A11" s="166" t="s">
        <v>34</v>
      </c>
      <c r="B11" s="167"/>
      <c r="C11" s="167"/>
      <c r="D11" s="167"/>
      <c r="E11" s="167"/>
      <c r="F11" s="167"/>
      <c r="G11" s="167"/>
      <c r="H11" s="67">
        <v>0</v>
      </c>
    </row>
    <row r="12" spans="1:8" ht="15.75" thickBot="1" x14ac:dyDescent="0.3">
      <c r="A12" s="65"/>
      <c r="B12" s="1"/>
      <c r="C12" s="1"/>
      <c r="D12" s="1"/>
      <c r="E12" s="1"/>
      <c r="F12" s="1"/>
      <c r="G12" s="1"/>
      <c r="H12" s="66"/>
    </row>
    <row r="13" spans="1:8" x14ac:dyDescent="0.25">
      <c r="A13" s="155" t="s">
        <v>35</v>
      </c>
      <c r="B13" s="156"/>
      <c r="C13" s="156"/>
      <c r="D13" s="156"/>
      <c r="E13" s="156"/>
      <c r="F13" s="156"/>
      <c r="G13" s="156"/>
      <c r="H13" s="157"/>
    </row>
    <row r="14" spans="1:8" x14ac:dyDescent="0.25">
      <c r="A14" s="68" t="s">
        <v>5</v>
      </c>
      <c r="B14" s="69" t="s">
        <v>219</v>
      </c>
      <c r="C14" s="69"/>
      <c r="D14" s="69"/>
      <c r="E14" s="1"/>
      <c r="F14" s="1"/>
      <c r="G14" s="1"/>
      <c r="H14" s="66"/>
    </row>
    <row r="15" spans="1:8" x14ac:dyDescent="0.25">
      <c r="A15" s="68" t="s">
        <v>6</v>
      </c>
      <c r="B15" s="69" t="s">
        <v>220</v>
      </c>
      <c r="C15" s="69"/>
      <c r="D15" s="69"/>
      <c r="E15" s="1"/>
      <c r="F15" s="1"/>
      <c r="G15" s="1"/>
      <c r="H15" s="66"/>
    </row>
    <row r="16" spans="1:8" ht="15.75" thickBot="1" x14ac:dyDescent="0.3">
      <c r="A16" s="70" t="s">
        <v>7</v>
      </c>
      <c r="B16" s="71">
        <v>5070232434</v>
      </c>
      <c r="C16" s="72"/>
      <c r="D16" s="72"/>
      <c r="E16" s="73"/>
      <c r="F16" s="73"/>
      <c r="G16" s="73"/>
      <c r="H16" s="74"/>
    </row>
  </sheetData>
  <mergeCells count="6">
    <mergeCell ref="A13:H13"/>
    <mergeCell ref="A1:H1"/>
    <mergeCell ref="A2:G2"/>
    <mergeCell ref="H2:H7"/>
    <mergeCell ref="A10:H10"/>
    <mergeCell ref="A11:G11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"/>
  <sheetViews>
    <sheetView workbookViewId="0">
      <selection activeCell="A31" sqref="A31:J41"/>
    </sheetView>
  </sheetViews>
  <sheetFormatPr defaultRowHeight="15" x14ac:dyDescent="0.25"/>
  <cols>
    <col min="2" max="2" width="11.28515625" customWidth="1"/>
    <col min="8" max="10" width="10.7109375" customWidth="1"/>
    <col min="13" max="15" width="0" hidden="1" customWidth="1"/>
  </cols>
  <sheetData>
    <row r="1" spans="1:18" ht="18.75" thickBot="1" x14ac:dyDescent="0.3">
      <c r="A1" s="158" t="s">
        <v>36</v>
      </c>
      <c r="B1" s="159"/>
      <c r="C1" s="159"/>
      <c r="D1" s="159"/>
      <c r="E1" s="159"/>
      <c r="F1" s="159"/>
      <c r="G1" s="159"/>
      <c r="H1" s="159"/>
      <c r="I1" s="159"/>
      <c r="J1" s="160"/>
      <c r="K1" s="1"/>
      <c r="L1" s="1"/>
      <c r="M1" s="1"/>
      <c r="N1" s="1"/>
      <c r="O1" s="1"/>
      <c r="P1" s="1"/>
      <c r="Q1" s="1"/>
      <c r="R1" s="1"/>
    </row>
    <row r="2" spans="1:18" ht="15.75" thickBot="1" x14ac:dyDescent="0.3">
      <c r="A2" s="161" t="s">
        <v>4</v>
      </c>
      <c r="B2" s="162"/>
      <c r="C2" s="162"/>
      <c r="D2" s="162"/>
      <c r="E2" s="162"/>
      <c r="F2" s="162"/>
      <c r="G2" s="162"/>
      <c r="H2" s="172"/>
      <c r="I2" s="173"/>
      <c r="J2" s="174"/>
      <c r="K2" s="1"/>
      <c r="L2" s="1"/>
      <c r="M2" s="1"/>
      <c r="N2" s="1"/>
      <c r="O2" s="1"/>
      <c r="P2" s="1"/>
      <c r="Q2" s="1"/>
      <c r="R2" s="1"/>
    </row>
    <row r="3" spans="1:18" x14ac:dyDescent="0.25">
      <c r="A3" s="75" t="str">
        <f>Dados!A3</f>
        <v xml:space="preserve">OBJETO:REFORMA DA FACHADA DO HOSPITAL </v>
      </c>
      <c r="B3" s="76"/>
      <c r="C3" s="76"/>
      <c r="D3" s="76"/>
      <c r="E3" s="76"/>
      <c r="F3" s="76"/>
      <c r="G3" s="76"/>
      <c r="H3" s="77"/>
      <c r="I3" s="175"/>
      <c r="J3" s="176"/>
      <c r="K3" s="1"/>
      <c r="L3" s="1"/>
      <c r="M3" s="1"/>
      <c r="N3" s="1"/>
      <c r="O3" s="1"/>
      <c r="P3" s="1"/>
      <c r="Q3" s="1"/>
      <c r="R3" s="1"/>
    </row>
    <row r="4" spans="1:18" x14ac:dyDescent="0.25">
      <c r="A4" s="78" t="str">
        <f>Dados!A4</f>
        <v>ENDEREÇO: AVENIDA GABRIEL MONTEIRO DA SILVA Nº 888 - CENTRO - IBIÚNA - SP</v>
      </c>
      <c r="B4" s="79"/>
      <c r="C4" s="79"/>
      <c r="D4" s="79"/>
      <c r="E4" s="79"/>
      <c r="F4" s="79"/>
      <c r="G4" s="79"/>
      <c r="H4" s="80"/>
      <c r="I4" s="175"/>
      <c r="J4" s="176"/>
      <c r="K4" s="1"/>
      <c r="L4" s="1"/>
      <c r="M4" s="1"/>
      <c r="N4" s="1"/>
      <c r="O4" s="1"/>
      <c r="P4" s="1"/>
      <c r="Q4" s="1"/>
      <c r="R4" s="1"/>
    </row>
    <row r="5" spans="1:18" x14ac:dyDescent="0.25">
      <c r="A5" s="78" t="str">
        <f>Dados!A5</f>
        <v>DATA DA ELABORAÇÃO: 14/04/2026</v>
      </c>
      <c r="B5" s="81"/>
      <c r="C5" s="81"/>
      <c r="D5" s="81"/>
      <c r="E5" s="81"/>
      <c r="F5" s="81"/>
      <c r="G5" s="81"/>
      <c r="H5" s="82"/>
      <c r="I5" s="175"/>
      <c r="J5" s="176"/>
      <c r="K5" s="1"/>
      <c r="L5" s="1"/>
      <c r="M5" s="1"/>
      <c r="N5" s="1"/>
      <c r="O5" s="1"/>
      <c r="P5" s="1"/>
      <c r="Q5" s="1"/>
      <c r="R5" s="1"/>
    </row>
    <row r="6" spans="1:18" x14ac:dyDescent="0.25">
      <c r="A6" s="78" t="str">
        <f>Dados!A6</f>
        <v>FONTE: CDHU 201 - SINAPI MARÇO/2026 - AMBOS DESONERADOS</v>
      </c>
      <c r="B6" s="83"/>
      <c r="C6" s="83"/>
      <c r="D6" s="83"/>
      <c r="E6" s="83"/>
      <c r="F6" s="83"/>
      <c r="G6" s="83"/>
      <c r="H6" s="84"/>
      <c r="I6" s="175"/>
      <c r="J6" s="176"/>
      <c r="K6" s="1"/>
      <c r="L6" s="1"/>
      <c r="M6" s="1"/>
      <c r="N6" s="1"/>
      <c r="O6" s="1"/>
      <c r="P6" s="1"/>
      <c r="Q6" s="1"/>
      <c r="R6" s="1"/>
    </row>
    <row r="7" spans="1:18" ht="15.75" thickBot="1" x14ac:dyDescent="0.3">
      <c r="A7" s="85" t="str">
        <f>Dados!A7</f>
        <v xml:space="preserve">PRAZO DE EXECUÇÃO: 06 MESES </v>
      </c>
      <c r="B7" s="86"/>
      <c r="C7" s="86"/>
      <c r="D7" s="86"/>
      <c r="E7" s="86"/>
      <c r="F7" s="86"/>
      <c r="G7" s="86"/>
      <c r="H7" s="87"/>
      <c r="I7" s="177"/>
      <c r="J7" s="178"/>
      <c r="K7" s="1"/>
      <c r="L7" s="1"/>
      <c r="M7" s="1"/>
      <c r="N7" s="1"/>
      <c r="O7" s="1"/>
      <c r="P7" s="1"/>
      <c r="Q7" s="1"/>
      <c r="R7" s="1"/>
    </row>
    <row r="8" spans="1:18" ht="15.75" thickBot="1" x14ac:dyDescent="0.3">
      <c r="A8" s="65"/>
      <c r="B8" s="1"/>
      <c r="C8" s="1"/>
      <c r="D8" s="1"/>
      <c r="E8" s="1"/>
      <c r="F8" s="1"/>
      <c r="G8" s="1"/>
      <c r="H8" s="1"/>
      <c r="I8" s="1"/>
      <c r="J8" s="66"/>
      <c r="K8" s="1"/>
      <c r="L8" s="1"/>
      <c r="M8" s="1"/>
      <c r="N8" s="1"/>
      <c r="O8" s="1"/>
      <c r="P8" s="1"/>
      <c r="Q8" s="1"/>
      <c r="R8" s="1"/>
    </row>
    <row r="9" spans="1:18" x14ac:dyDescent="0.25">
      <c r="A9" s="179" t="s">
        <v>37</v>
      </c>
      <c r="B9" s="180"/>
      <c r="C9" s="180"/>
      <c r="D9" s="180"/>
      <c r="E9" s="180"/>
      <c r="F9" s="180"/>
      <c r="G9" s="180"/>
      <c r="H9" s="156" t="s">
        <v>38</v>
      </c>
      <c r="I9" s="156"/>
      <c r="J9" s="157"/>
      <c r="K9" s="1"/>
      <c r="L9" s="1"/>
      <c r="M9" s="1"/>
      <c r="N9" s="1"/>
      <c r="O9" s="1"/>
      <c r="P9" s="1"/>
      <c r="Q9" s="1"/>
      <c r="R9" s="1"/>
    </row>
    <row r="10" spans="1:18" ht="15.75" thickBot="1" x14ac:dyDescent="0.3">
      <c r="A10" s="168" t="s">
        <v>39</v>
      </c>
      <c r="B10" s="169"/>
      <c r="C10" s="169"/>
      <c r="D10" s="169"/>
      <c r="E10" s="169"/>
      <c r="F10" s="169"/>
      <c r="G10" s="169"/>
      <c r="H10" s="170" t="s">
        <v>40</v>
      </c>
      <c r="I10" s="170"/>
      <c r="J10" s="171"/>
      <c r="K10" s="1"/>
      <c r="L10" s="1"/>
      <c r="M10" s="1" t="s">
        <v>1</v>
      </c>
      <c r="N10" s="1"/>
      <c r="O10" s="1"/>
      <c r="P10" s="1"/>
      <c r="Q10" s="1"/>
      <c r="R10" s="1"/>
    </row>
    <row r="11" spans="1:18" ht="15.75" thickBot="1" x14ac:dyDescent="0.3">
      <c r="A11" s="65"/>
      <c r="B11" s="1"/>
      <c r="C11" s="1"/>
      <c r="D11" s="1"/>
      <c r="E11" s="1"/>
      <c r="F11" s="1"/>
      <c r="G11" s="1"/>
      <c r="H11" s="1"/>
      <c r="I11" s="1"/>
      <c r="J11" s="66"/>
      <c r="K11" s="1"/>
      <c r="L11" s="1"/>
      <c r="M11" s="1" t="s">
        <v>40</v>
      </c>
      <c r="N11" s="1"/>
      <c r="O11" s="1"/>
      <c r="P11" s="1"/>
      <c r="Q11" s="1"/>
      <c r="R11" s="1"/>
    </row>
    <row r="12" spans="1:18" x14ac:dyDescent="0.25">
      <c r="A12" s="179" t="s">
        <v>41</v>
      </c>
      <c r="B12" s="180"/>
      <c r="C12" s="180"/>
      <c r="D12" s="180"/>
      <c r="E12" s="180"/>
      <c r="F12" s="180"/>
      <c r="G12" s="180"/>
      <c r="H12" s="183">
        <v>1</v>
      </c>
      <c r="I12" s="183"/>
      <c r="J12" s="184"/>
      <c r="K12" s="1"/>
      <c r="L12" s="1"/>
      <c r="M12" s="1" t="s">
        <v>42</v>
      </c>
      <c r="N12" s="1"/>
      <c r="O12" s="1"/>
      <c r="P12" s="1"/>
      <c r="Q12" s="1"/>
      <c r="R12" s="1"/>
    </row>
    <row r="13" spans="1:18" ht="15.75" thickBot="1" x14ac:dyDescent="0.3">
      <c r="A13" s="166" t="s">
        <v>43</v>
      </c>
      <c r="B13" s="167"/>
      <c r="C13" s="167"/>
      <c r="D13" s="167"/>
      <c r="E13" s="167"/>
      <c r="F13" s="167"/>
      <c r="G13" s="167"/>
      <c r="H13" s="185">
        <v>2.5000000000000001E-2</v>
      </c>
      <c r="I13" s="185"/>
      <c r="J13" s="186"/>
      <c r="K13" s="1"/>
      <c r="L13" s="1"/>
      <c r="M13" s="1"/>
      <c r="N13" s="1"/>
      <c r="O13" s="1"/>
      <c r="P13" s="1"/>
      <c r="Q13" s="1"/>
      <c r="R13" s="1"/>
    </row>
    <row r="14" spans="1:18" ht="15.75" thickBot="1" x14ac:dyDescent="0.3">
      <c r="A14" s="65"/>
      <c r="B14" s="1"/>
      <c r="C14" s="1"/>
      <c r="D14" s="1"/>
      <c r="E14" s="1"/>
      <c r="F14" s="1"/>
      <c r="G14" s="1"/>
      <c r="H14" s="1"/>
      <c r="I14" s="1"/>
      <c r="J14" s="66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87" t="s">
        <v>44</v>
      </c>
      <c r="B15" s="188"/>
      <c r="C15" s="188"/>
      <c r="D15" s="188"/>
      <c r="E15" s="188" t="s">
        <v>45</v>
      </c>
      <c r="F15" s="191" t="s">
        <v>46</v>
      </c>
      <c r="G15" s="191" t="s">
        <v>47</v>
      </c>
      <c r="H15" s="193" t="s">
        <v>48</v>
      </c>
      <c r="I15" s="193"/>
      <c r="J15" s="194"/>
      <c r="K15" s="1"/>
      <c r="L15" s="1"/>
      <c r="M15" s="1" t="s">
        <v>1</v>
      </c>
      <c r="N15" s="1"/>
      <c r="O15" s="1"/>
      <c r="P15" s="1"/>
      <c r="Q15" s="1"/>
      <c r="R15" s="1"/>
    </row>
    <row r="16" spans="1:18" x14ac:dyDescent="0.25">
      <c r="A16" s="189"/>
      <c r="B16" s="190"/>
      <c r="C16" s="190"/>
      <c r="D16" s="190"/>
      <c r="E16" s="190"/>
      <c r="F16" s="192"/>
      <c r="G16" s="192"/>
      <c r="H16" s="88" t="s">
        <v>49</v>
      </c>
      <c r="I16" s="88" t="s">
        <v>50</v>
      </c>
      <c r="J16" s="89" t="s">
        <v>51</v>
      </c>
      <c r="K16" s="1"/>
      <c r="L16" s="1"/>
      <c r="M16" s="1" t="s">
        <v>39</v>
      </c>
      <c r="N16" s="1"/>
      <c r="O16" s="1"/>
      <c r="P16" s="1"/>
      <c r="Q16" s="1"/>
      <c r="R16" s="1"/>
    </row>
    <row r="17" spans="1:18" x14ac:dyDescent="0.25">
      <c r="A17" s="195" t="s">
        <v>52</v>
      </c>
      <c r="B17" s="196"/>
      <c r="C17" s="196"/>
      <c r="D17" s="196"/>
      <c r="E17" s="90" t="s">
        <v>53</v>
      </c>
      <c r="F17" s="91">
        <v>3.4500000000000003E-2</v>
      </c>
      <c r="G17" s="92" t="str">
        <f>IF(OR(F17&lt;H17,F17&gt;J17),"NÃO OK","OK")</f>
        <v>OK</v>
      </c>
      <c r="H17" s="93">
        <f t="shared" ref="H17:J18" si="0">IF($A$10=$M$16,M21,IF($A$10="Construção de Praças Urbanas, Rodovias, Ferrovias e Recapeamento e Pavimentação de Vias Urbanas",M32,M54))</f>
        <v>0.03</v>
      </c>
      <c r="I17" s="93">
        <f t="shared" si="0"/>
        <v>0.04</v>
      </c>
      <c r="J17" s="94">
        <f t="shared" si="0"/>
        <v>5.5E-2</v>
      </c>
      <c r="K17" s="1"/>
      <c r="L17" s="1"/>
      <c r="M17" s="1" t="s">
        <v>3</v>
      </c>
      <c r="N17" s="1"/>
      <c r="O17" s="1"/>
      <c r="P17" s="1"/>
      <c r="Q17" s="1"/>
      <c r="R17" s="1"/>
    </row>
    <row r="18" spans="1:18" x14ac:dyDescent="0.25">
      <c r="A18" s="195" t="s">
        <v>54</v>
      </c>
      <c r="B18" s="196"/>
      <c r="C18" s="196"/>
      <c r="D18" s="196"/>
      <c r="E18" s="90" t="s">
        <v>55</v>
      </c>
      <c r="F18" s="91">
        <v>8.0000000000000002E-3</v>
      </c>
      <c r="G18" s="92" t="str">
        <f t="shared" ref="G18:G23" si="1">IF(OR(F18&lt;H18,F18&gt;J18),"NÃO OK","OK")</f>
        <v>OK</v>
      </c>
      <c r="H18" s="93">
        <f t="shared" si="0"/>
        <v>8.0000000000000002E-3</v>
      </c>
      <c r="I18" s="93">
        <f t="shared" si="0"/>
        <v>8.0000000000000002E-3</v>
      </c>
      <c r="J18" s="94">
        <f t="shared" si="0"/>
        <v>0.01</v>
      </c>
      <c r="K18" s="1"/>
      <c r="L18" s="1"/>
      <c r="M18" s="1" t="s">
        <v>0</v>
      </c>
      <c r="N18" s="1"/>
      <c r="O18" s="1"/>
      <c r="P18" s="1"/>
      <c r="Q18" s="1"/>
      <c r="R18" s="1"/>
    </row>
    <row r="19" spans="1:18" x14ac:dyDescent="0.25">
      <c r="A19" s="195" t="s">
        <v>56</v>
      </c>
      <c r="B19" s="196"/>
      <c r="C19" s="196"/>
      <c r="D19" s="196"/>
      <c r="E19" s="90" t="s">
        <v>57</v>
      </c>
      <c r="F19" s="91">
        <v>1.2E-2</v>
      </c>
      <c r="G19" s="92" t="str">
        <f t="shared" si="1"/>
        <v>OK</v>
      </c>
      <c r="H19" s="93">
        <f t="shared" ref="H19:H25" si="2">IF($A$10=$M$16,M23,IF($A$10="Construção de Praças Urbanas, Rodovias, Ferrovias e Recapeamento e Pavimentação de Vias Urbanas",M34,M56))</f>
        <v>9.7000000000000003E-3</v>
      </c>
      <c r="I19" s="93">
        <f t="shared" ref="I19:J25" si="3">IF($A$10=$M$16,N23,IF($A$10="Construção de Praças Urbanas, Rodovias, Ferrovias e Recapeamento e Pavimentação de Vias Urbanas",N34,N56))</f>
        <v>1.2699999999999999E-2</v>
      </c>
      <c r="J19" s="94">
        <f t="shared" si="3"/>
        <v>1.2699999999999999E-2</v>
      </c>
      <c r="K19" s="1"/>
      <c r="L19" s="1"/>
      <c r="M19" s="1" t="s">
        <v>73</v>
      </c>
      <c r="N19" s="1"/>
      <c r="O19" s="1"/>
      <c r="P19" s="1"/>
      <c r="Q19" s="1"/>
      <c r="R19" s="1"/>
    </row>
    <row r="20" spans="1:18" x14ac:dyDescent="0.25">
      <c r="A20" s="195" t="s">
        <v>58</v>
      </c>
      <c r="B20" s="196"/>
      <c r="C20" s="196"/>
      <c r="D20" s="196"/>
      <c r="E20" s="90" t="s">
        <v>59</v>
      </c>
      <c r="F20" s="91">
        <v>5.8999999999999999E-3</v>
      </c>
      <c r="G20" s="92" t="str">
        <f t="shared" si="1"/>
        <v>OK</v>
      </c>
      <c r="H20" s="93">
        <f t="shared" si="2"/>
        <v>5.8999999999999999E-3</v>
      </c>
      <c r="I20" s="93">
        <f t="shared" si="3"/>
        <v>1.23E-2</v>
      </c>
      <c r="J20" s="94">
        <f t="shared" si="3"/>
        <v>1.3899999999999999E-2</v>
      </c>
      <c r="K20" s="1"/>
      <c r="L20" s="1"/>
      <c r="M20" s="1" t="s">
        <v>2</v>
      </c>
      <c r="N20" s="1"/>
      <c r="O20" s="1"/>
      <c r="P20" s="1"/>
      <c r="Q20" s="1"/>
      <c r="R20" s="1"/>
    </row>
    <row r="21" spans="1:18" x14ac:dyDescent="0.25">
      <c r="A21" s="195" t="s">
        <v>60</v>
      </c>
      <c r="B21" s="196"/>
      <c r="C21" s="196"/>
      <c r="D21" s="196"/>
      <c r="E21" s="90" t="s">
        <v>61</v>
      </c>
      <c r="F21" s="91">
        <v>6.5000000000000002E-2</v>
      </c>
      <c r="G21" s="92" t="str">
        <f t="shared" si="1"/>
        <v>OK</v>
      </c>
      <c r="H21" s="93">
        <f t="shared" si="2"/>
        <v>6.1600000000000002E-2</v>
      </c>
      <c r="I21" s="93">
        <f t="shared" si="3"/>
        <v>7.3999999999999996E-2</v>
      </c>
      <c r="J21" s="94">
        <f t="shared" si="3"/>
        <v>8.9599999999999999E-2</v>
      </c>
      <c r="K21" s="1"/>
      <c r="L21" s="1"/>
      <c r="M21" s="2">
        <v>0.03</v>
      </c>
      <c r="N21" s="2">
        <v>0.04</v>
      </c>
      <c r="O21" s="2">
        <v>5.5E-2</v>
      </c>
      <c r="P21" s="1"/>
      <c r="Q21" s="1"/>
      <c r="R21" s="1"/>
    </row>
    <row r="22" spans="1:18" x14ac:dyDescent="0.25">
      <c r="A22" s="181" t="s">
        <v>62</v>
      </c>
      <c r="B22" s="182"/>
      <c r="C22" s="182"/>
      <c r="D22" s="182"/>
      <c r="E22" s="90" t="s">
        <v>63</v>
      </c>
      <c r="F22" s="91">
        <v>3.6499999999999998E-2</v>
      </c>
      <c r="G22" s="92" t="str">
        <f t="shared" si="1"/>
        <v>OK</v>
      </c>
      <c r="H22" s="93">
        <f t="shared" si="2"/>
        <v>3.6499999999999998E-2</v>
      </c>
      <c r="I22" s="93">
        <f t="shared" si="3"/>
        <v>3.6499999999999998E-2</v>
      </c>
      <c r="J22" s="94">
        <f t="shared" si="3"/>
        <v>3.6499999999999998E-2</v>
      </c>
      <c r="K22" s="1"/>
      <c r="L22" s="1"/>
      <c r="M22" s="2">
        <v>8.0000000000000002E-3</v>
      </c>
      <c r="N22" s="2">
        <v>8.0000000000000002E-3</v>
      </c>
      <c r="O22" s="2">
        <v>0.01</v>
      </c>
      <c r="P22" s="1"/>
      <c r="Q22" s="1"/>
      <c r="R22" s="1"/>
    </row>
    <row r="23" spans="1:18" x14ac:dyDescent="0.25">
      <c r="A23" s="195" t="s">
        <v>64</v>
      </c>
      <c r="B23" s="196"/>
      <c r="C23" s="196"/>
      <c r="D23" s="196"/>
      <c r="E23" s="90" t="s">
        <v>65</v>
      </c>
      <c r="F23" s="93">
        <f>IF(A10="Fornecimento de Materiais e Equipamentos",0,H12*H13)</f>
        <v>2.5000000000000001E-2</v>
      </c>
      <c r="G23" s="92" t="str">
        <f t="shared" si="1"/>
        <v>OK</v>
      </c>
      <c r="H23" s="93">
        <f t="shared" si="2"/>
        <v>0</v>
      </c>
      <c r="I23" s="93">
        <f t="shared" si="3"/>
        <v>2.5000000000000001E-2</v>
      </c>
      <c r="J23" s="94">
        <f t="shared" si="3"/>
        <v>0.05</v>
      </c>
      <c r="K23" s="1"/>
      <c r="L23" s="1"/>
      <c r="M23" s="2">
        <v>9.7000000000000003E-3</v>
      </c>
      <c r="N23" s="2">
        <v>1.2699999999999999E-2</v>
      </c>
      <c r="O23" s="2">
        <v>1.2699999999999999E-2</v>
      </c>
      <c r="P23" s="1"/>
      <c r="Q23" s="1"/>
      <c r="R23" s="1"/>
    </row>
    <row r="24" spans="1:18" x14ac:dyDescent="0.25">
      <c r="A24" s="181" t="s">
        <v>66</v>
      </c>
      <c r="B24" s="182"/>
      <c r="C24" s="182"/>
      <c r="D24" s="182"/>
      <c r="E24" s="90" t="s">
        <v>67</v>
      </c>
      <c r="F24" s="93">
        <f>IF(H10="Sim",4.5%,0%)</f>
        <v>4.4999999999999998E-2</v>
      </c>
      <c r="G24" s="95" t="str">
        <f>IF(AND(F24&gt;=H24, F24&lt;=J24), "OK", "NÃO OK")</f>
        <v>OK</v>
      </c>
      <c r="H24" s="93">
        <f t="shared" si="2"/>
        <v>0</v>
      </c>
      <c r="I24" s="93">
        <f t="shared" si="3"/>
        <v>4.4999999999999998E-2</v>
      </c>
      <c r="J24" s="94">
        <f t="shared" si="3"/>
        <v>4.4999999999999998E-2</v>
      </c>
      <c r="K24" s="1"/>
      <c r="L24" s="1"/>
      <c r="M24" s="2">
        <v>5.8999999999999999E-3</v>
      </c>
      <c r="N24" s="2">
        <v>1.23E-2</v>
      </c>
      <c r="O24" s="2">
        <v>1.3899999999999999E-2</v>
      </c>
      <c r="P24" s="1"/>
      <c r="Q24" s="1"/>
      <c r="R24" s="1"/>
    </row>
    <row r="25" spans="1:18" x14ac:dyDescent="0.25">
      <c r="A25" s="195" t="s">
        <v>68</v>
      </c>
      <c r="B25" s="196"/>
      <c r="C25" s="196"/>
      <c r="D25" s="196"/>
      <c r="E25" s="96" t="s">
        <v>69</v>
      </c>
      <c r="F25" s="93">
        <f>ROUND((((1+F17+F18+F19)*(1+F20)*(1+F21)/(1-(F22+F23)))-1),4)</f>
        <v>0.20369999999999999</v>
      </c>
      <c r="G25" s="95" t="str">
        <f>IF(AND(F25&gt;=H25, F25&lt;=J25),"OK","NÃO OK")</f>
        <v>OK</v>
      </c>
      <c r="H25" s="93">
        <f t="shared" si="2"/>
        <v>0.2034</v>
      </c>
      <c r="I25" s="93">
        <f t="shared" si="3"/>
        <v>0.22120000000000001</v>
      </c>
      <c r="J25" s="94">
        <f t="shared" si="3"/>
        <v>0.25</v>
      </c>
      <c r="K25" s="1"/>
      <c r="L25" s="1"/>
      <c r="M25" s="2">
        <v>6.1600000000000002E-2</v>
      </c>
      <c r="N25" s="2">
        <v>7.3999999999999996E-2</v>
      </c>
      <c r="O25" s="2">
        <v>8.9599999999999999E-2</v>
      </c>
      <c r="P25" s="1"/>
      <c r="Q25" s="1"/>
      <c r="R25" s="1"/>
    </row>
    <row r="26" spans="1:18" ht="15.75" thickBot="1" x14ac:dyDescent="0.3">
      <c r="A26" s="208" t="s">
        <v>70</v>
      </c>
      <c r="B26" s="209"/>
      <c r="C26" s="209"/>
      <c r="D26" s="209"/>
      <c r="E26" s="97" t="s">
        <v>71</v>
      </c>
      <c r="F26" s="98">
        <f>IF(A10="Sem aplicação de BDI",0,IF(A10="Obras de Educação",0.23,ROUND((((1+F17+F18+F19)*(1+F20)*(1+F21)/(1-(F22+F23+F24)))-1),4)))</f>
        <v>0.26429999999999998</v>
      </c>
      <c r="G26" s="99" t="str">
        <f>IF(H10&lt;&gt;"Sim","",IF(COUNTIF(G17:G25,"NÃO OK")&gt;0,"NÃO OK","OK"))</f>
        <v>OK</v>
      </c>
      <c r="H26" s="210"/>
      <c r="I26" s="210"/>
      <c r="J26" s="211"/>
      <c r="K26" s="1"/>
      <c r="L26" s="1"/>
      <c r="M26" s="2">
        <v>3.6499999999999998E-2</v>
      </c>
      <c r="N26" s="2">
        <v>3.6499999999999998E-2</v>
      </c>
      <c r="O26" s="2">
        <v>3.6499999999999998E-2</v>
      </c>
      <c r="P26" s="1"/>
      <c r="Q26" s="1"/>
      <c r="R26" s="1"/>
    </row>
    <row r="27" spans="1:18" x14ac:dyDescent="0.25">
      <c r="A27" s="3"/>
      <c r="B27" s="4"/>
      <c r="C27" s="4"/>
      <c r="D27" s="4"/>
      <c r="E27" s="100"/>
      <c r="F27" s="101"/>
      <c r="G27" s="102"/>
      <c r="H27" s="103"/>
      <c r="I27" s="103"/>
      <c r="J27" s="104"/>
      <c r="K27" s="1"/>
      <c r="L27" s="1"/>
      <c r="M27" s="2">
        <v>0</v>
      </c>
      <c r="N27" s="2">
        <v>2.5000000000000001E-2</v>
      </c>
      <c r="O27" s="2">
        <v>0.05</v>
      </c>
      <c r="P27" s="1"/>
      <c r="Q27" s="1"/>
      <c r="R27" s="1"/>
    </row>
    <row r="28" spans="1:18" x14ac:dyDescent="0.25">
      <c r="A28" s="3"/>
      <c r="B28" s="4"/>
      <c r="C28" s="4"/>
      <c r="D28" s="4"/>
      <c r="E28" s="100"/>
      <c r="F28" s="101"/>
      <c r="G28" s="102"/>
      <c r="H28" s="103"/>
      <c r="I28" s="103"/>
      <c r="J28" s="104"/>
      <c r="K28" s="1"/>
      <c r="L28" s="1"/>
      <c r="M28" s="2">
        <v>0</v>
      </c>
      <c r="N28" s="2">
        <v>4.4999999999999998E-2</v>
      </c>
      <c r="O28" s="2">
        <v>4.4999999999999998E-2</v>
      </c>
      <c r="P28" s="1"/>
      <c r="Q28" s="1"/>
      <c r="R28" s="1"/>
    </row>
    <row r="29" spans="1:18" ht="15.75" thickBot="1" x14ac:dyDescent="0.3">
      <c r="A29" s="105"/>
      <c r="B29" s="106"/>
      <c r="C29" s="106"/>
      <c r="D29" s="106"/>
      <c r="E29" s="106"/>
      <c r="F29" s="106"/>
      <c r="G29" s="106"/>
      <c r="H29" s="106"/>
      <c r="I29" s="106"/>
      <c r="J29" s="107"/>
      <c r="K29" s="1"/>
      <c r="L29" s="1"/>
      <c r="M29" s="2">
        <v>0.2034</v>
      </c>
      <c r="N29" s="2">
        <v>0.22120000000000001</v>
      </c>
      <c r="O29" s="2">
        <v>0.25</v>
      </c>
      <c r="P29" s="1"/>
      <c r="Q29" s="1"/>
      <c r="R29" s="1"/>
    </row>
    <row r="30" spans="1:18" x14ac:dyDescent="0.25">
      <c r="A30" s="212" t="s">
        <v>72</v>
      </c>
      <c r="B30" s="213"/>
      <c r="C30" s="213"/>
      <c r="D30" s="213"/>
      <c r="E30" s="213"/>
      <c r="F30" s="213"/>
      <c r="G30" s="213"/>
      <c r="H30" s="213"/>
      <c r="I30" s="213"/>
      <c r="J30" s="214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s="197" t="str">
        <f>IF(A10="Obras de Educação","Aplicação de BDI setorial conforme pré estabelecido na planilha FDE"," ")</f>
        <v xml:space="preserve"> </v>
      </c>
      <c r="B31" s="198"/>
      <c r="C31" s="198"/>
      <c r="D31" s="198"/>
      <c r="E31" s="198"/>
      <c r="F31" s="198"/>
      <c r="G31" s="198"/>
      <c r="H31" s="198"/>
      <c r="I31" s="198"/>
      <c r="J31" s="199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197"/>
      <c r="B32" s="198"/>
      <c r="C32" s="198"/>
      <c r="D32" s="198"/>
      <c r="E32" s="198"/>
      <c r="F32" s="198"/>
      <c r="G32" s="198"/>
      <c r="H32" s="198"/>
      <c r="I32" s="198"/>
      <c r="J32" s="199"/>
      <c r="K32" s="1"/>
      <c r="L32" s="1"/>
      <c r="M32" s="2">
        <v>3.7999999999999999E-2</v>
      </c>
      <c r="N32" s="2">
        <v>4.0099999999999997E-2</v>
      </c>
      <c r="O32" s="2">
        <v>4.6699999999999998E-2</v>
      </c>
      <c r="P32" s="1"/>
      <c r="Q32" s="1"/>
      <c r="R32" s="1"/>
    </row>
    <row r="33" spans="1:18" x14ac:dyDescent="0.25">
      <c r="A33" s="197"/>
      <c r="B33" s="198"/>
      <c r="C33" s="198"/>
      <c r="D33" s="198"/>
      <c r="E33" s="198"/>
      <c r="F33" s="198"/>
      <c r="G33" s="198"/>
      <c r="H33" s="198"/>
      <c r="I33" s="198"/>
      <c r="J33" s="199"/>
      <c r="K33" s="1"/>
      <c r="L33" s="1"/>
      <c r="M33" s="2">
        <v>3.2000000000000002E-3</v>
      </c>
      <c r="N33" s="2">
        <v>4.0000000000000001E-3</v>
      </c>
      <c r="O33" s="2">
        <v>7.4000000000000003E-3</v>
      </c>
      <c r="P33" s="1"/>
      <c r="Q33" s="1"/>
      <c r="R33" s="1"/>
    </row>
    <row r="34" spans="1:18" x14ac:dyDescent="0.25">
      <c r="A34" s="197"/>
      <c r="B34" s="198"/>
      <c r="C34" s="198"/>
      <c r="D34" s="198"/>
      <c r="E34" s="198"/>
      <c r="F34" s="198"/>
      <c r="G34" s="198"/>
      <c r="H34" s="198"/>
      <c r="I34" s="198"/>
      <c r="J34" s="199"/>
      <c r="K34" s="1"/>
      <c r="L34" s="1"/>
      <c r="M34" s="2">
        <v>5.0000000000000001E-3</v>
      </c>
      <c r="N34" s="2">
        <v>5.5999999999999999E-3</v>
      </c>
      <c r="O34" s="2">
        <v>9.7000000000000003E-3</v>
      </c>
      <c r="P34" s="1"/>
      <c r="Q34" s="1"/>
      <c r="R34" s="1"/>
    </row>
    <row r="35" spans="1:18" x14ac:dyDescent="0.25">
      <c r="A35" s="197"/>
      <c r="B35" s="198"/>
      <c r="C35" s="198"/>
      <c r="D35" s="198"/>
      <c r="E35" s="198"/>
      <c r="F35" s="198"/>
      <c r="G35" s="198"/>
      <c r="H35" s="198"/>
      <c r="I35" s="198"/>
      <c r="J35" s="199"/>
      <c r="K35" s="1"/>
      <c r="L35" s="1"/>
      <c r="M35" s="2">
        <v>1.0200000000000001E-2</v>
      </c>
      <c r="N35" s="2">
        <v>1.11E-2</v>
      </c>
      <c r="O35" s="2">
        <v>1.21E-2</v>
      </c>
      <c r="P35" s="1"/>
      <c r="Q35" s="1"/>
      <c r="R35" s="1"/>
    </row>
    <row r="36" spans="1:18" x14ac:dyDescent="0.25">
      <c r="A36" s="197"/>
      <c r="B36" s="198"/>
      <c r="C36" s="198"/>
      <c r="D36" s="198"/>
      <c r="E36" s="198"/>
      <c r="F36" s="198"/>
      <c r="G36" s="198"/>
      <c r="H36" s="198"/>
      <c r="I36" s="198"/>
      <c r="J36" s="199"/>
      <c r="K36" s="1"/>
      <c r="L36" s="1"/>
      <c r="M36" s="2">
        <v>6.6400000000000001E-2</v>
      </c>
      <c r="N36" s="2">
        <v>7.2999999999999995E-2</v>
      </c>
      <c r="O36" s="2">
        <v>8.6900000000000005E-2</v>
      </c>
      <c r="P36" s="1"/>
      <c r="Q36" s="1"/>
      <c r="R36" s="1"/>
    </row>
    <row r="37" spans="1:18" x14ac:dyDescent="0.25">
      <c r="A37" s="197"/>
      <c r="B37" s="198"/>
      <c r="C37" s="198"/>
      <c r="D37" s="198"/>
      <c r="E37" s="198"/>
      <c r="F37" s="198"/>
      <c r="G37" s="198"/>
      <c r="H37" s="198"/>
      <c r="I37" s="198"/>
      <c r="J37" s="199"/>
      <c r="K37" s="1"/>
      <c r="L37" s="1"/>
      <c r="M37" s="2">
        <v>3.6499999999999998E-2</v>
      </c>
      <c r="N37" s="2">
        <v>3.6499999999999998E-2</v>
      </c>
      <c r="O37" s="2">
        <v>3.6499999999999998E-2</v>
      </c>
      <c r="P37" s="1"/>
      <c r="Q37" s="1"/>
      <c r="R37" s="1"/>
    </row>
    <row r="38" spans="1:18" x14ac:dyDescent="0.25">
      <c r="A38" s="197"/>
      <c r="B38" s="198"/>
      <c r="C38" s="198"/>
      <c r="D38" s="198"/>
      <c r="E38" s="198"/>
      <c r="F38" s="198"/>
      <c r="G38" s="198"/>
      <c r="H38" s="198"/>
      <c r="I38" s="198"/>
      <c r="J38" s="199"/>
      <c r="K38" s="1"/>
      <c r="L38" s="1"/>
      <c r="M38" s="2">
        <v>0</v>
      </c>
      <c r="N38" s="2">
        <v>2.5000000000000001E-2</v>
      </c>
      <c r="O38" s="2">
        <v>0.05</v>
      </c>
      <c r="P38" s="1"/>
      <c r="Q38" s="1"/>
      <c r="R38" s="1"/>
    </row>
    <row r="39" spans="1:18" x14ac:dyDescent="0.25">
      <c r="A39" s="197"/>
      <c r="B39" s="198"/>
      <c r="C39" s="198"/>
      <c r="D39" s="198"/>
      <c r="E39" s="198"/>
      <c r="F39" s="198"/>
      <c r="G39" s="198"/>
      <c r="H39" s="198"/>
      <c r="I39" s="198"/>
      <c r="J39" s="199"/>
      <c r="K39" s="1"/>
      <c r="L39" s="1"/>
      <c r="M39" s="2">
        <v>0</v>
      </c>
      <c r="N39" s="2">
        <v>4.4999999999999998E-2</v>
      </c>
      <c r="O39" s="2">
        <v>4.4999999999999998E-2</v>
      </c>
      <c r="P39" s="1"/>
      <c r="Q39" s="1"/>
      <c r="R39" s="1"/>
    </row>
    <row r="40" spans="1:18" x14ac:dyDescent="0.25">
      <c r="A40" s="197"/>
      <c r="B40" s="198"/>
      <c r="C40" s="198"/>
      <c r="D40" s="198"/>
      <c r="E40" s="198"/>
      <c r="F40" s="198"/>
      <c r="G40" s="198"/>
      <c r="H40" s="198"/>
      <c r="I40" s="198"/>
      <c r="J40" s="199"/>
      <c r="K40" s="1"/>
      <c r="L40" s="1"/>
      <c r="M40" s="2">
        <v>0.19600000000000001</v>
      </c>
      <c r="N40" s="2">
        <v>0.2097</v>
      </c>
      <c r="O40" s="2">
        <v>0.24229999999999999</v>
      </c>
      <c r="P40" s="1"/>
      <c r="Q40" s="1"/>
      <c r="R40" s="1"/>
    </row>
    <row r="41" spans="1:18" ht="15.75" thickBot="1" x14ac:dyDescent="0.3">
      <c r="A41" s="200"/>
      <c r="B41" s="201"/>
      <c r="C41" s="201"/>
      <c r="D41" s="201"/>
      <c r="E41" s="201"/>
      <c r="F41" s="201"/>
      <c r="G41" s="201"/>
      <c r="H41" s="201"/>
      <c r="I41" s="201"/>
      <c r="J41" s="202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08"/>
      <c r="B42" s="109"/>
      <c r="C42" s="109"/>
      <c r="D42" s="109"/>
      <c r="E42" s="109"/>
      <c r="F42" s="109"/>
      <c r="G42" s="109"/>
      <c r="H42" s="109"/>
      <c r="I42" s="109"/>
      <c r="J42" s="110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08"/>
      <c r="B43" s="109"/>
      <c r="C43" s="109"/>
      <c r="D43" s="109"/>
      <c r="E43" s="109"/>
      <c r="F43" s="109"/>
      <c r="G43" s="109"/>
      <c r="H43" s="109"/>
      <c r="I43" s="109"/>
      <c r="J43" s="110"/>
      <c r="K43" s="1"/>
      <c r="L43" s="1"/>
      <c r="M43" s="2"/>
      <c r="N43" s="2"/>
      <c r="O43" s="2"/>
      <c r="P43" s="1"/>
      <c r="Q43" s="1"/>
      <c r="R43" s="1"/>
    </row>
    <row r="44" spans="1:18" ht="15.75" thickBot="1" x14ac:dyDescent="0.3">
      <c r="A44" s="108"/>
      <c r="B44" s="109"/>
      <c r="C44" s="109"/>
      <c r="D44" s="109"/>
      <c r="E44" s="109"/>
      <c r="F44" s="109"/>
      <c r="G44" s="109"/>
      <c r="H44" s="109"/>
      <c r="I44" s="109"/>
      <c r="J44" s="110"/>
      <c r="K44" s="1"/>
      <c r="L44" s="1"/>
      <c r="M44" s="2"/>
      <c r="N44" s="2"/>
      <c r="O44" s="2"/>
      <c r="P44" s="1"/>
      <c r="Q44" s="1"/>
      <c r="R44" s="1"/>
    </row>
    <row r="45" spans="1:18" ht="15.75" thickBot="1" x14ac:dyDescent="0.3">
      <c r="A45" s="203" t="s">
        <v>368</v>
      </c>
      <c r="B45" s="204"/>
      <c r="C45" s="204"/>
      <c r="D45" s="204"/>
      <c r="E45" s="204"/>
      <c r="F45" s="204"/>
      <c r="G45" s="204"/>
      <c r="H45" s="204"/>
      <c r="I45" s="204"/>
      <c r="J45" s="205"/>
      <c r="K45" s="1"/>
      <c r="L45" s="1"/>
      <c r="M45" s="2"/>
      <c r="N45" s="2"/>
      <c r="O45" s="2"/>
      <c r="P45" s="1"/>
      <c r="Q45" s="1"/>
      <c r="R45" s="1"/>
    </row>
    <row r="46" spans="1:18" x14ac:dyDescent="0.25">
      <c r="A46" s="111"/>
      <c r="B46" s="112"/>
      <c r="C46" s="112"/>
      <c r="D46" s="112"/>
      <c r="E46" s="112"/>
      <c r="F46" s="112"/>
      <c r="G46" s="112"/>
      <c r="H46" s="112"/>
      <c r="I46" s="112"/>
      <c r="J46" s="113"/>
      <c r="K46" s="1"/>
      <c r="L46" s="1"/>
      <c r="M46" s="2"/>
      <c r="N46" s="2"/>
      <c r="O46" s="2"/>
      <c r="P46" s="1"/>
      <c r="Q46" s="1"/>
      <c r="R46" s="1"/>
    </row>
    <row r="47" spans="1:18" x14ac:dyDescent="0.25">
      <c r="A47" s="111"/>
      <c r="B47" s="112"/>
      <c r="C47" s="112"/>
      <c r="D47" s="112"/>
      <c r="E47" s="112"/>
      <c r="F47" s="112"/>
      <c r="G47" s="112"/>
      <c r="H47" s="112"/>
      <c r="I47" s="112"/>
      <c r="J47" s="113"/>
      <c r="K47" s="1"/>
      <c r="L47" s="1"/>
      <c r="M47" s="2"/>
      <c r="N47" s="2"/>
      <c r="O47" s="2"/>
      <c r="P47" s="1"/>
      <c r="Q47" s="1"/>
      <c r="R47" s="1"/>
    </row>
    <row r="48" spans="1:18" x14ac:dyDescent="0.25">
      <c r="A48" s="111"/>
      <c r="B48" s="112"/>
      <c r="C48" s="112"/>
      <c r="D48" s="112"/>
      <c r="E48" s="112"/>
      <c r="F48" s="112"/>
      <c r="G48" s="112"/>
      <c r="H48" s="112"/>
      <c r="I48" s="112"/>
      <c r="J48" s="113"/>
      <c r="K48" s="1"/>
      <c r="L48" s="1"/>
      <c r="M48" s="2"/>
      <c r="N48" s="2"/>
      <c r="O48" s="2"/>
      <c r="P48" s="1"/>
      <c r="Q48" s="1"/>
      <c r="R48" s="1"/>
    </row>
    <row r="49" spans="1:18" ht="15.75" thickBot="1" x14ac:dyDescent="0.3">
      <c r="A49" s="108"/>
      <c r="B49" s="109"/>
      <c r="C49" s="109"/>
      <c r="D49" s="109"/>
      <c r="E49" s="109"/>
      <c r="F49" s="109"/>
      <c r="G49" s="109"/>
      <c r="H49" s="109"/>
      <c r="I49" s="109"/>
      <c r="J49" s="110"/>
      <c r="K49" s="1"/>
      <c r="L49" s="1"/>
      <c r="M49" s="2"/>
      <c r="N49" s="2"/>
      <c r="O49" s="2"/>
      <c r="P49" s="1"/>
      <c r="Q49" s="1"/>
      <c r="R49" s="1"/>
    </row>
    <row r="50" spans="1:18" x14ac:dyDescent="0.25">
      <c r="A50" s="114"/>
      <c r="B50" s="115"/>
      <c r="C50" s="115"/>
      <c r="D50" s="115"/>
      <c r="E50" s="115"/>
      <c r="F50" s="115"/>
      <c r="G50" s="115"/>
      <c r="H50" s="115"/>
      <c r="I50" s="115"/>
      <c r="J50" s="116"/>
      <c r="K50" s="1"/>
      <c r="L50" s="1"/>
      <c r="M50" s="2"/>
      <c r="N50" s="2"/>
      <c r="O50" s="2"/>
      <c r="P50" s="1"/>
      <c r="Q50" s="1"/>
      <c r="R50" s="1"/>
    </row>
    <row r="51" spans="1:18" x14ac:dyDescent="0.25">
      <c r="A51" s="206"/>
      <c r="B51" s="207"/>
      <c r="C51" s="207"/>
      <c r="D51" s="207"/>
      <c r="E51" s="1"/>
      <c r="F51" s="1"/>
      <c r="G51" s="1"/>
      <c r="H51" s="1"/>
      <c r="I51" s="1"/>
      <c r="J51" s="66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68" t="s">
        <v>5</v>
      </c>
      <c r="B52" s="117" t="str">
        <f>Dados!B14</f>
        <v>JEFERSON JOSÉ VIEIRA RUIVO</v>
      </c>
      <c r="C52" s="118"/>
      <c r="D52" s="118"/>
      <c r="E52" s="1"/>
      <c r="F52" s="1"/>
      <c r="G52" s="1"/>
      <c r="H52" s="1"/>
      <c r="I52" s="1"/>
      <c r="J52" s="66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68" t="s">
        <v>6</v>
      </c>
      <c r="B53" s="117" t="str">
        <f>Dados!B15</f>
        <v xml:space="preserve">ENGENHEIRO CIVIL </v>
      </c>
      <c r="C53" s="118"/>
      <c r="D53" s="118"/>
      <c r="E53" s="1"/>
      <c r="F53" s="1"/>
      <c r="G53" s="1"/>
      <c r="H53" s="1"/>
      <c r="I53" s="1"/>
      <c r="J53" s="66"/>
      <c r="K53" s="1"/>
      <c r="L53" s="1"/>
      <c r="M53" s="1"/>
      <c r="N53" s="1"/>
      <c r="O53" s="1"/>
      <c r="P53" s="1"/>
      <c r="Q53" s="1"/>
      <c r="R53" s="1"/>
    </row>
    <row r="54" spans="1:18" ht="15.75" thickBot="1" x14ac:dyDescent="0.3">
      <c r="A54" s="70" t="s">
        <v>7</v>
      </c>
      <c r="B54" s="119">
        <f>Dados!B16</f>
        <v>5070232434</v>
      </c>
      <c r="C54" s="120"/>
      <c r="D54" s="120"/>
      <c r="E54" s="73"/>
      <c r="F54" s="73"/>
      <c r="G54" s="73"/>
      <c r="H54" s="73"/>
      <c r="I54" s="73"/>
      <c r="J54" s="74"/>
      <c r="K54" s="1"/>
      <c r="L54" s="1"/>
      <c r="M54" s="2">
        <v>1.4999999999999999E-2</v>
      </c>
      <c r="N54" s="2">
        <v>3.4500000000000003E-2</v>
      </c>
      <c r="O54" s="2">
        <v>4.4900000000000002E-2</v>
      </c>
      <c r="P54" s="1"/>
      <c r="Q54" s="1"/>
      <c r="R54" s="1"/>
    </row>
    <row r="55" spans="1:18" x14ac:dyDescent="0.25">
      <c r="K55" s="1"/>
      <c r="L55" s="1"/>
      <c r="M55" s="2">
        <v>3.0000000000000001E-3</v>
      </c>
      <c r="N55" s="2">
        <v>4.7999999999999996E-3</v>
      </c>
      <c r="O55" s="2">
        <v>8.2000000000000007E-3</v>
      </c>
      <c r="P55" s="1"/>
      <c r="Q55" s="1"/>
      <c r="R55" s="1"/>
    </row>
  </sheetData>
  <mergeCells count="31">
    <mergeCell ref="A31:J41"/>
    <mergeCell ref="A45:J45"/>
    <mergeCell ref="A51:D51"/>
    <mergeCell ref="A23:D23"/>
    <mergeCell ref="A24:D24"/>
    <mergeCell ref="A25:D25"/>
    <mergeCell ref="A26:D26"/>
    <mergeCell ref="H26:J26"/>
    <mergeCell ref="A30:J30"/>
    <mergeCell ref="A22:D22"/>
    <mergeCell ref="A12:G12"/>
    <mergeCell ref="H12:J12"/>
    <mergeCell ref="A13:G13"/>
    <mergeCell ref="H13:J13"/>
    <mergeCell ref="A15:D16"/>
    <mergeCell ref="E15:E16"/>
    <mergeCell ref="F15:F16"/>
    <mergeCell ref="G15:G16"/>
    <mergeCell ref="H15:J15"/>
    <mergeCell ref="A17:D17"/>
    <mergeCell ref="A18:D18"/>
    <mergeCell ref="A19:D19"/>
    <mergeCell ref="A20:D20"/>
    <mergeCell ref="A21:D21"/>
    <mergeCell ref="A10:G10"/>
    <mergeCell ref="H10:J10"/>
    <mergeCell ref="A1:J1"/>
    <mergeCell ref="A2:H2"/>
    <mergeCell ref="I2:J7"/>
    <mergeCell ref="A9:G9"/>
    <mergeCell ref="H9:J9"/>
  </mergeCells>
  <conditionalFormatting sqref="A26:A28 E26:F28">
    <cfRule type="expression" dxfId="22" priority="5" stopIfTrue="1">
      <formula>$Q$20="sim"</formula>
    </cfRule>
  </conditionalFormatting>
  <conditionalFormatting sqref="A25:F25">
    <cfRule type="expression" dxfId="21" priority="6" stopIfTrue="1">
      <formula>$Q$20="Não"</formula>
    </cfRule>
  </conditionalFormatting>
  <conditionalFormatting sqref="G17:G23">
    <cfRule type="cellIs" dxfId="20" priority="1" operator="equal">
      <formula>"NÃO OK"</formula>
    </cfRule>
  </conditionalFormatting>
  <conditionalFormatting sqref="G24:G25 G27:G28">
    <cfRule type="cellIs" dxfId="19" priority="7" stopIfTrue="1" operator="equal">
      <formula>"NÃO OK"</formula>
    </cfRule>
    <cfRule type="cellIs" dxfId="18" priority="8" stopIfTrue="1" operator="equal">
      <formula>"OK"</formula>
    </cfRule>
  </conditionalFormatting>
  <conditionalFormatting sqref="G24:G26">
    <cfRule type="cellIs" dxfId="17" priority="2" operator="equal">
      <formula>"Não OK"</formula>
    </cfRule>
    <cfRule type="cellIs" dxfId="16" priority="3" operator="equal">
      <formula>"OK"</formula>
    </cfRule>
  </conditionalFormatting>
  <conditionalFormatting sqref="H26:J28">
    <cfRule type="expression" dxfId="15" priority="4" stopIfTrue="1">
      <formula>$Q$20="sim"</formula>
    </cfRule>
  </conditionalFormatting>
  <dataValidations count="5">
    <dataValidation type="list" allowBlank="1" showInputMessage="1" showErrorMessage="1" sqref="A10:G10">
      <formula1>$M$16:$M$20</formula1>
    </dataValidation>
    <dataValidation type="list" allowBlank="1" showInputMessage="1" showErrorMessage="1" sqref="H10:J10">
      <formula1>$M$11:$M$12</formula1>
    </dataValidation>
    <dataValidation operator="greaterThanOrEqual" allowBlank="1" showInputMessage="1" showErrorMessage="1" errorTitle="Erro de valores" error="Digite um valor igual a 0% ou 2%." sqref="F24"/>
    <dataValidation type="decimal" allowBlank="1" showInputMessage="1" showErrorMessage="1" errorTitle="Erro de valores" error="Digite um valor maior do que 0." sqref="F23">
      <formula1>0</formula1>
      <formula2>1</formula2>
    </dataValidation>
    <dataValidation type="decimal" allowBlank="1" showInputMessage="1" showErrorMessage="1" errorTitle="Erro de valores" error="Digite um valor entre 0% e 100%" sqref="F17:F22">
      <formula1>0</formula1>
      <formula2>1</formula2>
    </dataValidation>
  </dataValidations>
  <pageMargins left="0.25" right="0.25" top="0.75" bottom="0.75" header="0.3" footer="0.3"/>
  <pageSetup paperSize="9" scale="84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7"/>
  <sheetViews>
    <sheetView topLeftCell="A46" zoomScaleNormal="100" workbookViewId="0">
      <selection activeCell="M7" sqref="M7"/>
    </sheetView>
  </sheetViews>
  <sheetFormatPr defaultColWidth="8.7109375" defaultRowHeight="15" x14ac:dyDescent="0.25"/>
  <cols>
    <col min="1" max="1" width="9.140625" style="8" bestFit="1" customWidth="1"/>
    <col min="2" max="2" width="6.140625" style="8" bestFit="1" customWidth="1"/>
    <col min="3" max="3" width="12" style="8" bestFit="1" customWidth="1"/>
    <col min="4" max="4" width="95.7109375" style="123" customWidth="1"/>
    <col min="5" max="5" width="8.42578125" style="19" bestFit="1" customWidth="1"/>
    <col min="6" max="6" width="11.5703125" style="19" bestFit="1" customWidth="1"/>
    <col min="7" max="9" width="15" style="18" customWidth="1"/>
    <col min="10" max="16384" width="8.7109375" style="1"/>
  </cols>
  <sheetData>
    <row r="1" spans="1:9" ht="18.75" thickBot="1" x14ac:dyDescent="0.3">
      <c r="A1" s="158" t="s">
        <v>8</v>
      </c>
      <c r="B1" s="159"/>
      <c r="C1" s="159"/>
      <c r="D1" s="159"/>
      <c r="E1" s="159"/>
      <c r="F1" s="159"/>
      <c r="G1" s="159"/>
      <c r="H1" s="159"/>
      <c r="I1" s="160"/>
    </row>
    <row r="2" spans="1:9" ht="15.75" thickBot="1" x14ac:dyDescent="0.3">
      <c r="A2" s="161" t="s">
        <v>4</v>
      </c>
      <c r="B2" s="162"/>
      <c r="C2" s="162"/>
      <c r="D2" s="162"/>
      <c r="E2" s="162"/>
      <c r="F2" s="162"/>
      <c r="G2" s="172"/>
      <c r="H2" s="234"/>
      <c r="I2" s="235"/>
    </row>
    <row r="3" spans="1:9" x14ac:dyDescent="0.25">
      <c r="A3" s="240" t="str">
        <f>Dados!A3</f>
        <v xml:space="preserve">OBJETO:REFORMA DA FACHADA DO HOSPITAL </v>
      </c>
      <c r="B3" s="241"/>
      <c r="C3" s="241"/>
      <c r="D3" s="241"/>
      <c r="E3" s="241"/>
      <c r="F3" s="241"/>
      <c r="G3" s="242"/>
      <c r="H3" s="236"/>
      <c r="I3" s="237"/>
    </row>
    <row r="4" spans="1:9" x14ac:dyDescent="0.25">
      <c r="A4" s="243" t="str">
        <f>Dados!A4</f>
        <v>ENDEREÇO: AVENIDA GABRIEL MONTEIRO DA SILVA Nº 888 - CENTRO - IBIÚNA - SP</v>
      </c>
      <c r="B4" s="244"/>
      <c r="C4" s="244"/>
      <c r="D4" s="244"/>
      <c r="E4" s="244"/>
      <c r="F4" s="244"/>
      <c r="G4" s="245"/>
      <c r="H4" s="236"/>
      <c r="I4" s="237"/>
    </row>
    <row r="5" spans="1:9" x14ac:dyDescent="0.25">
      <c r="A5" s="246" t="str">
        <f>Dados!A5</f>
        <v>DATA DA ELABORAÇÃO: 14/04/2026</v>
      </c>
      <c r="B5" s="247"/>
      <c r="C5" s="247"/>
      <c r="D5" s="247"/>
      <c r="E5" s="247"/>
      <c r="F5" s="247"/>
      <c r="G5" s="248"/>
      <c r="H5" s="236"/>
      <c r="I5" s="237"/>
    </row>
    <row r="6" spans="1:9" x14ac:dyDescent="0.25">
      <c r="A6" s="249" t="str">
        <f>Dados!A6</f>
        <v>FONTE: CDHU 201 - SINAPI MARÇO/2026 - AMBOS DESONERADOS</v>
      </c>
      <c r="B6" s="250"/>
      <c r="C6" s="250"/>
      <c r="D6" s="250"/>
      <c r="E6" s="250"/>
      <c r="F6" s="250"/>
      <c r="G6" s="251"/>
      <c r="H6" s="236"/>
      <c r="I6" s="237"/>
    </row>
    <row r="7" spans="1:9" ht="15.75" thickBot="1" x14ac:dyDescent="0.3">
      <c r="A7" s="252" t="str">
        <f>Dados!A7</f>
        <v xml:space="preserve">PRAZO DE EXECUÇÃO: 06 MESES </v>
      </c>
      <c r="B7" s="253"/>
      <c r="C7" s="253"/>
      <c r="D7" s="253"/>
      <c r="E7" s="253"/>
      <c r="F7" s="253"/>
      <c r="G7" s="254"/>
      <c r="H7" s="238"/>
      <c r="I7" s="239"/>
    </row>
    <row r="8" spans="1:9" ht="15.75" thickBot="1" x14ac:dyDescent="0.3">
      <c r="A8" s="23"/>
      <c r="G8" s="10"/>
      <c r="H8" s="10"/>
      <c r="I8" s="11"/>
    </row>
    <row r="9" spans="1:9" s="9" customFormat="1" ht="25.5" x14ac:dyDescent="0.25">
      <c r="A9" s="5" t="s">
        <v>9</v>
      </c>
      <c r="B9" s="6" t="s">
        <v>10</v>
      </c>
      <c r="C9" s="6" t="s">
        <v>11</v>
      </c>
      <c r="D9" s="124" t="s">
        <v>12</v>
      </c>
      <c r="E9" s="7" t="s">
        <v>13</v>
      </c>
      <c r="F9" s="7" t="s">
        <v>14</v>
      </c>
      <c r="G9" s="12" t="s">
        <v>15</v>
      </c>
      <c r="H9" s="12" t="s">
        <v>16</v>
      </c>
      <c r="I9" s="13" t="s">
        <v>17</v>
      </c>
    </row>
    <row r="10" spans="1:9" s="9" customFormat="1" x14ac:dyDescent="0.25">
      <c r="A10" s="229" t="s">
        <v>23</v>
      </c>
      <c r="B10" s="230"/>
      <c r="C10" s="230"/>
      <c r="D10" s="230"/>
      <c r="E10" s="230"/>
      <c r="F10" s="230"/>
      <c r="G10" s="230"/>
      <c r="H10" s="230"/>
      <c r="I10" s="231"/>
    </row>
    <row r="11" spans="1:9" s="46" customFormat="1" x14ac:dyDescent="0.25">
      <c r="A11" s="39">
        <v>1</v>
      </c>
      <c r="B11" s="40"/>
      <c r="C11" s="41"/>
      <c r="D11" s="42" t="s">
        <v>221</v>
      </c>
      <c r="E11" s="43"/>
      <c r="F11" s="43"/>
      <c r="G11" s="44"/>
      <c r="H11" s="44"/>
      <c r="I11" s="45"/>
    </row>
    <row r="12" spans="1:9" s="32" customFormat="1" ht="25.5" customHeight="1" x14ac:dyDescent="0.2">
      <c r="A12" s="25" t="s">
        <v>22</v>
      </c>
      <c r="B12" s="26" t="s">
        <v>31</v>
      </c>
      <c r="C12" s="27" t="s">
        <v>88</v>
      </c>
      <c r="D12" s="28" t="s">
        <v>89</v>
      </c>
      <c r="E12" s="29" t="s">
        <v>222</v>
      </c>
      <c r="F12" s="29">
        <v>6</v>
      </c>
      <c r="G12" s="30">
        <v>882.62</v>
      </c>
      <c r="H12" s="30">
        <f>ROUND(F12*G12,2)</f>
        <v>5295.72</v>
      </c>
      <c r="I12" s="31">
        <f>ROUND(F12*G12*(1+$I$142/100),2)</f>
        <v>6695.38</v>
      </c>
    </row>
    <row r="13" spans="1:9" s="32" customFormat="1" ht="12.75" x14ac:dyDescent="0.2">
      <c r="A13" s="25" t="s">
        <v>223</v>
      </c>
      <c r="B13" s="26" t="s">
        <v>31</v>
      </c>
      <c r="C13" s="27" t="s">
        <v>81</v>
      </c>
      <c r="D13" s="28" t="s">
        <v>82</v>
      </c>
      <c r="E13" s="29" t="s">
        <v>222</v>
      </c>
      <c r="F13" s="29">
        <v>70</v>
      </c>
      <c r="G13" s="30">
        <v>105.44</v>
      </c>
      <c r="H13" s="30">
        <f t="shared" ref="H13:H90" si="0">ROUND(F13*G13,2)</f>
        <v>7380.8</v>
      </c>
      <c r="I13" s="31">
        <f>ROUND(F13*G13*(1+$I$142/100),2)</f>
        <v>9331.5499999999993</v>
      </c>
    </row>
    <row r="14" spans="1:9" s="32" customFormat="1" ht="12.75" x14ac:dyDescent="0.2">
      <c r="A14" s="25" t="s">
        <v>224</v>
      </c>
      <c r="B14" s="26" t="s">
        <v>31</v>
      </c>
      <c r="C14" s="27" t="s">
        <v>85</v>
      </c>
      <c r="D14" s="28" t="s">
        <v>86</v>
      </c>
      <c r="E14" s="29" t="s">
        <v>87</v>
      </c>
      <c r="F14" s="29">
        <v>20</v>
      </c>
      <c r="G14" s="30">
        <v>27.98</v>
      </c>
      <c r="H14" s="30">
        <f t="shared" si="0"/>
        <v>559.6</v>
      </c>
      <c r="I14" s="31">
        <f>ROUND(F14*G14*(1+$I$142/100),2)</f>
        <v>707.5</v>
      </c>
    </row>
    <row r="15" spans="1:9" s="32" customFormat="1" ht="12.75" x14ac:dyDescent="0.2">
      <c r="A15" s="25" t="s">
        <v>225</v>
      </c>
      <c r="B15" s="26" t="s">
        <v>31</v>
      </c>
      <c r="C15" s="27" t="s">
        <v>83</v>
      </c>
      <c r="D15" s="28" t="s">
        <v>84</v>
      </c>
      <c r="E15" s="29" t="s">
        <v>75</v>
      </c>
      <c r="F15" s="29">
        <v>20</v>
      </c>
      <c r="G15" s="30">
        <v>12.9</v>
      </c>
      <c r="H15" s="30">
        <f t="shared" si="0"/>
        <v>258</v>
      </c>
      <c r="I15" s="31">
        <f>ROUND(F15*G15*(1+$I$142/100),2)</f>
        <v>326.19</v>
      </c>
    </row>
    <row r="16" spans="1:9" s="32" customFormat="1" ht="12.75" x14ac:dyDescent="0.2">
      <c r="A16" s="126"/>
      <c r="B16" s="127"/>
      <c r="C16" s="128"/>
      <c r="D16" s="129"/>
      <c r="E16" s="130"/>
      <c r="F16" s="130"/>
      <c r="G16" s="131" t="s">
        <v>25</v>
      </c>
      <c r="H16" s="131">
        <f>SUM(H12:H15)</f>
        <v>13494.12</v>
      </c>
      <c r="I16" s="132">
        <f>SUM(I12:I15)</f>
        <v>17060.62</v>
      </c>
    </row>
    <row r="17" spans="1:9" s="32" customFormat="1" ht="12.75" x14ac:dyDescent="0.2">
      <c r="A17" s="133">
        <v>2</v>
      </c>
      <c r="B17" s="134"/>
      <c r="C17" s="135"/>
      <c r="D17" s="136" t="s">
        <v>321</v>
      </c>
      <c r="E17" s="137"/>
      <c r="F17" s="137"/>
      <c r="G17" s="138"/>
      <c r="H17" s="138"/>
      <c r="I17" s="139"/>
    </row>
    <row r="18" spans="1:9" s="32" customFormat="1" ht="12.75" x14ac:dyDescent="0.2">
      <c r="A18" s="25" t="s">
        <v>226</v>
      </c>
      <c r="B18" s="26" t="s">
        <v>31</v>
      </c>
      <c r="C18" s="27" t="s">
        <v>90</v>
      </c>
      <c r="D18" s="28" t="s">
        <v>91</v>
      </c>
      <c r="E18" s="29" t="s">
        <v>227</v>
      </c>
      <c r="F18" s="29">
        <v>20</v>
      </c>
      <c r="G18" s="30">
        <v>233.09</v>
      </c>
      <c r="H18" s="30">
        <f t="shared" si="0"/>
        <v>4661.8</v>
      </c>
      <c r="I18" s="31">
        <f t="shared" ref="I18:I29" si="1">ROUND(F18*G18*(1+$I$142/100),2)</f>
        <v>5893.91</v>
      </c>
    </row>
    <row r="19" spans="1:9" s="32" customFormat="1" ht="12.75" x14ac:dyDescent="0.2">
      <c r="A19" s="25" t="s">
        <v>229</v>
      </c>
      <c r="B19" s="26" t="s">
        <v>31</v>
      </c>
      <c r="C19" s="27" t="s">
        <v>92</v>
      </c>
      <c r="D19" s="28" t="s">
        <v>93</v>
      </c>
      <c r="E19" s="29" t="s">
        <v>227</v>
      </c>
      <c r="F19" s="29">
        <v>20</v>
      </c>
      <c r="G19" s="30">
        <v>423.8</v>
      </c>
      <c r="H19" s="30">
        <f t="shared" si="0"/>
        <v>8476</v>
      </c>
      <c r="I19" s="31">
        <f t="shared" si="1"/>
        <v>10716.21</v>
      </c>
    </row>
    <row r="20" spans="1:9" s="32" customFormat="1" ht="12.75" x14ac:dyDescent="0.2">
      <c r="A20" s="25" t="s">
        <v>230</v>
      </c>
      <c r="B20" s="26" t="s">
        <v>31</v>
      </c>
      <c r="C20" s="27" t="s">
        <v>98</v>
      </c>
      <c r="D20" s="28" t="s">
        <v>99</v>
      </c>
      <c r="E20" s="29" t="s">
        <v>222</v>
      </c>
      <c r="F20" s="29">
        <v>60</v>
      </c>
      <c r="G20" s="30">
        <v>6.36</v>
      </c>
      <c r="H20" s="30">
        <f t="shared" si="0"/>
        <v>381.6</v>
      </c>
      <c r="I20" s="31">
        <f t="shared" si="1"/>
        <v>482.46</v>
      </c>
    </row>
    <row r="21" spans="1:9" s="32" customFormat="1" ht="12.75" x14ac:dyDescent="0.2">
      <c r="A21" s="25" t="s">
        <v>231</v>
      </c>
      <c r="B21" s="26" t="s">
        <v>31</v>
      </c>
      <c r="C21" s="27" t="s">
        <v>94</v>
      </c>
      <c r="D21" s="28" t="s">
        <v>95</v>
      </c>
      <c r="E21" s="29" t="s">
        <v>222</v>
      </c>
      <c r="F21" s="29">
        <v>280</v>
      </c>
      <c r="G21" s="30">
        <v>10.6</v>
      </c>
      <c r="H21" s="30">
        <f t="shared" si="0"/>
        <v>2968</v>
      </c>
      <c r="I21" s="31">
        <f t="shared" si="1"/>
        <v>3752.44</v>
      </c>
    </row>
    <row r="22" spans="1:9" s="32" customFormat="1" ht="12.75" x14ac:dyDescent="0.2">
      <c r="A22" s="25" t="s">
        <v>232</v>
      </c>
      <c r="B22" s="26" t="s">
        <v>31</v>
      </c>
      <c r="C22" s="27" t="s">
        <v>100</v>
      </c>
      <c r="D22" s="28" t="s">
        <v>101</v>
      </c>
      <c r="E22" s="29" t="s">
        <v>222</v>
      </c>
      <c r="F22" s="29">
        <v>100</v>
      </c>
      <c r="G22" s="30">
        <v>8.48</v>
      </c>
      <c r="H22" s="30">
        <f t="shared" si="0"/>
        <v>848</v>
      </c>
      <c r="I22" s="31">
        <f t="shared" si="1"/>
        <v>1072.1300000000001</v>
      </c>
    </row>
    <row r="23" spans="1:9" s="32" customFormat="1" ht="12.75" x14ac:dyDescent="0.2">
      <c r="A23" s="25" t="s">
        <v>233</v>
      </c>
      <c r="B23" s="26" t="s">
        <v>31</v>
      </c>
      <c r="C23" s="27" t="s">
        <v>205</v>
      </c>
      <c r="D23" s="28" t="s">
        <v>206</v>
      </c>
      <c r="E23" s="29" t="s">
        <v>75</v>
      </c>
      <c r="F23" s="29">
        <v>40</v>
      </c>
      <c r="G23" s="30">
        <v>102.57</v>
      </c>
      <c r="H23" s="30">
        <f t="shared" si="0"/>
        <v>4102.8</v>
      </c>
      <c r="I23" s="31">
        <f t="shared" si="1"/>
        <v>5187.17</v>
      </c>
    </row>
    <row r="24" spans="1:9" s="32" customFormat="1" ht="12.75" x14ac:dyDescent="0.2">
      <c r="A24" s="25" t="s">
        <v>236</v>
      </c>
      <c r="B24" s="26" t="s">
        <v>31</v>
      </c>
      <c r="C24" s="27" t="s">
        <v>207</v>
      </c>
      <c r="D24" s="28" t="s">
        <v>208</v>
      </c>
      <c r="E24" s="29" t="s">
        <v>75</v>
      </c>
      <c r="F24" s="29">
        <v>40</v>
      </c>
      <c r="G24" s="30">
        <v>145.9</v>
      </c>
      <c r="H24" s="30">
        <f t="shared" si="0"/>
        <v>5836</v>
      </c>
      <c r="I24" s="31">
        <f t="shared" si="1"/>
        <v>7378.45</v>
      </c>
    </row>
    <row r="25" spans="1:9" s="32" customFormat="1" ht="12.75" x14ac:dyDescent="0.2">
      <c r="A25" s="25" t="s">
        <v>322</v>
      </c>
      <c r="B25" s="26" t="s">
        <v>31</v>
      </c>
      <c r="C25" s="27" t="s">
        <v>85</v>
      </c>
      <c r="D25" s="28" t="s">
        <v>86</v>
      </c>
      <c r="E25" s="29" t="s">
        <v>87</v>
      </c>
      <c r="F25" s="29">
        <v>40</v>
      </c>
      <c r="G25" s="30">
        <v>27.98</v>
      </c>
      <c r="H25" s="30">
        <f t="shared" si="0"/>
        <v>1119.2</v>
      </c>
      <c r="I25" s="31">
        <f t="shared" si="1"/>
        <v>1415</v>
      </c>
    </row>
    <row r="26" spans="1:9" s="32" customFormat="1" ht="12.75" x14ac:dyDescent="0.2">
      <c r="A26" s="25" t="s">
        <v>323</v>
      </c>
      <c r="B26" s="26" t="s">
        <v>31</v>
      </c>
      <c r="C26" s="27" t="s">
        <v>83</v>
      </c>
      <c r="D26" s="28" t="s">
        <v>84</v>
      </c>
      <c r="E26" s="29" t="s">
        <v>75</v>
      </c>
      <c r="F26" s="29">
        <v>40</v>
      </c>
      <c r="G26" s="30">
        <v>12.9</v>
      </c>
      <c r="H26" s="30">
        <f t="shared" si="0"/>
        <v>516</v>
      </c>
      <c r="I26" s="31">
        <f t="shared" si="1"/>
        <v>652.38</v>
      </c>
    </row>
    <row r="27" spans="1:9" s="32" customFormat="1" ht="12.75" x14ac:dyDescent="0.2">
      <c r="A27" s="25" t="s">
        <v>324</v>
      </c>
      <c r="B27" s="26" t="s">
        <v>31</v>
      </c>
      <c r="C27" s="27" t="s">
        <v>186</v>
      </c>
      <c r="D27" s="28" t="s">
        <v>187</v>
      </c>
      <c r="E27" s="29" t="s">
        <v>75</v>
      </c>
      <c r="F27" s="29">
        <v>200</v>
      </c>
      <c r="G27" s="30">
        <v>7.35</v>
      </c>
      <c r="H27" s="30">
        <f t="shared" si="0"/>
        <v>1470</v>
      </c>
      <c r="I27" s="31">
        <f t="shared" si="1"/>
        <v>1858.52</v>
      </c>
    </row>
    <row r="28" spans="1:9" s="32" customFormat="1" ht="25.5" x14ac:dyDescent="0.2">
      <c r="A28" s="25" t="s">
        <v>325</v>
      </c>
      <c r="B28" s="26" t="s">
        <v>31</v>
      </c>
      <c r="C28" s="27" t="s">
        <v>115</v>
      </c>
      <c r="D28" s="28" t="s">
        <v>228</v>
      </c>
      <c r="E28" s="29" t="s">
        <v>227</v>
      </c>
      <c r="F28" s="29">
        <v>60</v>
      </c>
      <c r="G28" s="30">
        <v>111.74</v>
      </c>
      <c r="H28" s="30">
        <f t="shared" si="0"/>
        <v>6704.4</v>
      </c>
      <c r="I28" s="31">
        <f t="shared" si="1"/>
        <v>8476.3700000000008</v>
      </c>
    </row>
    <row r="29" spans="1:9" s="32" customFormat="1" ht="12.75" x14ac:dyDescent="0.2">
      <c r="A29" s="25" t="s">
        <v>326</v>
      </c>
      <c r="B29" s="26" t="s">
        <v>31</v>
      </c>
      <c r="C29" s="27" t="s">
        <v>116</v>
      </c>
      <c r="D29" s="28" t="s">
        <v>117</v>
      </c>
      <c r="E29" s="29" t="s">
        <v>227</v>
      </c>
      <c r="F29" s="29">
        <v>40</v>
      </c>
      <c r="G29" s="30">
        <v>135.86000000000001</v>
      </c>
      <c r="H29" s="30">
        <f t="shared" si="0"/>
        <v>5434.4</v>
      </c>
      <c r="I29" s="31">
        <f t="shared" si="1"/>
        <v>6870.71</v>
      </c>
    </row>
    <row r="30" spans="1:9" s="32" customFormat="1" ht="12.75" x14ac:dyDescent="0.2">
      <c r="A30" s="126"/>
      <c r="B30" s="127"/>
      <c r="C30" s="128"/>
      <c r="D30" s="129"/>
      <c r="E30" s="130"/>
      <c r="F30" s="130"/>
      <c r="G30" s="131" t="s">
        <v>25</v>
      </c>
      <c r="H30" s="131">
        <f>SUM(H18:H29)</f>
        <v>42518.200000000004</v>
      </c>
      <c r="I30" s="132">
        <f>SUM(I18:I29)</f>
        <v>53755.749999999993</v>
      </c>
    </row>
    <row r="31" spans="1:9" s="32" customFormat="1" ht="12.75" x14ac:dyDescent="0.2">
      <c r="A31" s="133">
        <v>3</v>
      </c>
      <c r="B31" s="134"/>
      <c r="C31" s="135"/>
      <c r="D31" s="136" t="s">
        <v>235</v>
      </c>
      <c r="E31" s="137"/>
      <c r="F31" s="137"/>
      <c r="G31" s="138"/>
      <c r="H31" s="138"/>
      <c r="I31" s="139"/>
    </row>
    <row r="32" spans="1:9" s="32" customFormat="1" ht="12.75" x14ac:dyDescent="0.2">
      <c r="A32" s="25" t="s">
        <v>234</v>
      </c>
      <c r="B32" s="26" t="s">
        <v>31</v>
      </c>
      <c r="C32" s="27" t="s">
        <v>107</v>
      </c>
      <c r="D32" s="28" t="s">
        <v>108</v>
      </c>
      <c r="E32" s="29" t="s">
        <v>222</v>
      </c>
      <c r="F32" s="29">
        <v>30</v>
      </c>
      <c r="G32" s="30">
        <v>32.880000000000003</v>
      </c>
      <c r="H32" s="30">
        <f t="shared" si="0"/>
        <v>986.4</v>
      </c>
      <c r="I32" s="31">
        <f t="shared" ref="I32:I49" si="2">ROUND(F32*G32*(1+$I$142/100),2)</f>
        <v>1247.1099999999999</v>
      </c>
    </row>
    <row r="33" spans="1:9" s="32" customFormat="1" ht="12.75" x14ac:dyDescent="0.2">
      <c r="A33" s="25" t="s">
        <v>237</v>
      </c>
      <c r="B33" s="26" t="s">
        <v>31</v>
      </c>
      <c r="C33" s="27" t="s">
        <v>122</v>
      </c>
      <c r="D33" s="28" t="s">
        <v>123</v>
      </c>
      <c r="E33" s="29" t="s">
        <v>227</v>
      </c>
      <c r="F33" s="29">
        <v>6</v>
      </c>
      <c r="G33" s="30">
        <v>516.96</v>
      </c>
      <c r="H33" s="30">
        <f t="shared" si="0"/>
        <v>3101.76</v>
      </c>
      <c r="I33" s="31">
        <f t="shared" si="2"/>
        <v>3921.56</v>
      </c>
    </row>
    <row r="34" spans="1:9" s="32" customFormat="1" ht="12.75" x14ac:dyDescent="0.2">
      <c r="A34" s="25" t="s">
        <v>238</v>
      </c>
      <c r="B34" s="26" t="s">
        <v>31</v>
      </c>
      <c r="C34" s="27" t="s">
        <v>139</v>
      </c>
      <c r="D34" s="28" t="s">
        <v>140</v>
      </c>
      <c r="E34" s="29" t="s">
        <v>222</v>
      </c>
      <c r="F34" s="29">
        <v>280</v>
      </c>
      <c r="G34" s="30">
        <v>41.11</v>
      </c>
      <c r="H34" s="30">
        <f t="shared" si="0"/>
        <v>11510.8</v>
      </c>
      <c r="I34" s="31">
        <f t="shared" si="2"/>
        <v>14553.1</v>
      </c>
    </row>
    <row r="35" spans="1:9" s="32" customFormat="1" ht="12.75" x14ac:dyDescent="0.2">
      <c r="A35" s="25" t="s">
        <v>239</v>
      </c>
      <c r="B35" s="26" t="s">
        <v>31</v>
      </c>
      <c r="C35" s="27" t="s">
        <v>118</v>
      </c>
      <c r="D35" s="28" t="s">
        <v>119</v>
      </c>
      <c r="E35" s="29" t="s">
        <v>78</v>
      </c>
      <c r="F35" s="29">
        <v>300</v>
      </c>
      <c r="G35" s="30">
        <v>11.25</v>
      </c>
      <c r="H35" s="30">
        <f t="shared" si="0"/>
        <v>3375</v>
      </c>
      <c r="I35" s="31">
        <f t="shared" si="2"/>
        <v>4267.01</v>
      </c>
    </row>
    <row r="36" spans="1:9" s="32" customFormat="1" ht="12.75" x14ac:dyDescent="0.2">
      <c r="A36" s="25" t="s">
        <v>240</v>
      </c>
      <c r="B36" s="26" t="s">
        <v>31</v>
      </c>
      <c r="C36" s="27" t="s">
        <v>128</v>
      </c>
      <c r="D36" s="28" t="s">
        <v>129</v>
      </c>
      <c r="E36" s="29" t="s">
        <v>78</v>
      </c>
      <c r="F36" s="29">
        <v>1000</v>
      </c>
      <c r="G36" s="30">
        <v>29.12</v>
      </c>
      <c r="H36" s="30">
        <f t="shared" si="0"/>
        <v>29120</v>
      </c>
      <c r="I36" s="31">
        <f t="shared" si="2"/>
        <v>36816.42</v>
      </c>
    </row>
    <row r="37" spans="1:9" s="32" customFormat="1" ht="12.75" x14ac:dyDescent="0.2">
      <c r="A37" s="25" t="s">
        <v>241</v>
      </c>
      <c r="B37" s="26" t="s">
        <v>31</v>
      </c>
      <c r="C37" s="27" t="s">
        <v>130</v>
      </c>
      <c r="D37" s="28" t="s">
        <v>244</v>
      </c>
      <c r="E37" s="29" t="s">
        <v>222</v>
      </c>
      <c r="F37" s="29">
        <v>100</v>
      </c>
      <c r="G37" s="30">
        <v>216.63</v>
      </c>
      <c r="H37" s="30">
        <f t="shared" si="0"/>
        <v>21663</v>
      </c>
      <c r="I37" s="31">
        <f t="shared" si="2"/>
        <v>27388.53</v>
      </c>
    </row>
    <row r="38" spans="1:9" s="32" customFormat="1" ht="12.75" x14ac:dyDescent="0.2">
      <c r="A38" s="25" t="s">
        <v>243</v>
      </c>
      <c r="B38" s="26" t="s">
        <v>31</v>
      </c>
      <c r="C38" s="27" t="s">
        <v>124</v>
      </c>
      <c r="D38" s="28" t="s">
        <v>125</v>
      </c>
      <c r="E38" s="29" t="s">
        <v>222</v>
      </c>
      <c r="F38" s="29">
        <v>30</v>
      </c>
      <c r="G38" s="30">
        <v>83.66</v>
      </c>
      <c r="H38" s="30">
        <f t="shared" si="0"/>
        <v>2509.8000000000002</v>
      </c>
      <c r="I38" s="31">
        <f t="shared" si="2"/>
        <v>3173.14</v>
      </c>
    </row>
    <row r="39" spans="1:9" s="32" customFormat="1" ht="12.75" x14ac:dyDescent="0.2">
      <c r="A39" s="25" t="s">
        <v>245</v>
      </c>
      <c r="B39" s="26" t="s">
        <v>31</v>
      </c>
      <c r="C39" s="27" t="s">
        <v>133</v>
      </c>
      <c r="D39" s="28" t="s">
        <v>134</v>
      </c>
      <c r="E39" s="29" t="s">
        <v>222</v>
      </c>
      <c r="F39" s="29">
        <v>60</v>
      </c>
      <c r="G39" s="30">
        <v>7.44</v>
      </c>
      <c r="H39" s="30">
        <f t="shared" si="0"/>
        <v>446.4</v>
      </c>
      <c r="I39" s="31">
        <f t="shared" si="2"/>
        <v>564.38</v>
      </c>
    </row>
    <row r="40" spans="1:9" s="32" customFormat="1" ht="12.75" x14ac:dyDescent="0.2">
      <c r="A40" s="25" t="s">
        <v>247</v>
      </c>
      <c r="B40" s="26" t="s">
        <v>31</v>
      </c>
      <c r="C40" s="27" t="s">
        <v>135</v>
      </c>
      <c r="D40" s="28" t="s">
        <v>136</v>
      </c>
      <c r="E40" s="29" t="s">
        <v>222</v>
      </c>
      <c r="F40" s="29">
        <v>60</v>
      </c>
      <c r="G40" s="30">
        <v>23.79</v>
      </c>
      <c r="H40" s="30">
        <f t="shared" si="0"/>
        <v>1427.4</v>
      </c>
      <c r="I40" s="31">
        <f t="shared" si="2"/>
        <v>1804.66</v>
      </c>
    </row>
    <row r="41" spans="1:9" s="32" customFormat="1" ht="12.75" x14ac:dyDescent="0.2">
      <c r="A41" s="25" t="s">
        <v>248</v>
      </c>
      <c r="B41" s="26" t="s">
        <v>31</v>
      </c>
      <c r="C41" s="27" t="s">
        <v>137</v>
      </c>
      <c r="D41" s="28" t="s">
        <v>138</v>
      </c>
      <c r="E41" s="29" t="s">
        <v>222</v>
      </c>
      <c r="F41" s="29">
        <v>60</v>
      </c>
      <c r="G41" s="30">
        <v>13.77</v>
      </c>
      <c r="H41" s="30">
        <f t="shared" si="0"/>
        <v>826.2</v>
      </c>
      <c r="I41" s="31">
        <f t="shared" si="2"/>
        <v>1044.56</v>
      </c>
    </row>
    <row r="42" spans="1:9" s="32" customFormat="1" ht="12.75" x14ac:dyDescent="0.2">
      <c r="A42" s="25" t="s">
        <v>251</v>
      </c>
      <c r="B42" s="26" t="s">
        <v>31</v>
      </c>
      <c r="C42" s="27" t="s">
        <v>172</v>
      </c>
      <c r="D42" s="28" t="s">
        <v>173</v>
      </c>
      <c r="E42" s="29" t="s">
        <v>222</v>
      </c>
      <c r="F42" s="29">
        <v>60</v>
      </c>
      <c r="G42" s="30">
        <v>36.43</v>
      </c>
      <c r="H42" s="30">
        <f t="shared" si="0"/>
        <v>2185.8000000000002</v>
      </c>
      <c r="I42" s="31">
        <f t="shared" si="2"/>
        <v>2763.51</v>
      </c>
    </row>
    <row r="43" spans="1:9" s="32" customFormat="1" ht="12.75" x14ac:dyDescent="0.2">
      <c r="A43" s="25" t="s">
        <v>253</v>
      </c>
      <c r="B43" s="26" t="s">
        <v>31</v>
      </c>
      <c r="C43" s="27" t="s">
        <v>126</v>
      </c>
      <c r="D43" s="28" t="s">
        <v>127</v>
      </c>
      <c r="E43" s="29" t="s">
        <v>222</v>
      </c>
      <c r="F43" s="29">
        <v>50</v>
      </c>
      <c r="G43" s="30">
        <v>260.12</v>
      </c>
      <c r="H43" s="30">
        <f t="shared" si="0"/>
        <v>13006</v>
      </c>
      <c r="I43" s="31">
        <f t="shared" si="2"/>
        <v>16443.490000000002</v>
      </c>
    </row>
    <row r="44" spans="1:9" s="32" customFormat="1" ht="12.75" x14ac:dyDescent="0.2">
      <c r="A44" s="25" t="s">
        <v>255</v>
      </c>
      <c r="B44" s="26" t="s">
        <v>31</v>
      </c>
      <c r="C44" s="27" t="s">
        <v>156</v>
      </c>
      <c r="D44" s="28" t="s">
        <v>157</v>
      </c>
      <c r="E44" s="29" t="s">
        <v>75</v>
      </c>
      <c r="F44" s="29">
        <v>35</v>
      </c>
      <c r="G44" s="30">
        <v>732.27</v>
      </c>
      <c r="H44" s="30">
        <f t="shared" si="0"/>
        <v>25629.45</v>
      </c>
      <c r="I44" s="31">
        <f t="shared" si="2"/>
        <v>32403.31</v>
      </c>
    </row>
    <row r="45" spans="1:9" s="32" customFormat="1" ht="12.75" x14ac:dyDescent="0.2">
      <c r="A45" s="25" t="s">
        <v>256</v>
      </c>
      <c r="B45" s="26" t="s">
        <v>31</v>
      </c>
      <c r="C45" s="27" t="s">
        <v>149</v>
      </c>
      <c r="D45" s="28" t="s">
        <v>252</v>
      </c>
      <c r="E45" s="29" t="s">
        <v>222</v>
      </c>
      <c r="F45" s="29">
        <v>25</v>
      </c>
      <c r="G45" s="30">
        <v>861.52</v>
      </c>
      <c r="H45" s="30">
        <f t="shared" si="0"/>
        <v>21538</v>
      </c>
      <c r="I45" s="31">
        <f t="shared" si="2"/>
        <v>27230.49</v>
      </c>
    </row>
    <row r="46" spans="1:9" s="32" customFormat="1" ht="12.75" x14ac:dyDescent="0.2">
      <c r="A46" s="25" t="s">
        <v>327</v>
      </c>
      <c r="B46" s="26" t="s">
        <v>31</v>
      </c>
      <c r="C46" s="27" t="s">
        <v>159</v>
      </c>
      <c r="D46" s="28" t="s">
        <v>254</v>
      </c>
      <c r="E46" s="29" t="s">
        <v>222</v>
      </c>
      <c r="F46" s="29">
        <v>4.3</v>
      </c>
      <c r="G46" s="30">
        <v>553.85</v>
      </c>
      <c r="H46" s="30">
        <f t="shared" si="0"/>
        <v>2381.56</v>
      </c>
      <c r="I46" s="31">
        <f t="shared" si="2"/>
        <v>3011</v>
      </c>
    </row>
    <row r="47" spans="1:9" s="32" customFormat="1" ht="12.75" x14ac:dyDescent="0.2">
      <c r="A47" s="25" t="s">
        <v>328</v>
      </c>
      <c r="B47" s="26" t="s">
        <v>31</v>
      </c>
      <c r="C47" s="27" t="s">
        <v>162</v>
      </c>
      <c r="D47" s="28" t="s">
        <v>163</v>
      </c>
      <c r="E47" s="29" t="s">
        <v>80</v>
      </c>
      <c r="F47" s="29">
        <v>1</v>
      </c>
      <c r="G47" s="30">
        <v>16635.88</v>
      </c>
      <c r="H47" s="30">
        <f t="shared" si="0"/>
        <v>16635.88</v>
      </c>
      <c r="I47" s="31">
        <f t="shared" si="2"/>
        <v>21032.74</v>
      </c>
    </row>
    <row r="48" spans="1:9" s="32" customFormat="1" ht="12.75" x14ac:dyDescent="0.2">
      <c r="A48" s="25" t="s">
        <v>329</v>
      </c>
      <c r="B48" s="26" t="s">
        <v>31</v>
      </c>
      <c r="C48" s="27" t="s">
        <v>131</v>
      </c>
      <c r="D48" s="28" t="s">
        <v>132</v>
      </c>
      <c r="E48" s="29" t="s">
        <v>75</v>
      </c>
      <c r="F48" s="29">
        <v>15</v>
      </c>
      <c r="G48" s="30">
        <v>114.72</v>
      </c>
      <c r="H48" s="30">
        <f t="shared" si="0"/>
        <v>1720.8</v>
      </c>
      <c r="I48" s="31">
        <f t="shared" si="2"/>
        <v>2175.61</v>
      </c>
    </row>
    <row r="49" spans="1:9" s="32" customFormat="1" ht="12.75" x14ac:dyDescent="0.2">
      <c r="A49" s="25" t="s">
        <v>330</v>
      </c>
      <c r="B49" s="26" t="s">
        <v>31</v>
      </c>
      <c r="C49" s="27" t="s">
        <v>204</v>
      </c>
      <c r="D49" s="28" t="s">
        <v>246</v>
      </c>
      <c r="E49" s="29" t="s">
        <v>75</v>
      </c>
      <c r="F49" s="29">
        <f>5*4</f>
        <v>20</v>
      </c>
      <c r="G49" s="30">
        <v>47.19</v>
      </c>
      <c r="H49" s="30">
        <f t="shared" si="0"/>
        <v>943.8</v>
      </c>
      <c r="I49" s="31">
        <f t="shared" si="2"/>
        <v>1193.25</v>
      </c>
    </row>
    <row r="50" spans="1:9" s="32" customFormat="1" ht="12.75" x14ac:dyDescent="0.2">
      <c r="A50" s="126"/>
      <c r="B50" s="127"/>
      <c r="C50" s="128"/>
      <c r="D50" s="129"/>
      <c r="E50" s="130"/>
      <c r="F50" s="130"/>
      <c r="G50" s="131" t="s">
        <v>25</v>
      </c>
      <c r="H50" s="131">
        <f>SUM(H32:H49)</f>
        <v>159008.04999999996</v>
      </c>
      <c r="I50" s="132">
        <f>SUM(I32:I49)</f>
        <v>201033.86999999997</v>
      </c>
    </row>
    <row r="51" spans="1:9" s="32" customFormat="1" ht="12.75" x14ac:dyDescent="0.2">
      <c r="A51" s="133">
        <v>4</v>
      </c>
      <c r="B51" s="134"/>
      <c r="C51" s="135"/>
      <c r="D51" s="136" t="s">
        <v>249</v>
      </c>
      <c r="E51" s="137"/>
      <c r="F51" s="137"/>
      <c r="G51" s="138"/>
      <c r="H51" s="138"/>
      <c r="I51" s="139"/>
    </row>
    <row r="52" spans="1:9" s="32" customFormat="1" ht="12.75" x14ac:dyDescent="0.2">
      <c r="A52" s="25" t="s">
        <v>250</v>
      </c>
      <c r="B52" s="26" t="s">
        <v>31</v>
      </c>
      <c r="C52" s="27" t="s">
        <v>141</v>
      </c>
      <c r="D52" s="28" t="s">
        <v>142</v>
      </c>
      <c r="E52" s="29" t="s">
        <v>222</v>
      </c>
      <c r="F52" s="29">
        <v>140</v>
      </c>
      <c r="G52" s="30">
        <v>108.83</v>
      </c>
      <c r="H52" s="30">
        <f t="shared" si="0"/>
        <v>15236.2</v>
      </c>
      <c r="I52" s="31">
        <f t="shared" ref="I52:I65" si="3">ROUND(F52*G52*(1+$I$142/100),2)</f>
        <v>19263.13</v>
      </c>
    </row>
    <row r="53" spans="1:9" s="32" customFormat="1" ht="12.75" x14ac:dyDescent="0.2">
      <c r="A53" s="25" t="s">
        <v>258</v>
      </c>
      <c r="B53" s="26" t="s">
        <v>31</v>
      </c>
      <c r="C53" s="27" t="s">
        <v>180</v>
      </c>
      <c r="D53" s="28" t="s">
        <v>181</v>
      </c>
      <c r="E53" s="29" t="s">
        <v>242</v>
      </c>
      <c r="F53" s="29">
        <v>4</v>
      </c>
      <c r="G53" s="30">
        <v>587.15</v>
      </c>
      <c r="H53" s="30">
        <f t="shared" si="0"/>
        <v>2348.6</v>
      </c>
      <c r="I53" s="31">
        <f t="shared" si="3"/>
        <v>2969.33</v>
      </c>
    </row>
    <row r="54" spans="1:9" s="32" customFormat="1" ht="12.75" x14ac:dyDescent="0.2">
      <c r="A54" s="25" t="s">
        <v>259</v>
      </c>
      <c r="B54" s="26" t="s">
        <v>31</v>
      </c>
      <c r="C54" s="27" t="s">
        <v>158</v>
      </c>
      <c r="D54" s="28" t="s">
        <v>257</v>
      </c>
      <c r="E54" s="29" t="s">
        <v>222</v>
      </c>
      <c r="F54" s="29">
        <f>12*1</f>
        <v>12</v>
      </c>
      <c r="G54" s="30">
        <v>1344.53</v>
      </c>
      <c r="H54" s="30">
        <f t="shared" si="0"/>
        <v>16134.36</v>
      </c>
      <c r="I54" s="31">
        <f t="shared" si="3"/>
        <v>20398.669999999998</v>
      </c>
    </row>
    <row r="55" spans="1:9" s="32" customFormat="1" ht="12.75" x14ac:dyDescent="0.2">
      <c r="A55" s="25" t="s">
        <v>260</v>
      </c>
      <c r="B55" s="26" t="s">
        <v>31</v>
      </c>
      <c r="C55" s="27" t="s">
        <v>160</v>
      </c>
      <c r="D55" s="28" t="s">
        <v>161</v>
      </c>
      <c r="E55" s="29" t="s">
        <v>222</v>
      </c>
      <c r="F55" s="29">
        <v>50</v>
      </c>
      <c r="G55" s="30">
        <v>277.29000000000002</v>
      </c>
      <c r="H55" s="30">
        <f t="shared" si="0"/>
        <v>13864.5</v>
      </c>
      <c r="I55" s="31">
        <f t="shared" si="3"/>
        <v>17528.89</v>
      </c>
    </row>
    <row r="56" spans="1:9" s="32" customFormat="1" ht="12.75" x14ac:dyDescent="0.2">
      <c r="A56" s="25" t="s">
        <v>261</v>
      </c>
      <c r="B56" s="26" t="s">
        <v>31</v>
      </c>
      <c r="C56" s="27" t="s">
        <v>128</v>
      </c>
      <c r="D56" s="28" t="s">
        <v>129</v>
      </c>
      <c r="E56" s="29" t="s">
        <v>78</v>
      </c>
      <c r="F56" s="29">
        <v>1100</v>
      </c>
      <c r="G56" s="30">
        <v>29.12</v>
      </c>
      <c r="H56" s="30">
        <f t="shared" si="0"/>
        <v>32032</v>
      </c>
      <c r="I56" s="31">
        <f t="shared" si="3"/>
        <v>40498.06</v>
      </c>
    </row>
    <row r="57" spans="1:9" s="32" customFormat="1" ht="12.75" x14ac:dyDescent="0.2">
      <c r="A57" s="25" t="s">
        <v>262</v>
      </c>
      <c r="B57" s="26" t="s">
        <v>31</v>
      </c>
      <c r="C57" s="27" t="s">
        <v>130</v>
      </c>
      <c r="D57" s="28" t="s">
        <v>244</v>
      </c>
      <c r="E57" s="29" t="s">
        <v>222</v>
      </c>
      <c r="F57" s="29">
        <v>110</v>
      </c>
      <c r="G57" s="30">
        <v>216.63</v>
      </c>
      <c r="H57" s="30">
        <f t="shared" si="0"/>
        <v>23829.3</v>
      </c>
      <c r="I57" s="31">
        <f t="shared" si="3"/>
        <v>30127.38</v>
      </c>
    </row>
    <row r="58" spans="1:9" s="32" customFormat="1" ht="12.75" x14ac:dyDescent="0.2">
      <c r="A58" s="25" t="s">
        <v>263</v>
      </c>
      <c r="B58" s="26" t="s">
        <v>31</v>
      </c>
      <c r="C58" s="27" t="s">
        <v>150</v>
      </c>
      <c r="D58" s="28" t="s">
        <v>151</v>
      </c>
      <c r="E58" s="29" t="s">
        <v>222</v>
      </c>
      <c r="F58" s="29">
        <v>110</v>
      </c>
      <c r="G58" s="30">
        <v>319.83</v>
      </c>
      <c r="H58" s="30">
        <f t="shared" si="0"/>
        <v>35181.300000000003</v>
      </c>
      <c r="I58" s="31">
        <f t="shared" si="3"/>
        <v>44479.72</v>
      </c>
    </row>
    <row r="59" spans="1:9" s="32" customFormat="1" ht="12.75" x14ac:dyDescent="0.2">
      <c r="A59" s="25" t="s">
        <v>264</v>
      </c>
      <c r="B59" s="26" t="s">
        <v>31</v>
      </c>
      <c r="C59" s="27" t="s">
        <v>105</v>
      </c>
      <c r="D59" s="28" t="s">
        <v>106</v>
      </c>
      <c r="E59" s="29" t="s">
        <v>222</v>
      </c>
      <c r="F59" s="29">
        <v>6</v>
      </c>
      <c r="G59" s="30">
        <v>32.880000000000003</v>
      </c>
      <c r="H59" s="30">
        <f t="shared" si="0"/>
        <v>197.28</v>
      </c>
      <c r="I59" s="31">
        <f t="shared" si="3"/>
        <v>249.42</v>
      </c>
    </row>
    <row r="60" spans="1:9" s="32" customFormat="1" ht="12.75" x14ac:dyDescent="0.2">
      <c r="A60" s="25" t="s">
        <v>265</v>
      </c>
      <c r="B60" s="26" t="s">
        <v>31</v>
      </c>
      <c r="C60" s="27" t="s">
        <v>124</v>
      </c>
      <c r="D60" s="28" t="s">
        <v>125</v>
      </c>
      <c r="E60" s="29" t="s">
        <v>222</v>
      </c>
      <c r="F60" s="29">
        <v>5</v>
      </c>
      <c r="G60" s="30">
        <v>83.66</v>
      </c>
      <c r="H60" s="30">
        <f t="shared" si="0"/>
        <v>418.3</v>
      </c>
      <c r="I60" s="31">
        <f t="shared" si="3"/>
        <v>528.86</v>
      </c>
    </row>
    <row r="61" spans="1:9" s="32" customFormat="1" ht="12.75" x14ac:dyDescent="0.2">
      <c r="A61" s="25" t="s">
        <v>266</v>
      </c>
      <c r="B61" s="26" t="s">
        <v>31</v>
      </c>
      <c r="C61" s="27" t="s">
        <v>120</v>
      </c>
      <c r="D61" s="28" t="s">
        <v>121</v>
      </c>
      <c r="E61" s="29" t="s">
        <v>78</v>
      </c>
      <c r="F61" s="29">
        <v>30</v>
      </c>
      <c r="G61" s="30">
        <v>9.9499999999999993</v>
      </c>
      <c r="H61" s="30">
        <f t="shared" si="0"/>
        <v>298.5</v>
      </c>
      <c r="I61" s="31">
        <f t="shared" si="3"/>
        <v>377.39</v>
      </c>
    </row>
    <row r="62" spans="1:9" s="32" customFormat="1" ht="12.75" x14ac:dyDescent="0.2">
      <c r="A62" s="25" t="s">
        <v>267</v>
      </c>
      <c r="B62" s="26" t="s">
        <v>31</v>
      </c>
      <c r="C62" s="27" t="s">
        <v>133</v>
      </c>
      <c r="D62" s="28" t="s">
        <v>134</v>
      </c>
      <c r="E62" s="29" t="s">
        <v>222</v>
      </c>
      <c r="F62" s="29">
        <v>10</v>
      </c>
      <c r="G62" s="30">
        <v>7.44</v>
      </c>
      <c r="H62" s="30">
        <f t="shared" si="0"/>
        <v>74.400000000000006</v>
      </c>
      <c r="I62" s="31">
        <f t="shared" si="3"/>
        <v>94.06</v>
      </c>
    </row>
    <row r="63" spans="1:9" s="32" customFormat="1" ht="12.75" x14ac:dyDescent="0.2">
      <c r="A63" s="25" t="s">
        <v>268</v>
      </c>
      <c r="B63" s="26" t="s">
        <v>31</v>
      </c>
      <c r="C63" s="27" t="s">
        <v>135</v>
      </c>
      <c r="D63" s="28" t="s">
        <v>136</v>
      </c>
      <c r="E63" s="29" t="s">
        <v>222</v>
      </c>
      <c r="F63" s="29">
        <v>10</v>
      </c>
      <c r="G63" s="30">
        <v>23.79</v>
      </c>
      <c r="H63" s="30">
        <f t="shared" si="0"/>
        <v>237.9</v>
      </c>
      <c r="I63" s="31">
        <f t="shared" si="3"/>
        <v>300.77999999999997</v>
      </c>
    </row>
    <row r="64" spans="1:9" s="32" customFormat="1" ht="12.75" x14ac:dyDescent="0.2">
      <c r="A64" s="25" t="s">
        <v>269</v>
      </c>
      <c r="B64" s="26" t="s">
        <v>31</v>
      </c>
      <c r="C64" s="27" t="s">
        <v>137</v>
      </c>
      <c r="D64" s="28" t="s">
        <v>138</v>
      </c>
      <c r="E64" s="29" t="s">
        <v>222</v>
      </c>
      <c r="F64" s="29">
        <v>10</v>
      </c>
      <c r="G64" s="30">
        <v>13.77</v>
      </c>
      <c r="H64" s="30">
        <f t="shared" si="0"/>
        <v>137.69999999999999</v>
      </c>
      <c r="I64" s="31">
        <f t="shared" si="3"/>
        <v>174.09</v>
      </c>
    </row>
    <row r="65" spans="1:9" s="32" customFormat="1" ht="12.75" x14ac:dyDescent="0.2">
      <c r="A65" s="25" t="s">
        <v>270</v>
      </c>
      <c r="B65" s="26" t="s">
        <v>31</v>
      </c>
      <c r="C65" s="27" t="s">
        <v>172</v>
      </c>
      <c r="D65" s="28" t="s">
        <v>173</v>
      </c>
      <c r="E65" s="29" t="s">
        <v>222</v>
      </c>
      <c r="F65" s="29">
        <v>10</v>
      </c>
      <c r="G65" s="30">
        <v>36.43</v>
      </c>
      <c r="H65" s="30">
        <f t="shared" si="0"/>
        <v>364.3</v>
      </c>
      <c r="I65" s="31">
        <f t="shared" si="3"/>
        <v>460.58</v>
      </c>
    </row>
    <row r="66" spans="1:9" s="32" customFormat="1" ht="12.75" x14ac:dyDescent="0.2">
      <c r="A66" s="126"/>
      <c r="B66" s="127"/>
      <c r="C66" s="128"/>
      <c r="D66" s="129"/>
      <c r="E66" s="130"/>
      <c r="F66" s="130"/>
      <c r="G66" s="131" t="s">
        <v>25</v>
      </c>
      <c r="H66" s="131">
        <f>SUM(H52:H65)</f>
        <v>140354.63999999998</v>
      </c>
      <c r="I66" s="132">
        <f>SUM(I52:I65)</f>
        <v>177450.36</v>
      </c>
    </row>
    <row r="67" spans="1:9" s="32" customFormat="1" ht="12.75" x14ac:dyDescent="0.2">
      <c r="A67" s="133">
        <v>5</v>
      </c>
      <c r="B67" s="134"/>
      <c r="C67" s="135"/>
      <c r="D67" s="136" t="s">
        <v>271</v>
      </c>
      <c r="E67" s="137"/>
      <c r="F67" s="137"/>
      <c r="G67" s="138"/>
      <c r="H67" s="138"/>
      <c r="I67" s="139"/>
    </row>
    <row r="68" spans="1:9" s="32" customFormat="1" ht="12.75" x14ac:dyDescent="0.2">
      <c r="A68" s="25" t="s">
        <v>272</v>
      </c>
      <c r="B68" s="26" t="s">
        <v>31</v>
      </c>
      <c r="C68" s="27" t="s">
        <v>143</v>
      </c>
      <c r="D68" s="28" t="s">
        <v>144</v>
      </c>
      <c r="E68" s="29" t="s">
        <v>222</v>
      </c>
      <c r="F68" s="29">
        <v>1000</v>
      </c>
      <c r="G68" s="30">
        <v>56.21</v>
      </c>
      <c r="H68" s="30">
        <f t="shared" si="0"/>
        <v>56210</v>
      </c>
      <c r="I68" s="31">
        <f t="shared" ref="I68:I90" si="4">ROUND(F68*G68*(1+$I$142/100),2)</f>
        <v>71066.3</v>
      </c>
    </row>
    <row r="69" spans="1:9" s="32" customFormat="1" ht="12.75" x14ac:dyDescent="0.2">
      <c r="A69" s="25" t="s">
        <v>273</v>
      </c>
      <c r="B69" s="26" t="s">
        <v>31</v>
      </c>
      <c r="C69" s="27" t="s">
        <v>145</v>
      </c>
      <c r="D69" s="28" t="s">
        <v>146</v>
      </c>
      <c r="E69" s="29" t="s">
        <v>222</v>
      </c>
      <c r="F69" s="29">
        <v>1000</v>
      </c>
      <c r="G69" s="30">
        <v>50.12</v>
      </c>
      <c r="H69" s="30">
        <f t="shared" si="0"/>
        <v>50120</v>
      </c>
      <c r="I69" s="31">
        <f t="shared" si="4"/>
        <v>63366.720000000001</v>
      </c>
    </row>
    <row r="70" spans="1:9" s="32" customFormat="1" ht="12.75" x14ac:dyDescent="0.2">
      <c r="A70" s="25" t="s">
        <v>274</v>
      </c>
      <c r="B70" s="26" t="s">
        <v>31</v>
      </c>
      <c r="C70" s="27" t="s">
        <v>149</v>
      </c>
      <c r="D70" s="28" t="s">
        <v>252</v>
      </c>
      <c r="E70" s="29" t="s">
        <v>222</v>
      </c>
      <c r="F70" s="29">
        <v>30</v>
      </c>
      <c r="G70" s="30">
        <v>861.52</v>
      </c>
      <c r="H70" s="30">
        <f t="shared" si="0"/>
        <v>25845.599999999999</v>
      </c>
      <c r="I70" s="31">
        <f t="shared" si="4"/>
        <v>32676.59</v>
      </c>
    </row>
    <row r="71" spans="1:9" s="32" customFormat="1" ht="12.75" x14ac:dyDescent="0.2">
      <c r="A71" s="25" t="s">
        <v>275</v>
      </c>
      <c r="B71" s="26" t="s">
        <v>31</v>
      </c>
      <c r="C71" s="27" t="s">
        <v>154</v>
      </c>
      <c r="D71" s="28" t="s">
        <v>155</v>
      </c>
      <c r="E71" s="29" t="s">
        <v>242</v>
      </c>
      <c r="F71" s="29">
        <v>2</v>
      </c>
      <c r="G71" s="30">
        <v>670.25</v>
      </c>
      <c r="H71" s="30">
        <f t="shared" si="0"/>
        <v>1340.5</v>
      </c>
      <c r="I71" s="31">
        <f t="shared" si="4"/>
        <v>1694.79</v>
      </c>
    </row>
    <row r="72" spans="1:9" s="32" customFormat="1" ht="12.75" x14ac:dyDescent="0.2">
      <c r="A72" s="25" t="s">
        <v>276</v>
      </c>
      <c r="B72" s="26" t="s">
        <v>31</v>
      </c>
      <c r="C72" s="27" t="s">
        <v>102</v>
      </c>
      <c r="D72" s="28" t="s">
        <v>103</v>
      </c>
      <c r="E72" s="29" t="s">
        <v>242</v>
      </c>
      <c r="F72" s="29">
        <v>6</v>
      </c>
      <c r="G72" s="30">
        <v>23.5</v>
      </c>
      <c r="H72" s="30">
        <f t="shared" si="0"/>
        <v>141</v>
      </c>
      <c r="I72" s="31">
        <f t="shared" si="4"/>
        <v>178.27</v>
      </c>
    </row>
    <row r="73" spans="1:9" s="32" customFormat="1" ht="12.75" x14ac:dyDescent="0.2">
      <c r="A73" s="25" t="s">
        <v>277</v>
      </c>
      <c r="B73" s="26" t="s">
        <v>31</v>
      </c>
      <c r="C73" s="27" t="s">
        <v>104</v>
      </c>
      <c r="D73" s="28" t="s">
        <v>284</v>
      </c>
      <c r="E73" s="29" t="s">
        <v>75</v>
      </c>
      <c r="F73" s="29">
        <v>30</v>
      </c>
      <c r="G73" s="30">
        <v>14.1</v>
      </c>
      <c r="H73" s="30">
        <f t="shared" si="0"/>
        <v>423</v>
      </c>
      <c r="I73" s="31">
        <f t="shared" si="4"/>
        <v>534.79999999999995</v>
      </c>
    </row>
    <row r="74" spans="1:9" s="32" customFormat="1" ht="12.75" x14ac:dyDescent="0.2">
      <c r="A74" s="25" t="s">
        <v>278</v>
      </c>
      <c r="B74" s="26" t="s">
        <v>31</v>
      </c>
      <c r="C74" s="27" t="s">
        <v>109</v>
      </c>
      <c r="D74" s="28" t="s">
        <v>110</v>
      </c>
      <c r="E74" s="29" t="s">
        <v>242</v>
      </c>
      <c r="F74" s="29">
        <v>4</v>
      </c>
      <c r="G74" s="30">
        <v>46.37</v>
      </c>
      <c r="H74" s="30">
        <f t="shared" si="0"/>
        <v>185.48</v>
      </c>
      <c r="I74" s="31">
        <f t="shared" si="4"/>
        <v>234.5</v>
      </c>
    </row>
    <row r="75" spans="1:9" s="32" customFormat="1" ht="12.75" x14ac:dyDescent="0.2">
      <c r="A75" s="25" t="s">
        <v>279</v>
      </c>
      <c r="B75" s="26" t="s">
        <v>31</v>
      </c>
      <c r="C75" s="27" t="s">
        <v>96</v>
      </c>
      <c r="D75" s="28" t="s">
        <v>97</v>
      </c>
      <c r="E75" s="29" t="s">
        <v>222</v>
      </c>
      <c r="F75" s="29">
        <v>60</v>
      </c>
      <c r="G75" s="30">
        <v>12.71</v>
      </c>
      <c r="H75" s="30">
        <f t="shared" si="0"/>
        <v>762.6</v>
      </c>
      <c r="I75" s="31">
        <f t="shared" si="4"/>
        <v>964.16</v>
      </c>
    </row>
    <row r="76" spans="1:9" s="32" customFormat="1" ht="12.75" x14ac:dyDescent="0.2">
      <c r="A76" s="25" t="s">
        <v>280</v>
      </c>
      <c r="B76" s="26" t="s">
        <v>31</v>
      </c>
      <c r="C76" s="27" t="s">
        <v>98</v>
      </c>
      <c r="D76" s="28" t="s">
        <v>99</v>
      </c>
      <c r="E76" s="29" t="s">
        <v>222</v>
      </c>
      <c r="F76" s="29">
        <v>60</v>
      </c>
      <c r="G76" s="30">
        <v>6.36</v>
      </c>
      <c r="H76" s="30">
        <f t="shared" si="0"/>
        <v>381.6</v>
      </c>
      <c r="I76" s="31">
        <f t="shared" si="4"/>
        <v>482.46</v>
      </c>
    </row>
    <row r="77" spans="1:9" s="32" customFormat="1" ht="25.5" x14ac:dyDescent="0.2">
      <c r="A77" s="25" t="s">
        <v>281</v>
      </c>
      <c r="B77" s="26" t="s">
        <v>31</v>
      </c>
      <c r="C77" s="27" t="s">
        <v>115</v>
      </c>
      <c r="D77" s="28" t="s">
        <v>228</v>
      </c>
      <c r="E77" s="29" t="s">
        <v>227</v>
      </c>
      <c r="F77" s="29">
        <v>20</v>
      </c>
      <c r="G77" s="30">
        <v>111.74</v>
      </c>
      <c r="H77" s="30">
        <f t="shared" si="0"/>
        <v>2234.8000000000002</v>
      </c>
      <c r="I77" s="31">
        <f t="shared" si="4"/>
        <v>2825.46</v>
      </c>
    </row>
    <row r="78" spans="1:9" s="32" customFormat="1" ht="12.75" x14ac:dyDescent="0.2">
      <c r="A78" s="25" t="s">
        <v>282</v>
      </c>
      <c r="B78" s="26" t="s">
        <v>31</v>
      </c>
      <c r="C78" s="27" t="s">
        <v>150</v>
      </c>
      <c r="D78" s="28" t="s">
        <v>151</v>
      </c>
      <c r="E78" s="29" t="s">
        <v>222</v>
      </c>
      <c r="F78" s="29">
        <v>60</v>
      </c>
      <c r="G78" s="30">
        <v>319.83</v>
      </c>
      <c r="H78" s="30">
        <f t="shared" si="0"/>
        <v>19189.8</v>
      </c>
      <c r="I78" s="31">
        <f t="shared" si="4"/>
        <v>24261.66</v>
      </c>
    </row>
    <row r="79" spans="1:9" s="32" customFormat="1" ht="12.75" x14ac:dyDescent="0.2">
      <c r="A79" s="25" t="s">
        <v>283</v>
      </c>
      <c r="B79" s="26" t="s">
        <v>31</v>
      </c>
      <c r="C79" s="27" t="s">
        <v>111</v>
      </c>
      <c r="D79" s="28" t="s">
        <v>112</v>
      </c>
      <c r="E79" s="29" t="s">
        <v>242</v>
      </c>
      <c r="F79" s="29">
        <v>2</v>
      </c>
      <c r="G79" s="30">
        <v>59.27</v>
      </c>
      <c r="H79" s="30">
        <f t="shared" si="0"/>
        <v>118.54</v>
      </c>
      <c r="I79" s="31">
        <f t="shared" si="4"/>
        <v>149.87</v>
      </c>
    </row>
    <row r="80" spans="1:9" s="32" customFormat="1" ht="12.75" x14ac:dyDescent="0.2">
      <c r="A80" s="25" t="s">
        <v>285</v>
      </c>
      <c r="B80" s="26" t="s">
        <v>31</v>
      </c>
      <c r="C80" s="27" t="s">
        <v>209</v>
      </c>
      <c r="D80" s="28" t="s">
        <v>210</v>
      </c>
      <c r="E80" s="29" t="s">
        <v>242</v>
      </c>
      <c r="F80" s="29">
        <v>2</v>
      </c>
      <c r="G80" s="30">
        <v>559.35</v>
      </c>
      <c r="H80" s="30">
        <f t="shared" si="0"/>
        <v>1118.7</v>
      </c>
      <c r="I80" s="31">
        <f t="shared" si="4"/>
        <v>1414.37</v>
      </c>
    </row>
    <row r="81" spans="1:9" s="32" customFormat="1" ht="12.75" x14ac:dyDescent="0.2">
      <c r="A81" s="25" t="s">
        <v>286</v>
      </c>
      <c r="B81" s="26" t="s">
        <v>31</v>
      </c>
      <c r="C81" s="27" t="s">
        <v>147</v>
      </c>
      <c r="D81" s="28" t="s">
        <v>148</v>
      </c>
      <c r="E81" s="29" t="s">
        <v>75</v>
      </c>
      <c r="F81" s="29">
        <v>60</v>
      </c>
      <c r="G81" s="30">
        <v>162.55000000000001</v>
      </c>
      <c r="H81" s="30">
        <f t="shared" si="0"/>
        <v>9753</v>
      </c>
      <c r="I81" s="31">
        <f t="shared" si="4"/>
        <v>12330.72</v>
      </c>
    </row>
    <row r="82" spans="1:9" s="32" customFormat="1" ht="12.75" x14ac:dyDescent="0.2">
      <c r="A82" s="25" t="s">
        <v>287</v>
      </c>
      <c r="B82" s="26" t="s">
        <v>31</v>
      </c>
      <c r="C82" s="27" t="s">
        <v>196</v>
      </c>
      <c r="D82" s="28" t="s">
        <v>197</v>
      </c>
      <c r="E82" s="29" t="s">
        <v>242</v>
      </c>
      <c r="F82" s="29">
        <v>2</v>
      </c>
      <c r="G82" s="30">
        <v>68.819999999999993</v>
      </c>
      <c r="H82" s="30">
        <f t="shared" si="0"/>
        <v>137.63999999999999</v>
      </c>
      <c r="I82" s="31">
        <f t="shared" si="4"/>
        <v>174.02</v>
      </c>
    </row>
    <row r="83" spans="1:9" s="32" customFormat="1" ht="12.75" x14ac:dyDescent="0.2">
      <c r="A83" s="25" t="s">
        <v>288</v>
      </c>
      <c r="B83" s="26" t="s">
        <v>31</v>
      </c>
      <c r="C83" s="27" t="s">
        <v>194</v>
      </c>
      <c r="D83" s="28" t="s">
        <v>195</v>
      </c>
      <c r="E83" s="29" t="s">
        <v>242</v>
      </c>
      <c r="F83" s="29">
        <v>2</v>
      </c>
      <c r="G83" s="30">
        <v>77</v>
      </c>
      <c r="H83" s="30">
        <f t="shared" si="0"/>
        <v>154</v>
      </c>
      <c r="I83" s="31">
        <f t="shared" si="4"/>
        <v>194.7</v>
      </c>
    </row>
    <row r="84" spans="1:9" s="32" customFormat="1" ht="12.75" x14ac:dyDescent="0.2">
      <c r="A84" s="25" t="s">
        <v>289</v>
      </c>
      <c r="B84" s="26" t="s">
        <v>31</v>
      </c>
      <c r="C84" s="27" t="s">
        <v>198</v>
      </c>
      <c r="D84" s="28" t="s">
        <v>199</v>
      </c>
      <c r="E84" s="29" t="s">
        <v>242</v>
      </c>
      <c r="F84" s="29">
        <v>2</v>
      </c>
      <c r="G84" s="30">
        <v>67.11</v>
      </c>
      <c r="H84" s="30">
        <f t="shared" si="0"/>
        <v>134.22</v>
      </c>
      <c r="I84" s="31">
        <f t="shared" si="4"/>
        <v>169.69</v>
      </c>
    </row>
    <row r="85" spans="1:9" s="32" customFormat="1" ht="12.75" x14ac:dyDescent="0.2">
      <c r="A85" s="25" t="s">
        <v>300</v>
      </c>
      <c r="B85" s="26" t="s">
        <v>31</v>
      </c>
      <c r="C85" s="27" t="s">
        <v>168</v>
      </c>
      <c r="D85" s="28" t="s">
        <v>169</v>
      </c>
      <c r="E85" s="29" t="s">
        <v>242</v>
      </c>
      <c r="F85" s="29">
        <v>2</v>
      </c>
      <c r="G85" s="30">
        <v>1740.23</v>
      </c>
      <c r="H85" s="30">
        <f t="shared" si="0"/>
        <v>3480.46</v>
      </c>
      <c r="I85" s="31">
        <f t="shared" si="4"/>
        <v>4400.3500000000004</v>
      </c>
    </row>
    <row r="86" spans="1:9" s="32" customFormat="1" ht="12.75" x14ac:dyDescent="0.2">
      <c r="A86" s="25" t="s">
        <v>301</v>
      </c>
      <c r="B86" s="26" t="s">
        <v>31</v>
      </c>
      <c r="C86" s="27" t="s">
        <v>200</v>
      </c>
      <c r="D86" s="28" t="s">
        <v>201</v>
      </c>
      <c r="E86" s="29" t="s">
        <v>242</v>
      </c>
      <c r="F86" s="29">
        <v>2</v>
      </c>
      <c r="G86" s="30">
        <v>376.51</v>
      </c>
      <c r="H86" s="30">
        <f t="shared" si="0"/>
        <v>753.02</v>
      </c>
      <c r="I86" s="31">
        <f t="shared" si="4"/>
        <v>952.04</v>
      </c>
    </row>
    <row r="87" spans="1:9" s="32" customFormat="1" ht="12.75" x14ac:dyDescent="0.2">
      <c r="A87" s="25" t="s">
        <v>302</v>
      </c>
      <c r="B87" s="26" t="s">
        <v>31</v>
      </c>
      <c r="C87" s="27" t="s">
        <v>170</v>
      </c>
      <c r="D87" s="28" t="s">
        <v>171</v>
      </c>
      <c r="E87" s="29" t="s">
        <v>242</v>
      </c>
      <c r="F87" s="29">
        <v>2</v>
      </c>
      <c r="G87" s="30">
        <v>1271.42</v>
      </c>
      <c r="H87" s="30">
        <f t="shared" si="0"/>
        <v>2542.84</v>
      </c>
      <c r="I87" s="31">
        <f t="shared" si="4"/>
        <v>3214.91</v>
      </c>
    </row>
    <row r="88" spans="1:9" s="32" customFormat="1" ht="12.75" x14ac:dyDescent="0.2">
      <c r="A88" s="25" t="s">
        <v>303</v>
      </c>
      <c r="B88" s="26" t="s">
        <v>31</v>
      </c>
      <c r="C88" s="27" t="s">
        <v>202</v>
      </c>
      <c r="D88" s="28" t="s">
        <v>203</v>
      </c>
      <c r="E88" s="29" t="s">
        <v>242</v>
      </c>
      <c r="F88" s="29">
        <v>2</v>
      </c>
      <c r="G88" s="30">
        <v>40.97</v>
      </c>
      <c r="H88" s="30">
        <f t="shared" si="0"/>
        <v>81.94</v>
      </c>
      <c r="I88" s="31">
        <f t="shared" si="4"/>
        <v>103.6</v>
      </c>
    </row>
    <row r="89" spans="1:9" s="32" customFormat="1" ht="12.75" x14ac:dyDescent="0.2">
      <c r="A89" s="25" t="s">
        <v>340</v>
      </c>
      <c r="B89" s="26" t="s">
        <v>31</v>
      </c>
      <c r="C89" s="27" t="s">
        <v>164</v>
      </c>
      <c r="D89" s="28" t="s">
        <v>165</v>
      </c>
      <c r="E89" s="29" t="s">
        <v>242</v>
      </c>
      <c r="F89" s="29">
        <v>4</v>
      </c>
      <c r="G89" s="30">
        <v>221.34</v>
      </c>
      <c r="H89" s="30">
        <f t="shared" si="0"/>
        <v>885.36</v>
      </c>
      <c r="I89" s="31">
        <f t="shared" si="4"/>
        <v>1119.3599999999999</v>
      </c>
    </row>
    <row r="90" spans="1:9" s="32" customFormat="1" ht="25.5" x14ac:dyDescent="0.2">
      <c r="A90" s="25" t="s">
        <v>341</v>
      </c>
      <c r="B90" s="26" t="s">
        <v>31</v>
      </c>
      <c r="C90" s="27" t="s">
        <v>166</v>
      </c>
      <c r="D90" s="28" t="s">
        <v>167</v>
      </c>
      <c r="E90" s="29" t="s">
        <v>242</v>
      </c>
      <c r="F90" s="29">
        <v>2</v>
      </c>
      <c r="G90" s="30">
        <v>186.41</v>
      </c>
      <c r="H90" s="30">
        <f t="shared" si="0"/>
        <v>372.82</v>
      </c>
      <c r="I90" s="31">
        <f t="shared" si="4"/>
        <v>471.36</v>
      </c>
    </row>
    <row r="91" spans="1:9" s="32" customFormat="1" ht="12.75" x14ac:dyDescent="0.2">
      <c r="A91" s="25" t="s">
        <v>364</v>
      </c>
      <c r="B91" s="26" t="s">
        <v>31</v>
      </c>
      <c r="C91" s="27" t="s">
        <v>367</v>
      </c>
      <c r="D91" s="28" t="s">
        <v>366</v>
      </c>
      <c r="E91" s="29" t="s">
        <v>76</v>
      </c>
      <c r="F91" s="29">
        <f>+(4+2.4)*2.7</f>
        <v>17.28</v>
      </c>
      <c r="G91" s="30">
        <f>+'Composição 1'!H19</f>
        <v>304.99</v>
      </c>
      <c r="H91" s="30">
        <f t="shared" ref="H91" si="5">ROUND(F91*G91,2)</f>
        <v>5270.23</v>
      </c>
      <c r="I91" s="31">
        <f t="shared" ref="I91" si="6">ROUND(F91*G91*(1+$I$142/100),2)</f>
        <v>6663.15</v>
      </c>
    </row>
    <row r="92" spans="1:9" s="32" customFormat="1" ht="12.75" x14ac:dyDescent="0.2">
      <c r="A92" s="127"/>
      <c r="B92" s="127"/>
      <c r="C92" s="128"/>
      <c r="D92" s="129"/>
      <c r="E92" s="130"/>
      <c r="F92" s="130"/>
      <c r="G92" s="131" t="s">
        <v>25</v>
      </c>
      <c r="H92" s="131">
        <f>SUM(H68:H90)</f>
        <v>176366.92</v>
      </c>
      <c r="I92" s="132">
        <f>SUM(I68:I90)</f>
        <v>222980.69999999998</v>
      </c>
    </row>
    <row r="93" spans="1:9" s="32" customFormat="1" ht="12.75" x14ac:dyDescent="0.2">
      <c r="A93" s="134">
        <v>6</v>
      </c>
      <c r="B93" s="134"/>
      <c r="C93" s="135"/>
      <c r="D93" s="136" t="s">
        <v>290</v>
      </c>
      <c r="E93" s="137"/>
      <c r="F93" s="137"/>
      <c r="G93" s="138"/>
      <c r="H93" s="138"/>
      <c r="I93" s="139"/>
    </row>
    <row r="94" spans="1:9" s="32" customFormat="1" ht="12.75" x14ac:dyDescent="0.2">
      <c r="A94" s="142" t="s">
        <v>291</v>
      </c>
      <c r="B94" s="142" t="s">
        <v>31</v>
      </c>
      <c r="C94" s="143" t="s">
        <v>90</v>
      </c>
      <c r="D94" s="144" t="s">
        <v>91</v>
      </c>
      <c r="E94" s="145" t="s">
        <v>227</v>
      </c>
      <c r="F94" s="145">
        <v>30</v>
      </c>
      <c r="G94" s="146">
        <v>233.09</v>
      </c>
      <c r="H94" s="30">
        <f t="shared" ref="H94:H130" si="7">ROUND(F94*G94,2)</f>
        <v>6992.7</v>
      </c>
      <c r="I94" s="31">
        <f t="shared" ref="I94:I106" si="8">ROUND(F94*G94*(1+$I$142/100),2)</f>
        <v>8840.8700000000008</v>
      </c>
    </row>
    <row r="95" spans="1:9" s="32" customFormat="1" ht="25.5" x14ac:dyDescent="0.2">
      <c r="A95" s="142" t="s">
        <v>292</v>
      </c>
      <c r="B95" s="142" t="s">
        <v>31</v>
      </c>
      <c r="C95" s="143" t="s">
        <v>115</v>
      </c>
      <c r="D95" s="144" t="s">
        <v>228</v>
      </c>
      <c r="E95" s="145" t="s">
        <v>227</v>
      </c>
      <c r="F95" s="145">
        <v>30</v>
      </c>
      <c r="G95" s="146">
        <v>111.74</v>
      </c>
      <c r="H95" s="30">
        <f t="shared" si="7"/>
        <v>3352.2</v>
      </c>
      <c r="I95" s="31">
        <f t="shared" si="8"/>
        <v>4238.1899999999996</v>
      </c>
    </row>
    <row r="96" spans="1:9" s="32" customFormat="1" ht="12.75" x14ac:dyDescent="0.2">
      <c r="A96" s="142" t="s">
        <v>293</v>
      </c>
      <c r="B96" s="142" t="s">
        <v>31</v>
      </c>
      <c r="C96" s="27" t="s">
        <v>124</v>
      </c>
      <c r="D96" s="28" t="s">
        <v>125</v>
      </c>
      <c r="E96" s="29" t="s">
        <v>222</v>
      </c>
      <c r="F96" s="29">
        <v>27</v>
      </c>
      <c r="G96" s="30">
        <v>83.66</v>
      </c>
      <c r="H96" s="30">
        <f t="shared" si="7"/>
        <v>2258.8200000000002</v>
      </c>
      <c r="I96" s="31">
        <f t="shared" si="8"/>
        <v>2855.83</v>
      </c>
    </row>
    <row r="97" spans="1:9" s="32" customFormat="1" ht="12.75" x14ac:dyDescent="0.2">
      <c r="A97" s="142" t="s">
        <v>294</v>
      </c>
      <c r="B97" s="142" t="s">
        <v>31</v>
      </c>
      <c r="C97" s="27" t="s">
        <v>133</v>
      </c>
      <c r="D97" s="28" t="s">
        <v>134</v>
      </c>
      <c r="E97" s="29" t="s">
        <v>222</v>
      </c>
      <c r="F97" s="29">
        <v>54</v>
      </c>
      <c r="G97" s="30">
        <v>7.44</v>
      </c>
      <c r="H97" s="30">
        <f t="shared" si="7"/>
        <v>401.76</v>
      </c>
      <c r="I97" s="31">
        <f t="shared" si="8"/>
        <v>507.95</v>
      </c>
    </row>
    <row r="98" spans="1:9" s="32" customFormat="1" ht="12.75" x14ac:dyDescent="0.2">
      <c r="A98" s="142" t="s">
        <v>295</v>
      </c>
      <c r="B98" s="142" t="s">
        <v>31</v>
      </c>
      <c r="C98" s="27" t="s">
        <v>135</v>
      </c>
      <c r="D98" s="28" t="s">
        <v>136</v>
      </c>
      <c r="E98" s="29" t="s">
        <v>222</v>
      </c>
      <c r="F98" s="29">
        <v>54</v>
      </c>
      <c r="G98" s="30">
        <v>23.79</v>
      </c>
      <c r="H98" s="30">
        <f t="shared" si="7"/>
        <v>1284.6600000000001</v>
      </c>
      <c r="I98" s="31">
        <f t="shared" si="8"/>
        <v>1624.2</v>
      </c>
    </row>
    <row r="99" spans="1:9" s="32" customFormat="1" ht="12.75" x14ac:dyDescent="0.2">
      <c r="A99" s="142" t="s">
        <v>296</v>
      </c>
      <c r="B99" s="142" t="s">
        <v>31</v>
      </c>
      <c r="C99" s="27" t="s">
        <v>120</v>
      </c>
      <c r="D99" s="28" t="s">
        <v>121</v>
      </c>
      <c r="E99" s="29" t="s">
        <v>78</v>
      </c>
      <c r="F99" s="29">
        <v>70</v>
      </c>
      <c r="G99" s="30">
        <v>9.9499999999999993</v>
      </c>
      <c r="H99" s="30">
        <f t="shared" si="7"/>
        <v>696.5</v>
      </c>
      <c r="I99" s="31">
        <f t="shared" si="8"/>
        <v>880.58</v>
      </c>
    </row>
    <row r="100" spans="1:9" s="32" customFormat="1" ht="12.75" x14ac:dyDescent="0.2">
      <c r="A100" s="142" t="s">
        <v>297</v>
      </c>
      <c r="B100" s="142" t="s">
        <v>31</v>
      </c>
      <c r="C100" s="27" t="s">
        <v>137</v>
      </c>
      <c r="D100" s="28" t="s">
        <v>138</v>
      </c>
      <c r="E100" s="29" t="s">
        <v>222</v>
      </c>
      <c r="F100" s="29">
        <v>54</v>
      </c>
      <c r="G100" s="30">
        <v>13.77</v>
      </c>
      <c r="H100" s="30">
        <f t="shared" si="7"/>
        <v>743.58</v>
      </c>
      <c r="I100" s="31">
        <f t="shared" si="8"/>
        <v>940.11</v>
      </c>
    </row>
    <row r="101" spans="1:9" s="32" customFormat="1" ht="12.75" x14ac:dyDescent="0.2">
      <c r="A101" s="142" t="s">
        <v>298</v>
      </c>
      <c r="B101" s="142" t="s">
        <v>31</v>
      </c>
      <c r="C101" s="27" t="s">
        <v>176</v>
      </c>
      <c r="D101" s="28" t="s">
        <v>177</v>
      </c>
      <c r="E101" s="29" t="s">
        <v>222</v>
      </c>
      <c r="F101" s="29">
        <v>54</v>
      </c>
      <c r="G101" s="30">
        <v>149.44</v>
      </c>
      <c r="H101" s="30">
        <f t="shared" si="7"/>
        <v>8069.76</v>
      </c>
      <c r="I101" s="31">
        <f t="shared" si="8"/>
        <v>10202.6</v>
      </c>
    </row>
    <row r="102" spans="1:9" s="32" customFormat="1" ht="12.75" x14ac:dyDescent="0.2">
      <c r="A102" s="142" t="s">
        <v>299</v>
      </c>
      <c r="B102" s="26" t="s">
        <v>31</v>
      </c>
      <c r="C102" s="27" t="s">
        <v>154</v>
      </c>
      <c r="D102" s="28" t="s">
        <v>155</v>
      </c>
      <c r="E102" s="29" t="s">
        <v>242</v>
      </c>
      <c r="F102" s="29">
        <v>2</v>
      </c>
      <c r="G102" s="30">
        <v>670.25</v>
      </c>
      <c r="H102" s="30">
        <f t="shared" si="7"/>
        <v>1340.5</v>
      </c>
      <c r="I102" s="31">
        <f t="shared" si="8"/>
        <v>1694.79</v>
      </c>
    </row>
    <row r="103" spans="1:9" s="32" customFormat="1" ht="12.75" x14ac:dyDescent="0.2">
      <c r="A103" s="142" t="s">
        <v>331</v>
      </c>
      <c r="B103" s="26" t="s">
        <v>31</v>
      </c>
      <c r="C103" s="27" t="s">
        <v>104</v>
      </c>
      <c r="D103" s="28" t="s">
        <v>284</v>
      </c>
      <c r="E103" s="29" t="s">
        <v>75</v>
      </c>
      <c r="F103" s="29">
        <v>6</v>
      </c>
      <c r="G103" s="30">
        <v>14.1</v>
      </c>
      <c r="H103" s="30">
        <f t="shared" si="7"/>
        <v>84.6</v>
      </c>
      <c r="I103" s="31">
        <f t="shared" si="8"/>
        <v>106.96</v>
      </c>
    </row>
    <row r="104" spans="1:9" s="32" customFormat="1" ht="12.75" x14ac:dyDescent="0.2">
      <c r="A104" s="142" t="s">
        <v>332</v>
      </c>
      <c r="B104" s="26" t="s">
        <v>31</v>
      </c>
      <c r="C104" s="27" t="s">
        <v>102</v>
      </c>
      <c r="D104" s="28" t="s">
        <v>103</v>
      </c>
      <c r="E104" s="29" t="s">
        <v>242</v>
      </c>
      <c r="F104" s="29">
        <v>2</v>
      </c>
      <c r="G104" s="30">
        <v>23.5</v>
      </c>
      <c r="H104" s="30">
        <f t="shared" si="7"/>
        <v>47</v>
      </c>
      <c r="I104" s="31">
        <f t="shared" si="8"/>
        <v>59.42</v>
      </c>
    </row>
    <row r="105" spans="1:9" s="32" customFormat="1" ht="12.75" x14ac:dyDescent="0.2">
      <c r="A105" s="142" t="s">
        <v>333</v>
      </c>
      <c r="B105" s="26" t="s">
        <v>31</v>
      </c>
      <c r="C105" s="27" t="s">
        <v>159</v>
      </c>
      <c r="D105" s="28" t="s">
        <v>254</v>
      </c>
      <c r="E105" s="29" t="s">
        <v>222</v>
      </c>
      <c r="F105" s="29">
        <v>7</v>
      </c>
      <c r="G105" s="30">
        <v>553.85</v>
      </c>
      <c r="H105" s="30">
        <f t="shared" si="7"/>
        <v>3876.95</v>
      </c>
      <c r="I105" s="31">
        <f t="shared" si="8"/>
        <v>4901.63</v>
      </c>
    </row>
    <row r="106" spans="1:9" s="32" customFormat="1" ht="12.75" x14ac:dyDescent="0.2">
      <c r="A106" s="142" t="s">
        <v>334</v>
      </c>
      <c r="B106" s="26" t="s">
        <v>31</v>
      </c>
      <c r="C106" s="27" t="s">
        <v>162</v>
      </c>
      <c r="D106" s="28" t="s">
        <v>163</v>
      </c>
      <c r="E106" s="29" t="s">
        <v>80</v>
      </c>
      <c r="F106" s="29">
        <v>1</v>
      </c>
      <c r="G106" s="30">
        <v>16635.88</v>
      </c>
      <c r="H106" s="30">
        <f t="shared" si="7"/>
        <v>16635.88</v>
      </c>
      <c r="I106" s="31">
        <f t="shared" si="8"/>
        <v>21032.74</v>
      </c>
    </row>
    <row r="107" spans="1:9" s="32" customFormat="1" ht="12.75" x14ac:dyDescent="0.2">
      <c r="A107" s="127"/>
      <c r="B107" s="127"/>
      <c r="C107" s="128"/>
      <c r="D107" s="129"/>
      <c r="E107" s="130"/>
      <c r="F107" s="130"/>
      <c r="G107" s="131" t="s">
        <v>25</v>
      </c>
      <c r="H107" s="131">
        <f>SUM(H94:H106)</f>
        <v>45784.91</v>
      </c>
      <c r="I107" s="132">
        <f>SUM(I94:I106)</f>
        <v>57885.869999999995</v>
      </c>
    </row>
    <row r="108" spans="1:9" s="32" customFormat="1" ht="12.75" x14ac:dyDescent="0.2">
      <c r="A108" s="134">
        <v>7</v>
      </c>
      <c r="B108" s="134"/>
      <c r="C108" s="135"/>
      <c r="D108" s="136" t="s">
        <v>304</v>
      </c>
      <c r="E108" s="137"/>
      <c r="F108" s="137"/>
      <c r="G108" s="138"/>
      <c r="H108" s="140"/>
      <c r="I108" s="141"/>
    </row>
    <row r="109" spans="1:9" s="32" customFormat="1" ht="12.75" x14ac:dyDescent="0.2">
      <c r="A109" s="26" t="s">
        <v>306</v>
      </c>
      <c r="B109" s="26" t="s">
        <v>31</v>
      </c>
      <c r="C109" s="27" t="s">
        <v>90</v>
      </c>
      <c r="D109" s="28" t="s">
        <v>91</v>
      </c>
      <c r="E109" s="29" t="s">
        <v>227</v>
      </c>
      <c r="F109" s="29">
        <v>6</v>
      </c>
      <c r="G109" s="30">
        <v>233.09</v>
      </c>
      <c r="H109" s="30">
        <f t="shared" si="7"/>
        <v>1398.54</v>
      </c>
      <c r="I109" s="31">
        <f t="shared" ref="I109:I119" si="9">ROUND(F109*G109*(1+$I$142/100),2)</f>
        <v>1768.17</v>
      </c>
    </row>
    <row r="110" spans="1:9" s="32" customFormat="1" ht="12.75" x14ac:dyDescent="0.2">
      <c r="A110" s="26" t="s">
        <v>308</v>
      </c>
      <c r="B110" s="26"/>
      <c r="C110" s="27" t="s">
        <v>96</v>
      </c>
      <c r="D110" s="28" t="s">
        <v>97</v>
      </c>
      <c r="E110" s="29" t="s">
        <v>222</v>
      </c>
      <c r="F110" s="29">
        <v>200</v>
      </c>
      <c r="G110" s="30">
        <v>12.71</v>
      </c>
      <c r="H110" s="30">
        <f t="shared" si="7"/>
        <v>2542</v>
      </c>
      <c r="I110" s="31">
        <f t="shared" si="9"/>
        <v>3213.85</v>
      </c>
    </row>
    <row r="111" spans="1:9" s="32" customFormat="1" ht="25.5" x14ac:dyDescent="0.2">
      <c r="A111" s="26" t="s">
        <v>309</v>
      </c>
      <c r="B111" s="26" t="s">
        <v>31</v>
      </c>
      <c r="C111" s="27" t="s">
        <v>115</v>
      </c>
      <c r="D111" s="28" t="s">
        <v>228</v>
      </c>
      <c r="E111" s="29" t="s">
        <v>227</v>
      </c>
      <c r="F111" s="29">
        <v>28</v>
      </c>
      <c r="G111" s="30">
        <v>111.74</v>
      </c>
      <c r="H111" s="30">
        <f t="shared" si="7"/>
        <v>3128.72</v>
      </c>
      <c r="I111" s="31">
        <f t="shared" si="9"/>
        <v>3955.64</v>
      </c>
    </row>
    <row r="112" spans="1:9" s="32" customFormat="1" ht="12.75" x14ac:dyDescent="0.2">
      <c r="A112" s="26" t="s">
        <v>310</v>
      </c>
      <c r="B112" s="26" t="s">
        <v>31</v>
      </c>
      <c r="C112" s="27" t="s">
        <v>113</v>
      </c>
      <c r="D112" s="28" t="s">
        <v>114</v>
      </c>
      <c r="E112" s="29" t="s">
        <v>222</v>
      </c>
      <c r="F112" s="29">
        <f>2*2.1</f>
        <v>4.2</v>
      </c>
      <c r="G112" s="30">
        <v>46.98</v>
      </c>
      <c r="H112" s="30">
        <f t="shared" si="7"/>
        <v>197.32</v>
      </c>
      <c r="I112" s="31">
        <f t="shared" si="9"/>
        <v>249.47</v>
      </c>
    </row>
    <row r="113" spans="1:13" s="32" customFormat="1" ht="12.75" x14ac:dyDescent="0.2">
      <c r="A113" s="26" t="s">
        <v>315</v>
      </c>
      <c r="B113" s="26" t="s">
        <v>31</v>
      </c>
      <c r="C113" s="27" t="s">
        <v>159</v>
      </c>
      <c r="D113" s="28" t="s">
        <v>254</v>
      </c>
      <c r="E113" s="29" t="s">
        <v>222</v>
      </c>
      <c r="F113" s="29">
        <v>7.2</v>
      </c>
      <c r="G113" s="30">
        <v>553.85</v>
      </c>
      <c r="H113" s="30">
        <f t="shared" si="7"/>
        <v>3987.72</v>
      </c>
      <c r="I113" s="31">
        <f t="shared" si="9"/>
        <v>5041.67</v>
      </c>
    </row>
    <row r="114" spans="1:13" s="32" customFormat="1" ht="12.75" x14ac:dyDescent="0.2">
      <c r="A114" s="26" t="s">
        <v>316</v>
      </c>
      <c r="B114" s="26" t="s">
        <v>31</v>
      </c>
      <c r="C114" s="27" t="s">
        <v>100</v>
      </c>
      <c r="D114" s="28" t="s">
        <v>101</v>
      </c>
      <c r="E114" s="29" t="s">
        <v>222</v>
      </c>
      <c r="F114" s="29">
        <v>120</v>
      </c>
      <c r="G114" s="30">
        <v>8.48</v>
      </c>
      <c r="H114" s="30">
        <f t="shared" si="7"/>
        <v>1017.6</v>
      </c>
      <c r="I114" s="31">
        <f t="shared" si="9"/>
        <v>1286.55</v>
      </c>
    </row>
    <row r="115" spans="1:13" s="32" customFormat="1" ht="12.75" x14ac:dyDescent="0.2">
      <c r="A115" s="26" t="s">
        <v>317</v>
      </c>
      <c r="B115" s="26" t="s">
        <v>31</v>
      </c>
      <c r="C115" s="27" t="s">
        <v>128</v>
      </c>
      <c r="D115" s="28" t="s">
        <v>129</v>
      </c>
      <c r="E115" s="29" t="s">
        <v>78</v>
      </c>
      <c r="F115" s="29">
        <f>120*10</f>
        <v>1200</v>
      </c>
      <c r="G115" s="30">
        <v>29.12</v>
      </c>
      <c r="H115" s="30">
        <f t="shared" si="7"/>
        <v>34944</v>
      </c>
      <c r="I115" s="31">
        <f t="shared" si="9"/>
        <v>44179.7</v>
      </c>
    </row>
    <row r="116" spans="1:13" s="32" customFormat="1" ht="12.75" x14ac:dyDescent="0.2">
      <c r="A116" s="26" t="s">
        <v>318</v>
      </c>
      <c r="B116" s="26" t="s">
        <v>31</v>
      </c>
      <c r="C116" s="27" t="s">
        <v>130</v>
      </c>
      <c r="D116" s="28" t="s">
        <v>244</v>
      </c>
      <c r="E116" s="29" t="s">
        <v>222</v>
      </c>
      <c r="F116" s="29">
        <v>120</v>
      </c>
      <c r="G116" s="30">
        <v>216.63</v>
      </c>
      <c r="H116" s="30">
        <f t="shared" si="7"/>
        <v>25995.599999999999</v>
      </c>
      <c r="I116" s="31">
        <f t="shared" si="9"/>
        <v>32866.239999999998</v>
      </c>
    </row>
    <row r="117" spans="1:13" s="32" customFormat="1" ht="12.75" x14ac:dyDescent="0.2">
      <c r="A117" s="26" t="s">
        <v>319</v>
      </c>
      <c r="B117" s="26" t="s">
        <v>31</v>
      </c>
      <c r="C117" s="27" t="s">
        <v>94</v>
      </c>
      <c r="D117" s="28" t="s">
        <v>95</v>
      </c>
      <c r="E117" s="29" t="s">
        <v>222</v>
      </c>
      <c r="F117" s="29">
        <v>280</v>
      </c>
      <c r="G117" s="30">
        <v>10.6</v>
      </c>
      <c r="H117" s="30">
        <f t="shared" si="7"/>
        <v>2968</v>
      </c>
      <c r="I117" s="31">
        <f t="shared" si="9"/>
        <v>3752.44</v>
      </c>
    </row>
    <row r="118" spans="1:13" s="32" customFormat="1" ht="12.75" x14ac:dyDescent="0.2">
      <c r="A118" s="26" t="s">
        <v>320</v>
      </c>
      <c r="B118" s="26" t="s">
        <v>31</v>
      </c>
      <c r="C118" s="27" t="s">
        <v>122</v>
      </c>
      <c r="D118" s="28" t="s">
        <v>123</v>
      </c>
      <c r="E118" s="29" t="s">
        <v>227</v>
      </c>
      <c r="F118" s="29">
        <v>1</v>
      </c>
      <c r="G118" s="30">
        <v>516.96</v>
      </c>
      <c r="H118" s="30">
        <f t="shared" si="7"/>
        <v>516.96</v>
      </c>
      <c r="I118" s="31">
        <f t="shared" si="9"/>
        <v>653.59</v>
      </c>
    </row>
    <row r="119" spans="1:13" s="32" customFormat="1" ht="12.75" x14ac:dyDescent="0.2">
      <c r="A119" s="26" t="s">
        <v>342</v>
      </c>
      <c r="B119" s="26" t="s">
        <v>31</v>
      </c>
      <c r="C119" s="27" t="s">
        <v>139</v>
      </c>
      <c r="D119" s="28" t="s">
        <v>140</v>
      </c>
      <c r="E119" s="29" t="s">
        <v>222</v>
      </c>
      <c r="F119" s="29">
        <v>280</v>
      </c>
      <c r="G119" s="30">
        <v>41.11</v>
      </c>
      <c r="H119" s="30">
        <f t="shared" si="7"/>
        <v>11510.8</v>
      </c>
      <c r="I119" s="31">
        <f t="shared" si="9"/>
        <v>14553.1</v>
      </c>
    </row>
    <row r="120" spans="1:13" s="32" customFormat="1" ht="12.75" x14ac:dyDescent="0.2">
      <c r="A120" s="127"/>
      <c r="B120" s="127"/>
      <c r="C120" s="128"/>
      <c r="D120" s="129"/>
      <c r="E120" s="130"/>
      <c r="F120" s="130"/>
      <c r="G120" s="131" t="s">
        <v>25</v>
      </c>
      <c r="H120" s="131">
        <f>SUM(H109:H119)</f>
        <v>88207.260000000009</v>
      </c>
      <c r="I120" s="132">
        <f>SUM(I109:I119)</f>
        <v>111520.42</v>
      </c>
    </row>
    <row r="121" spans="1:13" s="32" customFormat="1" ht="12.75" x14ac:dyDescent="0.2">
      <c r="A121" s="134">
        <v>8</v>
      </c>
      <c r="B121" s="134"/>
      <c r="C121" s="135"/>
      <c r="D121" s="136" t="s">
        <v>305</v>
      </c>
      <c r="E121" s="137"/>
      <c r="F121" s="137"/>
      <c r="G121" s="138"/>
      <c r="H121" s="138"/>
      <c r="I121" s="139"/>
    </row>
    <row r="122" spans="1:13" s="32" customFormat="1" ht="12.75" x14ac:dyDescent="0.2">
      <c r="A122" s="26" t="s">
        <v>307</v>
      </c>
      <c r="B122" s="26" t="s">
        <v>31</v>
      </c>
      <c r="C122" s="27" t="s">
        <v>213</v>
      </c>
      <c r="D122" s="28" t="s">
        <v>314</v>
      </c>
      <c r="E122" s="29" t="s">
        <v>222</v>
      </c>
      <c r="F122" s="29">
        <f>300*7</f>
        <v>2100</v>
      </c>
      <c r="G122" s="30">
        <v>11.84</v>
      </c>
      <c r="H122" s="30">
        <f t="shared" si="7"/>
        <v>24864</v>
      </c>
      <c r="I122" s="31">
        <f>ROUND(F122*G122*(1+$I$142/100),2)</f>
        <v>31435.56</v>
      </c>
    </row>
    <row r="123" spans="1:13" s="32" customFormat="1" ht="12.75" x14ac:dyDescent="0.2">
      <c r="A123" s="26" t="s">
        <v>311</v>
      </c>
      <c r="B123" s="26" t="s">
        <v>31</v>
      </c>
      <c r="C123" s="27" t="s">
        <v>178</v>
      </c>
      <c r="D123" s="28" t="s">
        <v>179</v>
      </c>
      <c r="E123" s="29" t="s">
        <v>222</v>
      </c>
      <c r="F123" s="29">
        <v>2100</v>
      </c>
      <c r="G123" s="30">
        <v>43.55</v>
      </c>
      <c r="H123" s="30">
        <f t="shared" si="7"/>
        <v>91455</v>
      </c>
      <c r="I123" s="31">
        <f>ROUND(F123*G123*(1+$I$142/100),2)</f>
        <v>115626.56</v>
      </c>
    </row>
    <row r="124" spans="1:13" s="32" customFormat="1" ht="12.75" x14ac:dyDescent="0.2">
      <c r="A124" s="26" t="s">
        <v>312</v>
      </c>
      <c r="B124" s="26" t="s">
        <v>31</v>
      </c>
      <c r="C124" s="27" t="s">
        <v>174</v>
      </c>
      <c r="D124" s="28" t="s">
        <v>175</v>
      </c>
      <c r="E124" s="29" t="s">
        <v>222</v>
      </c>
      <c r="F124" s="29">
        <v>2100</v>
      </c>
      <c r="G124" s="30">
        <v>35.159999999999997</v>
      </c>
      <c r="H124" s="30">
        <f t="shared" si="7"/>
        <v>73836</v>
      </c>
      <c r="I124" s="31">
        <f>ROUND(F124*G124*(1+$I$142/100),2)</f>
        <v>93350.85</v>
      </c>
    </row>
    <row r="125" spans="1:13" s="32" customFormat="1" ht="12.75" x14ac:dyDescent="0.2">
      <c r="A125" s="26" t="s">
        <v>313</v>
      </c>
      <c r="B125" s="26" t="s">
        <v>31</v>
      </c>
      <c r="C125" s="27" t="s">
        <v>152</v>
      </c>
      <c r="D125" s="28" t="s">
        <v>153</v>
      </c>
      <c r="E125" s="29" t="s">
        <v>222</v>
      </c>
      <c r="F125" s="29">
        <v>160</v>
      </c>
      <c r="G125" s="30">
        <v>1090.83</v>
      </c>
      <c r="H125" s="30">
        <f t="shared" si="7"/>
        <v>174532.8</v>
      </c>
      <c r="I125" s="31">
        <f>ROUND(F125*G125*(1+$I$142/100),2)</f>
        <v>220661.82</v>
      </c>
    </row>
    <row r="126" spans="1:13" s="32" customFormat="1" ht="12.75" x14ac:dyDescent="0.2">
      <c r="A126" s="26" t="s">
        <v>335</v>
      </c>
      <c r="B126" s="26" t="s">
        <v>31</v>
      </c>
      <c r="C126" s="27" t="s">
        <v>211</v>
      </c>
      <c r="D126" s="28" t="s">
        <v>212</v>
      </c>
      <c r="E126" s="29" t="s">
        <v>222</v>
      </c>
      <c r="F126" s="29">
        <v>1200</v>
      </c>
      <c r="G126" s="30">
        <v>14.83</v>
      </c>
      <c r="H126" s="30">
        <f t="shared" si="7"/>
        <v>17796</v>
      </c>
      <c r="I126" s="31">
        <f>ROUND(F126*G126*(1+$I$142/100),2)</f>
        <v>22499.48</v>
      </c>
    </row>
    <row r="127" spans="1:13" s="47" customFormat="1" ht="12.75" x14ac:dyDescent="0.2">
      <c r="A127" s="54"/>
      <c r="B127" s="55"/>
      <c r="C127" s="55"/>
      <c r="D127" s="55"/>
      <c r="E127" s="55"/>
      <c r="F127" s="55"/>
      <c r="G127" s="51" t="s">
        <v>25</v>
      </c>
      <c r="H127" s="131">
        <f>SUM(H122:H126)</f>
        <v>382483.8</v>
      </c>
      <c r="I127" s="132">
        <f>SUM(I122:I126)</f>
        <v>483574.27</v>
      </c>
      <c r="M127" s="32"/>
    </row>
    <row r="128" spans="1:13" s="47" customFormat="1" ht="12.75" x14ac:dyDescent="0.2">
      <c r="A128" s="134">
        <v>9</v>
      </c>
      <c r="B128" s="147"/>
      <c r="C128" s="147"/>
      <c r="D128" s="147" t="s">
        <v>336</v>
      </c>
      <c r="E128" s="147"/>
      <c r="F128" s="147"/>
      <c r="G128" s="148"/>
      <c r="H128" s="140"/>
      <c r="I128" s="141"/>
      <c r="M128" s="32"/>
    </row>
    <row r="129" spans="1:9" s="47" customFormat="1" ht="25.5" x14ac:dyDescent="0.2">
      <c r="A129" s="142" t="s">
        <v>338</v>
      </c>
      <c r="B129" s="142" t="s">
        <v>214</v>
      </c>
      <c r="C129" s="142">
        <v>100950</v>
      </c>
      <c r="D129" s="149" t="s">
        <v>337</v>
      </c>
      <c r="E129" s="142" t="s">
        <v>79</v>
      </c>
      <c r="F129" s="152">
        <v>10</v>
      </c>
      <c r="G129" s="150">
        <v>4.87</v>
      </c>
      <c r="H129" s="30">
        <f t="shared" si="7"/>
        <v>48.7</v>
      </c>
      <c r="I129" s="31">
        <f t="shared" ref="I129:I130" si="10">ROUND(F129*G129*(1+$I$142/100),2)</f>
        <v>61.57</v>
      </c>
    </row>
    <row r="130" spans="1:9" s="47" customFormat="1" ht="25.5" customHeight="1" x14ac:dyDescent="0.2">
      <c r="A130" s="142" t="s">
        <v>339</v>
      </c>
      <c r="B130" s="142" t="s">
        <v>31</v>
      </c>
      <c r="C130" s="142" t="s">
        <v>105</v>
      </c>
      <c r="D130" s="149" t="s">
        <v>106</v>
      </c>
      <c r="E130" s="142" t="s">
        <v>222</v>
      </c>
      <c r="F130" s="152">
        <v>10</v>
      </c>
      <c r="G130" s="151">
        <v>32.880000000000003</v>
      </c>
      <c r="H130" s="30">
        <f t="shared" si="7"/>
        <v>328.8</v>
      </c>
      <c r="I130" s="31">
        <f t="shared" si="10"/>
        <v>415.7</v>
      </c>
    </row>
    <row r="131" spans="1:9" s="47" customFormat="1" ht="12.75" x14ac:dyDescent="0.2">
      <c r="A131" s="127"/>
      <c r="B131" s="127"/>
      <c r="C131" s="127"/>
      <c r="D131" s="153"/>
      <c r="E131" s="153"/>
      <c r="F131" s="153"/>
      <c r="G131" s="154" t="s">
        <v>25</v>
      </c>
      <c r="H131" s="131">
        <f>SUM(H129:H130)</f>
        <v>377.5</v>
      </c>
      <c r="I131" s="132">
        <f>SUM(I129:I130)</f>
        <v>477.27</v>
      </c>
    </row>
    <row r="132" spans="1:9" s="47" customFormat="1" ht="12.75" x14ac:dyDescent="0.2">
      <c r="A132" s="134">
        <v>10</v>
      </c>
      <c r="B132" s="147"/>
      <c r="C132" s="147"/>
      <c r="D132" s="147" t="s">
        <v>345</v>
      </c>
      <c r="E132" s="147"/>
      <c r="F132" s="147"/>
      <c r="G132" s="148"/>
      <c r="H132" s="140"/>
      <c r="I132" s="141"/>
    </row>
    <row r="133" spans="1:9" s="47" customFormat="1" ht="25.5" x14ac:dyDescent="0.2">
      <c r="A133" s="142" t="s">
        <v>343</v>
      </c>
      <c r="B133" s="142" t="s">
        <v>31</v>
      </c>
      <c r="C133" s="142" t="s">
        <v>192</v>
      </c>
      <c r="D133" s="149" t="s">
        <v>193</v>
      </c>
      <c r="E133" s="142" t="s">
        <v>242</v>
      </c>
      <c r="F133" s="152">
        <v>24</v>
      </c>
      <c r="G133" s="150">
        <v>156.6</v>
      </c>
      <c r="H133" s="30">
        <f t="shared" ref="H133" si="11">ROUND(F133*G133,2)</f>
        <v>3758.4</v>
      </c>
      <c r="I133" s="31">
        <f>ROUND(F133*G133*(1+$I$142/100),2)</f>
        <v>4751.75</v>
      </c>
    </row>
    <row r="134" spans="1:9" s="47" customFormat="1" ht="12.75" x14ac:dyDescent="0.2">
      <c r="A134" s="142" t="s">
        <v>344</v>
      </c>
      <c r="B134" s="142" t="s">
        <v>31</v>
      </c>
      <c r="C134" s="142" t="s">
        <v>182</v>
      </c>
      <c r="D134" s="149" t="s">
        <v>183</v>
      </c>
      <c r="E134" s="142" t="s">
        <v>75</v>
      </c>
      <c r="F134" s="152">
        <v>50</v>
      </c>
      <c r="G134" s="150">
        <v>16.239999999999998</v>
      </c>
      <c r="H134" s="30">
        <f t="shared" ref="H134:H137" si="12">ROUND(F134*G134,2)</f>
        <v>812</v>
      </c>
      <c r="I134" s="31">
        <f t="shared" ref="I134:I137" si="13">ROUND(F134*G134*(1+$I$142/100),2)</f>
        <v>1026.6099999999999</v>
      </c>
    </row>
    <row r="135" spans="1:9" s="47" customFormat="1" ht="12.75" x14ac:dyDescent="0.2">
      <c r="A135" s="142" t="s">
        <v>346</v>
      </c>
      <c r="B135" s="142" t="s">
        <v>31</v>
      </c>
      <c r="C135" s="142" t="s">
        <v>184</v>
      </c>
      <c r="D135" s="149" t="s">
        <v>185</v>
      </c>
      <c r="E135" s="142" t="s">
        <v>75</v>
      </c>
      <c r="F135" s="152">
        <f>3*F134</f>
        <v>150</v>
      </c>
      <c r="G135" s="150">
        <v>4.2300000000000004</v>
      </c>
      <c r="H135" s="30">
        <f t="shared" si="12"/>
        <v>634.5</v>
      </c>
      <c r="I135" s="31">
        <f t="shared" si="13"/>
        <v>802.2</v>
      </c>
    </row>
    <row r="136" spans="1:9" s="47" customFormat="1" ht="12.75" x14ac:dyDescent="0.2">
      <c r="A136" s="142" t="s">
        <v>347</v>
      </c>
      <c r="B136" s="142" t="s">
        <v>31</v>
      </c>
      <c r="C136" s="142" t="s">
        <v>190</v>
      </c>
      <c r="D136" s="149" t="s">
        <v>191</v>
      </c>
      <c r="E136" s="142" t="s">
        <v>242</v>
      </c>
      <c r="F136" s="152">
        <v>2</v>
      </c>
      <c r="G136" s="150">
        <v>14.59</v>
      </c>
      <c r="H136" s="30">
        <f t="shared" ref="H136" si="14">ROUND(F136*G136,2)</f>
        <v>29.18</v>
      </c>
      <c r="I136" s="31">
        <f t="shared" ref="I136" si="15">ROUND(F136*G136*(1+$I$142/100),2)</f>
        <v>36.89</v>
      </c>
    </row>
    <row r="137" spans="1:9" s="47" customFormat="1" ht="12.75" x14ac:dyDescent="0.2">
      <c r="A137" s="142" t="s">
        <v>348</v>
      </c>
      <c r="B137" s="142" t="s">
        <v>31</v>
      </c>
      <c r="C137" s="142" t="s">
        <v>188</v>
      </c>
      <c r="D137" s="149" t="s">
        <v>189</v>
      </c>
      <c r="E137" s="142" t="s">
        <v>80</v>
      </c>
      <c r="F137" s="152">
        <v>2</v>
      </c>
      <c r="G137" s="150">
        <v>25.48</v>
      </c>
      <c r="H137" s="30">
        <f t="shared" si="12"/>
        <v>50.96</v>
      </c>
      <c r="I137" s="31">
        <f t="shared" si="13"/>
        <v>64.430000000000007</v>
      </c>
    </row>
    <row r="138" spans="1:9" s="47" customFormat="1" ht="12.75" x14ac:dyDescent="0.2">
      <c r="A138" s="127"/>
      <c r="B138" s="127"/>
      <c r="C138" s="127"/>
      <c r="D138" s="153"/>
      <c r="E138" s="153"/>
      <c r="F138" s="153"/>
      <c r="G138" s="154" t="s">
        <v>25</v>
      </c>
      <c r="H138" s="131">
        <f>SUM(H133:H137)</f>
        <v>5285.04</v>
      </c>
      <c r="I138" s="132">
        <f>SUM(I133:I137)</f>
        <v>6681.88</v>
      </c>
    </row>
    <row r="139" spans="1:9" s="32" customFormat="1" ht="15" customHeight="1" thickBot="1" x14ac:dyDescent="0.25">
      <c r="A139" s="232" t="s">
        <v>26</v>
      </c>
      <c r="B139" s="233"/>
      <c r="C139" s="233"/>
      <c r="D139" s="233"/>
      <c r="E139" s="233"/>
      <c r="F139" s="233"/>
      <c r="G139" s="233"/>
      <c r="H139" s="52">
        <f>SUM(H66+H50+H30+H16+H92+H107+H120+H127+H131+H138)</f>
        <v>1053880.44</v>
      </c>
      <c r="I139" s="53">
        <f>SUM(I66+I50+I30+I16+I92+I107+I120+I127+I131+I138)</f>
        <v>1332421.0099999998</v>
      </c>
    </row>
    <row r="140" spans="1:9" ht="15.75" thickBot="1" x14ac:dyDescent="0.3">
      <c r="A140" s="3"/>
      <c r="B140" s="4"/>
      <c r="C140" s="4"/>
      <c r="D140" s="125"/>
      <c r="E140" s="22"/>
      <c r="F140" s="20"/>
      <c r="G140" s="14"/>
      <c r="H140" s="14"/>
      <c r="I140" s="15"/>
    </row>
    <row r="141" spans="1:9" customFormat="1" x14ac:dyDescent="0.25">
      <c r="A141" s="217"/>
      <c r="B141" s="218"/>
      <c r="C141" s="227" t="s">
        <v>18</v>
      </c>
      <c r="D141" s="228"/>
      <c r="E141" s="228"/>
      <c r="F141" s="228"/>
      <c r="G141" s="228"/>
      <c r="H141" s="228"/>
      <c r="I141" s="36">
        <f>H139</f>
        <v>1053880.44</v>
      </c>
    </row>
    <row r="142" spans="1:9" customFormat="1" x14ac:dyDescent="0.25">
      <c r="A142" s="219"/>
      <c r="B142" s="220"/>
      <c r="C142" s="225" t="s">
        <v>19</v>
      </c>
      <c r="D142" s="226"/>
      <c r="E142" s="226"/>
      <c r="F142" s="226"/>
      <c r="G142" s="226"/>
      <c r="H142" s="226"/>
      <c r="I142" s="121">
        <f>BDI!F26*100</f>
        <v>26.43</v>
      </c>
    </row>
    <row r="143" spans="1:9" customFormat="1" x14ac:dyDescent="0.25">
      <c r="A143" s="219"/>
      <c r="B143" s="220"/>
      <c r="C143" s="225" t="s">
        <v>20</v>
      </c>
      <c r="D143" s="226"/>
      <c r="E143" s="226"/>
      <c r="F143" s="226"/>
      <c r="G143" s="226"/>
      <c r="H143" s="226"/>
      <c r="I143" s="37">
        <f>ROUND((I141)*I142/100,2)</f>
        <v>278540.59999999998</v>
      </c>
    </row>
    <row r="144" spans="1:9" customFormat="1" ht="15.75" thickBot="1" x14ac:dyDescent="0.3">
      <c r="A144" s="219"/>
      <c r="B144" s="220"/>
      <c r="C144" s="215" t="s">
        <v>21</v>
      </c>
      <c r="D144" s="216"/>
      <c r="E144" s="216"/>
      <c r="F144" s="216"/>
      <c r="G144" s="216"/>
      <c r="H144" s="216"/>
      <c r="I144" s="38">
        <f>I141+I143</f>
        <v>1332421.04</v>
      </c>
    </row>
    <row r="145" spans="1:9" customFormat="1" x14ac:dyDescent="0.25">
      <c r="A145" s="219"/>
      <c r="B145" s="220"/>
      <c r="C145" s="225" t="s">
        <v>27</v>
      </c>
      <c r="D145" s="226"/>
      <c r="E145" s="226"/>
      <c r="F145" s="226"/>
      <c r="G145" s="226"/>
      <c r="H145" s="226"/>
      <c r="I145" s="50">
        <v>0</v>
      </c>
    </row>
    <row r="146" spans="1:9" customFormat="1" ht="15.75" thickBot="1" x14ac:dyDescent="0.3">
      <c r="A146" s="219"/>
      <c r="B146" s="220"/>
      <c r="C146" s="215" t="s">
        <v>29</v>
      </c>
      <c r="D146" s="216"/>
      <c r="E146" s="216"/>
      <c r="F146" s="216"/>
      <c r="G146" s="216"/>
      <c r="H146" s="216"/>
      <c r="I146" s="49">
        <f>I145/I144</f>
        <v>0</v>
      </c>
    </row>
    <row r="147" spans="1:9" customFormat="1" x14ac:dyDescent="0.25">
      <c r="A147" s="219"/>
      <c r="B147" s="220"/>
      <c r="C147" s="225" t="s">
        <v>28</v>
      </c>
      <c r="D147" s="226"/>
      <c r="E147" s="226"/>
      <c r="F147" s="226"/>
      <c r="G147" s="226"/>
      <c r="H147" s="226"/>
      <c r="I147" s="50">
        <f>I144-I145</f>
        <v>1332421.04</v>
      </c>
    </row>
    <row r="148" spans="1:9" customFormat="1" ht="15.75" thickBot="1" x14ac:dyDescent="0.3">
      <c r="A148" s="221"/>
      <c r="B148" s="222"/>
      <c r="C148" s="215" t="s">
        <v>30</v>
      </c>
      <c r="D148" s="216"/>
      <c r="E148" s="216"/>
      <c r="F148" s="216"/>
      <c r="G148" s="216"/>
      <c r="H148" s="216"/>
      <c r="I148" s="49">
        <f>I147/I144</f>
        <v>1</v>
      </c>
    </row>
    <row r="149" spans="1:9" x14ac:dyDescent="0.25">
      <c r="A149" s="3"/>
      <c r="B149" s="4"/>
      <c r="C149" s="4"/>
      <c r="D149" s="125"/>
      <c r="E149" s="22"/>
      <c r="F149" s="20"/>
      <c r="G149" s="14"/>
      <c r="H149" s="14"/>
      <c r="I149" s="15"/>
    </row>
    <row r="150" spans="1:9" x14ac:dyDescent="0.25">
      <c r="A150" s="206"/>
      <c r="B150" s="207"/>
      <c r="C150" s="207"/>
      <c r="D150" s="207"/>
      <c r="G150" s="10"/>
      <c r="H150" s="10"/>
      <c r="I150" s="11"/>
    </row>
    <row r="151" spans="1:9" x14ac:dyDescent="0.25">
      <c r="A151" s="34" t="s">
        <v>5</v>
      </c>
      <c r="B151" s="223" t="str">
        <f>Dados!B14</f>
        <v>JEFERSON JOSÉ VIEIRA RUIVO</v>
      </c>
      <c r="C151" s="223"/>
      <c r="D151" s="223"/>
      <c r="G151" s="10"/>
      <c r="H151" s="10"/>
      <c r="I151" s="11"/>
    </row>
    <row r="152" spans="1:9" x14ac:dyDescent="0.25">
      <c r="A152" s="34" t="s">
        <v>6</v>
      </c>
      <c r="B152" s="223" t="str">
        <f>Dados!B15</f>
        <v xml:space="preserve">ENGENHEIRO CIVIL </v>
      </c>
      <c r="C152" s="223"/>
      <c r="D152" s="223"/>
      <c r="G152" s="10"/>
      <c r="H152" s="10"/>
      <c r="I152" s="11"/>
    </row>
    <row r="153" spans="1:9" ht="15.75" thickBot="1" x14ac:dyDescent="0.3">
      <c r="A153" s="35" t="s">
        <v>7</v>
      </c>
      <c r="B153" s="224">
        <f>Dados!B16</f>
        <v>5070232434</v>
      </c>
      <c r="C153" s="224"/>
      <c r="D153" s="224"/>
      <c r="E153" s="21"/>
      <c r="F153" s="21"/>
      <c r="G153" s="16"/>
      <c r="H153" s="16"/>
      <c r="I153" s="17"/>
    </row>
    <row r="157" spans="1:9" ht="15" customHeight="1" x14ac:dyDescent="0.25"/>
  </sheetData>
  <mergeCells count="23">
    <mergeCell ref="A10:I10"/>
    <mergeCell ref="A139:G139"/>
    <mergeCell ref="A1:I1"/>
    <mergeCell ref="H2:I7"/>
    <mergeCell ref="A2:G2"/>
    <mergeCell ref="A3:G3"/>
    <mergeCell ref="A4:G4"/>
    <mergeCell ref="A5:G5"/>
    <mergeCell ref="A6:G6"/>
    <mergeCell ref="A7:G7"/>
    <mergeCell ref="C148:H148"/>
    <mergeCell ref="A141:B148"/>
    <mergeCell ref="B152:D152"/>
    <mergeCell ref="B153:D153"/>
    <mergeCell ref="A150:D150"/>
    <mergeCell ref="B151:D151"/>
    <mergeCell ref="C145:H145"/>
    <mergeCell ref="C147:H147"/>
    <mergeCell ref="C146:H146"/>
    <mergeCell ref="C141:H141"/>
    <mergeCell ref="C142:H142"/>
    <mergeCell ref="C143:H143"/>
    <mergeCell ref="C144:H144"/>
  </mergeCells>
  <conditionalFormatting sqref="A140:A141 A149">
    <cfRule type="expression" dxfId="14" priority="10" stopIfTrue="1">
      <formula>$K$13="sim"</formula>
    </cfRule>
  </conditionalFormatting>
  <conditionalFormatting sqref="E140:F149">
    <cfRule type="expression" dxfId="13" priority="2" stopIfTrue="1">
      <formula>$K$13="sim"</formula>
    </cfRule>
  </conditionalFormatting>
  <conditionalFormatting sqref="G140:I149">
    <cfRule type="expression" dxfId="12" priority="1" stopIfTrue="1">
      <formula>$K$13="sim"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zoomScaleNormal="100" workbookViewId="0">
      <selection activeCell="M11" sqref="M11"/>
    </sheetView>
  </sheetViews>
  <sheetFormatPr defaultColWidth="8.7109375" defaultRowHeight="15" x14ac:dyDescent="0.25"/>
  <cols>
    <col min="1" max="1" width="9.140625" style="8" bestFit="1" customWidth="1"/>
    <col min="2" max="2" width="6.42578125" style="8" bestFit="1" customWidth="1"/>
    <col min="3" max="3" width="14.42578125" style="8" bestFit="1" customWidth="1"/>
    <col min="4" max="4" width="37.28515625" style="24" customWidth="1"/>
    <col min="5" max="5" width="8.42578125" style="19" bestFit="1" customWidth="1"/>
    <col min="6" max="6" width="11.5703125" style="19" bestFit="1" customWidth="1"/>
    <col min="7" max="7" width="15" style="18" customWidth="1"/>
    <col min="8" max="8" width="17.140625" style="18" customWidth="1"/>
    <col min="9" max="16384" width="8.7109375" style="1"/>
  </cols>
  <sheetData>
    <row r="1" spans="1:8" ht="18.75" thickBot="1" x14ac:dyDescent="0.3">
      <c r="A1" s="158" t="s">
        <v>74</v>
      </c>
      <c r="B1" s="159"/>
      <c r="C1" s="159"/>
      <c r="D1" s="159"/>
      <c r="E1" s="159"/>
      <c r="F1" s="159"/>
      <c r="G1" s="159"/>
      <c r="H1" s="160"/>
    </row>
    <row r="2" spans="1:8" ht="15.75" thickBot="1" x14ac:dyDescent="0.3">
      <c r="A2" s="161" t="s">
        <v>4</v>
      </c>
      <c r="B2" s="162"/>
      <c r="C2" s="162"/>
      <c r="D2" s="162"/>
      <c r="E2" s="162"/>
      <c r="F2" s="162"/>
      <c r="G2" s="172"/>
      <c r="H2" s="255"/>
    </row>
    <row r="3" spans="1:8" x14ac:dyDescent="0.25">
      <c r="A3" s="240" t="str">
        <f>Dados!A3</f>
        <v xml:space="preserve">OBJETO:REFORMA DA FACHADA DO HOSPITAL </v>
      </c>
      <c r="B3" s="241"/>
      <c r="C3" s="241"/>
      <c r="D3" s="241"/>
      <c r="E3" s="241"/>
      <c r="F3" s="241"/>
      <c r="G3" s="242"/>
      <c r="H3" s="256"/>
    </row>
    <row r="4" spans="1:8" x14ac:dyDescent="0.25">
      <c r="A4" s="243" t="str">
        <f>Dados!A4</f>
        <v>ENDEREÇO: AVENIDA GABRIEL MONTEIRO DA SILVA Nº 888 - CENTRO - IBIÚNA - SP</v>
      </c>
      <c r="B4" s="244"/>
      <c r="C4" s="244"/>
      <c r="D4" s="244"/>
      <c r="E4" s="244"/>
      <c r="F4" s="244"/>
      <c r="G4" s="245"/>
      <c r="H4" s="256"/>
    </row>
    <row r="5" spans="1:8" x14ac:dyDescent="0.25">
      <c r="A5" s="246" t="str">
        <f>Dados!A5</f>
        <v>DATA DA ELABORAÇÃO: 14/04/2026</v>
      </c>
      <c r="B5" s="247"/>
      <c r="C5" s="247"/>
      <c r="D5" s="247"/>
      <c r="E5" s="247"/>
      <c r="F5" s="247"/>
      <c r="G5" s="248"/>
      <c r="H5" s="256"/>
    </row>
    <row r="6" spans="1:8" x14ac:dyDescent="0.25">
      <c r="A6" s="249" t="str">
        <f>Dados!A6</f>
        <v>FONTE: CDHU 201 - SINAPI MARÇO/2026 - AMBOS DESONERADOS</v>
      </c>
      <c r="B6" s="250"/>
      <c r="C6" s="250"/>
      <c r="D6" s="250"/>
      <c r="E6" s="250"/>
      <c r="F6" s="250"/>
      <c r="G6" s="251"/>
      <c r="H6" s="256"/>
    </row>
    <row r="7" spans="1:8" ht="15.75" thickBot="1" x14ac:dyDescent="0.3">
      <c r="A7" s="252" t="str">
        <f>Dados!A7</f>
        <v xml:space="preserve">PRAZO DE EXECUÇÃO: 06 MESES </v>
      </c>
      <c r="B7" s="253"/>
      <c r="C7" s="253"/>
      <c r="D7" s="253"/>
      <c r="E7" s="253"/>
      <c r="F7" s="253"/>
      <c r="G7" s="254"/>
      <c r="H7" s="257"/>
    </row>
    <row r="8" spans="1:8" ht="15.75" thickBot="1" x14ac:dyDescent="0.3">
      <c r="A8" s="23"/>
      <c r="G8" s="10"/>
      <c r="H8" s="11"/>
    </row>
    <row r="9" spans="1:8" s="9" customFormat="1" ht="25.5" x14ac:dyDescent="0.25">
      <c r="A9" s="5" t="s">
        <v>9</v>
      </c>
      <c r="B9" s="6" t="s">
        <v>10</v>
      </c>
      <c r="C9" s="6" t="s">
        <v>11</v>
      </c>
      <c r="D9" s="6" t="s">
        <v>12</v>
      </c>
      <c r="E9" s="7" t="s">
        <v>13</v>
      </c>
      <c r="F9" s="7" t="s">
        <v>14</v>
      </c>
      <c r="G9" s="12" t="s">
        <v>15</v>
      </c>
      <c r="H9" s="13" t="s">
        <v>16</v>
      </c>
    </row>
    <row r="10" spans="1:8" s="9" customFormat="1" x14ac:dyDescent="0.25">
      <c r="A10" s="229" t="s">
        <v>365</v>
      </c>
      <c r="B10" s="230"/>
      <c r="C10" s="230"/>
      <c r="D10" s="230"/>
      <c r="E10" s="230"/>
      <c r="F10" s="230"/>
      <c r="G10" s="230"/>
      <c r="H10" s="231"/>
    </row>
    <row r="11" spans="1:8" s="46" customFormat="1" x14ac:dyDescent="0.25">
      <c r="A11" s="39">
        <v>1</v>
      </c>
      <c r="B11" s="40"/>
      <c r="C11" s="41"/>
      <c r="D11" s="42" t="s">
        <v>24</v>
      </c>
      <c r="E11" s="43"/>
      <c r="F11" s="43"/>
      <c r="G11" s="44"/>
      <c r="H11" s="45"/>
    </row>
    <row r="12" spans="1:8" s="32" customFormat="1" ht="12.75" x14ac:dyDescent="0.2">
      <c r="A12" s="26" t="s">
        <v>22</v>
      </c>
      <c r="B12" s="26" t="s">
        <v>31</v>
      </c>
      <c r="C12" s="27" t="s">
        <v>350</v>
      </c>
      <c r="D12" s="28" t="s">
        <v>355</v>
      </c>
      <c r="E12" s="29" t="s">
        <v>77</v>
      </c>
      <c r="F12" s="29">
        <v>4</v>
      </c>
      <c r="G12" s="30">
        <v>9.9499999999999993</v>
      </c>
      <c r="H12" s="30">
        <f>ROUND(F12*G12,2)</f>
        <v>39.799999999999997</v>
      </c>
    </row>
    <row r="13" spans="1:8" s="32" customFormat="1" ht="12.75" x14ac:dyDescent="0.2">
      <c r="A13" s="26" t="s">
        <v>223</v>
      </c>
      <c r="B13" s="26" t="s">
        <v>31</v>
      </c>
      <c r="C13" s="27" t="s">
        <v>351</v>
      </c>
      <c r="D13" s="28" t="s">
        <v>356</v>
      </c>
      <c r="E13" s="29" t="s">
        <v>77</v>
      </c>
      <c r="F13" s="29">
        <v>4</v>
      </c>
      <c r="G13" s="30">
        <v>12.11</v>
      </c>
      <c r="H13" s="30">
        <f t="shared" ref="H13:H14" si="0">ROUND(F13*G13,2)</f>
        <v>48.44</v>
      </c>
    </row>
    <row r="14" spans="1:8" s="32" customFormat="1" ht="12.75" x14ac:dyDescent="0.2">
      <c r="A14" s="26" t="s">
        <v>224</v>
      </c>
      <c r="B14" s="26" t="s">
        <v>31</v>
      </c>
      <c r="C14" s="27" t="s">
        <v>352</v>
      </c>
      <c r="D14" s="28" t="s">
        <v>357</v>
      </c>
      <c r="E14" s="29" t="s">
        <v>78</v>
      </c>
      <c r="F14" s="29">
        <v>0.8</v>
      </c>
      <c r="G14" s="30">
        <v>71</v>
      </c>
      <c r="H14" s="30">
        <f t="shared" si="0"/>
        <v>56.8</v>
      </c>
    </row>
    <row r="15" spans="1:8" s="32" customFormat="1" ht="12.75" x14ac:dyDescent="0.2">
      <c r="A15" s="26" t="s">
        <v>225</v>
      </c>
      <c r="B15" s="26" t="s">
        <v>31</v>
      </c>
      <c r="C15" s="27" t="s">
        <v>353</v>
      </c>
      <c r="D15" s="33" t="s">
        <v>358</v>
      </c>
      <c r="E15" s="29" t="s">
        <v>76</v>
      </c>
      <c r="F15" s="29">
        <v>1</v>
      </c>
      <c r="G15" s="30">
        <v>98.37</v>
      </c>
      <c r="H15" s="30">
        <f>ROUND(F15*G15,2)</f>
        <v>98.37</v>
      </c>
    </row>
    <row r="16" spans="1:8" s="32" customFormat="1" ht="12.75" x14ac:dyDescent="0.2">
      <c r="A16" s="26" t="s">
        <v>362</v>
      </c>
      <c r="B16" s="26" t="s">
        <v>31</v>
      </c>
      <c r="C16" s="27" t="s">
        <v>354</v>
      </c>
      <c r="D16" s="33" t="s">
        <v>359</v>
      </c>
      <c r="E16" s="29" t="s">
        <v>76</v>
      </c>
      <c r="F16" s="29">
        <v>1</v>
      </c>
      <c r="G16" s="30">
        <v>61.58</v>
      </c>
      <c r="H16" s="30">
        <f>ROUND(F16*G16,2)</f>
        <v>61.58</v>
      </c>
    </row>
    <row r="17" spans="1:8" s="32" customFormat="1" ht="12.75" x14ac:dyDescent="0.2">
      <c r="A17" s="26" t="s">
        <v>363</v>
      </c>
      <c r="B17" s="26" t="s">
        <v>31</v>
      </c>
      <c r="C17" s="27" t="s">
        <v>360</v>
      </c>
      <c r="D17" s="33" t="s">
        <v>361</v>
      </c>
      <c r="E17" s="29" t="s">
        <v>75</v>
      </c>
      <c r="F17" s="29">
        <v>2</v>
      </c>
      <c r="G17" s="30">
        <v>38.32</v>
      </c>
      <c r="H17" s="30">
        <f>ROUND(F17*G17,2)</f>
        <v>76.64</v>
      </c>
    </row>
    <row r="18" spans="1:8" s="47" customFormat="1" ht="12.75" x14ac:dyDescent="0.2">
      <c r="A18" s="54"/>
      <c r="B18" s="55"/>
      <c r="C18" s="55"/>
      <c r="D18" s="55"/>
      <c r="E18" s="55"/>
      <c r="F18" s="55"/>
      <c r="G18" s="51" t="s">
        <v>25</v>
      </c>
      <c r="H18" s="48">
        <f>SUM(H12:H16)</f>
        <v>304.99</v>
      </c>
    </row>
    <row r="19" spans="1:8" s="32" customFormat="1" ht="15" customHeight="1" thickBot="1" x14ac:dyDescent="0.25">
      <c r="A19" s="232" t="s">
        <v>26</v>
      </c>
      <c r="B19" s="233"/>
      <c r="C19" s="233"/>
      <c r="D19" s="233"/>
      <c r="E19" s="233"/>
      <c r="F19" s="233"/>
      <c r="G19" s="233"/>
      <c r="H19" s="53">
        <f>H18</f>
        <v>304.99</v>
      </c>
    </row>
    <row r="20" spans="1:8" x14ac:dyDescent="0.25">
      <c r="A20" s="3"/>
      <c r="B20" s="4"/>
      <c r="C20" s="4"/>
      <c r="D20" s="122"/>
      <c r="E20" s="22"/>
      <c r="F20" s="20"/>
      <c r="G20" s="14"/>
      <c r="H20" s="15"/>
    </row>
    <row r="21" spans="1:8" x14ac:dyDescent="0.25">
      <c r="A21" s="3"/>
      <c r="B21" s="4"/>
      <c r="C21" s="4"/>
      <c r="D21" s="122"/>
      <c r="E21" s="22"/>
      <c r="F21" s="20"/>
      <c r="G21" s="14"/>
      <c r="H21" s="15"/>
    </row>
    <row r="22" spans="1:8" x14ac:dyDescent="0.25">
      <c r="A22" s="206"/>
      <c r="B22" s="207"/>
      <c r="C22" s="207"/>
      <c r="D22" s="207"/>
      <c r="G22" s="10"/>
      <c r="H22" s="11"/>
    </row>
    <row r="23" spans="1:8" x14ac:dyDescent="0.25">
      <c r="A23" s="34" t="s">
        <v>5</v>
      </c>
      <c r="B23" s="223" t="str">
        <f>Dados!B14</f>
        <v>JEFERSON JOSÉ VIEIRA RUIVO</v>
      </c>
      <c r="C23" s="223"/>
      <c r="D23" s="223"/>
      <c r="G23" s="10"/>
      <c r="H23" s="11"/>
    </row>
    <row r="24" spans="1:8" x14ac:dyDescent="0.25">
      <c r="A24" s="34" t="s">
        <v>6</v>
      </c>
      <c r="B24" s="223" t="str">
        <f>Dados!B15</f>
        <v xml:space="preserve">ENGENHEIRO CIVIL </v>
      </c>
      <c r="C24" s="223"/>
      <c r="D24" s="223"/>
      <c r="G24" s="10"/>
      <c r="H24" s="11"/>
    </row>
    <row r="25" spans="1:8" ht="15.75" thickBot="1" x14ac:dyDescent="0.3">
      <c r="A25" s="35" t="s">
        <v>7</v>
      </c>
      <c r="B25" s="224">
        <f>Dados!B16</f>
        <v>5070232434</v>
      </c>
      <c r="C25" s="224"/>
      <c r="D25" s="224"/>
      <c r="E25" s="21"/>
      <c r="F25" s="21"/>
      <c r="G25" s="16"/>
      <c r="H25" s="17"/>
    </row>
    <row r="29" spans="1:8" ht="15" customHeight="1" x14ac:dyDescent="0.25"/>
  </sheetData>
  <mergeCells count="14">
    <mergeCell ref="A1:H1"/>
    <mergeCell ref="A2:G2"/>
    <mergeCell ref="H2:H7"/>
    <mergeCell ref="A3:G3"/>
    <mergeCell ref="A4:G4"/>
    <mergeCell ref="A5:G5"/>
    <mergeCell ref="A6:G6"/>
    <mergeCell ref="A7:G7"/>
    <mergeCell ref="A22:D22"/>
    <mergeCell ref="B23:D23"/>
    <mergeCell ref="B24:D24"/>
    <mergeCell ref="B25:D25"/>
    <mergeCell ref="A10:H10"/>
    <mergeCell ref="A19:G19"/>
  </mergeCells>
  <conditionalFormatting sqref="A20:A21 E20:F21">
    <cfRule type="expression" dxfId="11" priority="3" stopIfTrue="1">
      <formula>$J$13="sim"</formula>
    </cfRule>
  </conditionalFormatting>
  <conditionalFormatting sqref="G20:H21">
    <cfRule type="expression" dxfId="10" priority="1" stopIfTrue="1">
      <formula>$J$13="sim"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7"/>
  <sheetViews>
    <sheetView tabSelected="1" topLeftCell="C1" zoomScaleNormal="100" workbookViewId="0">
      <selection activeCell="N138" sqref="N138"/>
    </sheetView>
  </sheetViews>
  <sheetFormatPr defaultColWidth="8.7109375" defaultRowHeight="15" x14ac:dyDescent="0.25"/>
  <cols>
    <col min="1" max="1" width="9.140625" style="8" bestFit="1" customWidth="1"/>
    <col min="2" max="2" width="6.140625" style="8" bestFit="1" customWidth="1"/>
    <col min="3" max="3" width="12" style="8" bestFit="1" customWidth="1"/>
    <col min="4" max="4" width="95.7109375" style="123" customWidth="1"/>
    <col min="5" max="5" width="8.42578125" style="19" bestFit="1" customWidth="1"/>
    <col min="6" max="6" width="11.5703125" style="19" bestFit="1" customWidth="1"/>
    <col min="7" max="15" width="15" style="18" customWidth="1"/>
    <col min="16" max="16384" width="8.7109375" style="1"/>
  </cols>
  <sheetData>
    <row r="1" spans="1:15" ht="18.75" thickBot="1" x14ac:dyDescent="0.3">
      <c r="A1" s="158" t="s">
        <v>369</v>
      </c>
      <c r="B1" s="159"/>
      <c r="C1" s="159"/>
      <c r="D1" s="159"/>
      <c r="E1" s="159"/>
      <c r="F1" s="159"/>
      <c r="G1" s="159"/>
      <c r="H1" s="159"/>
      <c r="I1" s="159"/>
      <c r="J1" s="261" t="s">
        <v>370</v>
      </c>
      <c r="K1" s="262"/>
      <c r="L1" s="262"/>
      <c r="M1" s="262"/>
      <c r="N1" s="262"/>
      <c r="O1" s="263"/>
    </row>
    <row r="2" spans="1:15" ht="15.75" thickBot="1" x14ac:dyDescent="0.3">
      <c r="A2" s="161" t="s">
        <v>4</v>
      </c>
      <c r="B2" s="162"/>
      <c r="C2" s="162"/>
      <c r="D2" s="162"/>
      <c r="E2" s="162"/>
      <c r="F2" s="162"/>
      <c r="G2" s="172"/>
      <c r="H2" s="234"/>
      <c r="I2" s="258"/>
      <c r="J2" s="264"/>
      <c r="K2" s="265"/>
      <c r="L2" s="265"/>
      <c r="M2" s="265"/>
      <c r="N2" s="265"/>
      <c r="O2" s="266"/>
    </row>
    <row r="3" spans="1:15" x14ac:dyDescent="0.25">
      <c r="A3" s="240" t="str">
        <f>Dados!A3</f>
        <v xml:space="preserve">OBJETO:REFORMA DA FACHADA DO HOSPITAL </v>
      </c>
      <c r="B3" s="241"/>
      <c r="C3" s="241"/>
      <c r="D3" s="241"/>
      <c r="E3" s="241"/>
      <c r="F3" s="241"/>
      <c r="G3" s="242"/>
      <c r="H3" s="236"/>
      <c r="I3" s="259"/>
      <c r="J3" s="264"/>
      <c r="K3" s="265"/>
      <c r="L3" s="265"/>
      <c r="M3" s="265"/>
      <c r="N3" s="265"/>
      <c r="O3" s="266"/>
    </row>
    <row r="4" spans="1:15" x14ac:dyDescent="0.25">
      <c r="A4" s="243" t="str">
        <f>Dados!A4</f>
        <v>ENDEREÇO: AVENIDA GABRIEL MONTEIRO DA SILVA Nº 888 - CENTRO - IBIÚNA - SP</v>
      </c>
      <c r="B4" s="244"/>
      <c r="C4" s="244"/>
      <c r="D4" s="244"/>
      <c r="E4" s="244"/>
      <c r="F4" s="244"/>
      <c r="G4" s="245"/>
      <c r="H4" s="236"/>
      <c r="I4" s="259"/>
      <c r="J4" s="264"/>
      <c r="K4" s="265"/>
      <c r="L4" s="265"/>
      <c r="M4" s="265"/>
      <c r="N4" s="265"/>
      <c r="O4" s="266"/>
    </row>
    <row r="5" spans="1:15" x14ac:dyDescent="0.25">
      <c r="A5" s="246" t="str">
        <f>Dados!A5</f>
        <v>DATA DA ELABORAÇÃO: 14/04/2026</v>
      </c>
      <c r="B5" s="247"/>
      <c r="C5" s="247"/>
      <c r="D5" s="247"/>
      <c r="E5" s="247"/>
      <c r="F5" s="247"/>
      <c r="G5" s="248"/>
      <c r="H5" s="236"/>
      <c r="I5" s="259"/>
      <c r="J5" s="264"/>
      <c r="K5" s="265"/>
      <c r="L5" s="265"/>
      <c r="M5" s="265"/>
      <c r="N5" s="265"/>
      <c r="O5" s="266"/>
    </row>
    <row r="6" spans="1:15" x14ac:dyDescent="0.25">
      <c r="A6" s="249" t="str">
        <f>Dados!A6</f>
        <v>FONTE: CDHU 201 - SINAPI MARÇO/2026 - AMBOS DESONERADOS</v>
      </c>
      <c r="B6" s="250"/>
      <c r="C6" s="250"/>
      <c r="D6" s="250"/>
      <c r="E6" s="250"/>
      <c r="F6" s="250"/>
      <c r="G6" s="251"/>
      <c r="H6" s="236"/>
      <c r="I6" s="259"/>
      <c r="J6" s="264"/>
      <c r="K6" s="265"/>
      <c r="L6" s="265"/>
      <c r="M6" s="265"/>
      <c r="N6" s="265"/>
      <c r="O6" s="266"/>
    </row>
    <row r="7" spans="1:15" ht="15.75" thickBot="1" x14ac:dyDescent="0.3">
      <c r="A7" s="252" t="str">
        <f>Dados!A7</f>
        <v xml:space="preserve">PRAZO DE EXECUÇÃO: 06 MESES </v>
      </c>
      <c r="B7" s="253"/>
      <c r="C7" s="253"/>
      <c r="D7" s="253"/>
      <c r="E7" s="253"/>
      <c r="F7" s="253"/>
      <c r="G7" s="254"/>
      <c r="H7" s="238"/>
      <c r="I7" s="260"/>
      <c r="J7" s="264"/>
      <c r="K7" s="265"/>
      <c r="L7" s="265"/>
      <c r="M7" s="265"/>
      <c r="N7" s="265"/>
      <c r="O7" s="266"/>
    </row>
    <row r="8" spans="1:15" ht="15.75" thickBot="1" x14ac:dyDescent="0.3">
      <c r="A8" s="23"/>
      <c r="G8" s="10"/>
      <c r="H8" s="10"/>
      <c r="I8" s="10"/>
      <c r="J8" s="267"/>
      <c r="K8" s="268"/>
      <c r="L8" s="268"/>
      <c r="M8" s="268"/>
      <c r="N8" s="268"/>
      <c r="O8" s="269"/>
    </row>
    <row r="9" spans="1:15" s="9" customFormat="1" ht="26.25" thickBot="1" x14ac:dyDescent="0.3">
      <c r="A9" s="274" t="s">
        <v>9</v>
      </c>
      <c r="B9" s="275" t="s">
        <v>10</v>
      </c>
      <c r="C9" s="275" t="s">
        <v>11</v>
      </c>
      <c r="D9" s="276" t="s">
        <v>12</v>
      </c>
      <c r="E9" s="277" t="s">
        <v>13</v>
      </c>
      <c r="F9" s="277" t="s">
        <v>14</v>
      </c>
      <c r="G9" s="278" t="s">
        <v>15</v>
      </c>
      <c r="H9" s="278" t="s">
        <v>16</v>
      </c>
      <c r="I9" s="279" t="s">
        <v>17</v>
      </c>
      <c r="J9" s="270" t="s">
        <v>371</v>
      </c>
      <c r="K9" s="270" t="s">
        <v>372</v>
      </c>
      <c r="L9" s="270" t="s">
        <v>373</v>
      </c>
      <c r="M9" s="270" t="s">
        <v>374</v>
      </c>
      <c r="N9" s="270" t="s">
        <v>375</v>
      </c>
      <c r="O9" s="270" t="s">
        <v>376</v>
      </c>
    </row>
    <row r="10" spans="1:15" s="9" customFormat="1" ht="15.75" thickBot="1" x14ac:dyDescent="0.3">
      <c r="A10" s="286" t="s">
        <v>23</v>
      </c>
      <c r="B10" s="287"/>
      <c r="C10" s="287"/>
      <c r="D10" s="287"/>
      <c r="E10" s="287"/>
      <c r="F10" s="287"/>
      <c r="G10" s="287"/>
      <c r="H10" s="287"/>
      <c r="I10" s="287"/>
      <c r="J10" s="272"/>
      <c r="K10" s="272"/>
      <c r="L10" s="272"/>
      <c r="M10" s="272"/>
      <c r="N10" s="272"/>
      <c r="O10" s="273"/>
    </row>
    <row r="11" spans="1:15" s="46" customFormat="1" x14ac:dyDescent="0.25">
      <c r="A11" s="280">
        <v>1</v>
      </c>
      <c r="B11" s="281"/>
      <c r="C11" s="282"/>
      <c r="D11" s="283" t="s">
        <v>221</v>
      </c>
      <c r="E11" s="284"/>
      <c r="F11" s="284"/>
      <c r="G11" s="285"/>
      <c r="H11" s="285"/>
      <c r="I11" s="271"/>
      <c r="J11" s="271"/>
      <c r="K11" s="271"/>
      <c r="L11" s="271"/>
      <c r="M11" s="271"/>
      <c r="N11" s="271"/>
      <c r="O11" s="271"/>
    </row>
    <row r="12" spans="1:15" s="32" customFormat="1" ht="25.5" customHeight="1" x14ac:dyDescent="0.2">
      <c r="A12" s="25" t="s">
        <v>22</v>
      </c>
      <c r="B12" s="26" t="s">
        <v>31</v>
      </c>
      <c r="C12" s="27" t="s">
        <v>88</v>
      </c>
      <c r="D12" s="28" t="s">
        <v>89</v>
      </c>
      <c r="E12" s="29" t="s">
        <v>222</v>
      </c>
      <c r="F12" s="29">
        <v>6</v>
      </c>
      <c r="G12" s="30">
        <v>882.62</v>
      </c>
      <c r="H12" s="30">
        <f>ROUND(F12*G12,2)</f>
        <v>5295.72</v>
      </c>
      <c r="I12" s="31">
        <f>ROUND(F12*G12*(1+$I$142/100),2)</f>
        <v>6695.38</v>
      </c>
      <c r="J12" s="31">
        <v>6695.38</v>
      </c>
      <c r="K12" s="31" t="s">
        <v>377</v>
      </c>
      <c r="L12" s="31" t="s">
        <v>377</v>
      </c>
      <c r="M12" s="31" t="s">
        <v>377</v>
      </c>
      <c r="N12" s="31" t="s">
        <v>377</v>
      </c>
      <c r="O12" s="31" t="s">
        <v>377</v>
      </c>
    </row>
    <row r="13" spans="1:15" s="32" customFormat="1" ht="12.75" x14ac:dyDescent="0.2">
      <c r="A13" s="25" t="s">
        <v>223</v>
      </c>
      <c r="B13" s="26" t="s">
        <v>31</v>
      </c>
      <c r="C13" s="27" t="s">
        <v>81</v>
      </c>
      <c r="D13" s="28" t="s">
        <v>82</v>
      </c>
      <c r="E13" s="29" t="s">
        <v>222</v>
      </c>
      <c r="F13" s="29">
        <v>70</v>
      </c>
      <c r="G13" s="30">
        <v>105.44</v>
      </c>
      <c r="H13" s="30">
        <f t="shared" ref="H13:H90" si="0">ROUND(F13*G13,2)</f>
        <v>7380.8</v>
      </c>
      <c r="I13" s="31">
        <f>ROUND(F13*G13*(1+$I$142/100),2)</f>
        <v>9331.5499999999993</v>
      </c>
      <c r="J13" s="31">
        <v>9331.5499999999993</v>
      </c>
      <c r="K13" s="31" t="s">
        <v>377</v>
      </c>
      <c r="L13" s="31" t="s">
        <v>377</v>
      </c>
      <c r="M13" s="31" t="s">
        <v>377</v>
      </c>
      <c r="N13" s="31" t="s">
        <v>377</v>
      </c>
      <c r="O13" s="31" t="s">
        <v>377</v>
      </c>
    </row>
    <row r="14" spans="1:15" s="32" customFormat="1" ht="12.75" x14ac:dyDescent="0.2">
      <c r="A14" s="25" t="s">
        <v>224</v>
      </c>
      <c r="B14" s="26" t="s">
        <v>31</v>
      </c>
      <c r="C14" s="27" t="s">
        <v>85</v>
      </c>
      <c r="D14" s="28" t="s">
        <v>86</v>
      </c>
      <c r="E14" s="29" t="s">
        <v>87</v>
      </c>
      <c r="F14" s="29">
        <v>20</v>
      </c>
      <c r="G14" s="30">
        <v>27.98</v>
      </c>
      <c r="H14" s="30">
        <f t="shared" si="0"/>
        <v>559.6</v>
      </c>
      <c r="I14" s="31">
        <f>ROUND(F14*G14*(1+$I$142/100),2)</f>
        <v>707.5</v>
      </c>
      <c r="J14" s="31">
        <v>707.5</v>
      </c>
      <c r="K14" s="31" t="s">
        <v>377</v>
      </c>
      <c r="L14" s="31" t="s">
        <v>377</v>
      </c>
      <c r="M14" s="31" t="s">
        <v>377</v>
      </c>
      <c r="N14" s="31" t="s">
        <v>377</v>
      </c>
      <c r="O14" s="31" t="s">
        <v>377</v>
      </c>
    </row>
    <row r="15" spans="1:15" s="32" customFormat="1" ht="12.75" x14ac:dyDescent="0.2">
      <c r="A15" s="25" t="s">
        <v>225</v>
      </c>
      <c r="B15" s="26" t="s">
        <v>31</v>
      </c>
      <c r="C15" s="27" t="s">
        <v>83</v>
      </c>
      <c r="D15" s="28" t="s">
        <v>84</v>
      </c>
      <c r="E15" s="29" t="s">
        <v>75</v>
      </c>
      <c r="F15" s="29">
        <v>20</v>
      </c>
      <c r="G15" s="30">
        <v>12.9</v>
      </c>
      <c r="H15" s="30">
        <f t="shared" si="0"/>
        <v>258</v>
      </c>
      <c r="I15" s="31">
        <f>ROUND(F15*G15*(1+$I$142/100),2)</f>
        <v>326.19</v>
      </c>
      <c r="J15" s="31">
        <v>326.19</v>
      </c>
      <c r="K15" s="31" t="s">
        <v>377</v>
      </c>
      <c r="L15" s="31" t="s">
        <v>377</v>
      </c>
      <c r="M15" s="31" t="s">
        <v>377</v>
      </c>
      <c r="N15" s="31" t="s">
        <v>377</v>
      </c>
      <c r="O15" s="31" t="s">
        <v>377</v>
      </c>
    </row>
    <row r="16" spans="1:15" s="32" customFormat="1" ht="12.75" x14ac:dyDescent="0.2">
      <c r="A16" s="126"/>
      <c r="B16" s="127"/>
      <c r="C16" s="128"/>
      <c r="D16" s="129"/>
      <c r="E16" s="130"/>
      <c r="F16" s="130"/>
      <c r="G16" s="131" t="s">
        <v>25</v>
      </c>
      <c r="H16" s="131">
        <f>SUM(H12:H15)</f>
        <v>13494.12</v>
      </c>
      <c r="I16" s="132">
        <f>SUM(I12:I15)</f>
        <v>17060.62</v>
      </c>
      <c r="J16" s="132">
        <v>17060.62</v>
      </c>
      <c r="K16" s="132"/>
      <c r="L16" s="132"/>
      <c r="M16" s="132"/>
      <c r="N16" s="132"/>
      <c r="O16" s="132"/>
    </row>
    <row r="17" spans="1:15" s="32" customFormat="1" ht="12.75" x14ac:dyDescent="0.2">
      <c r="A17" s="133">
        <v>2</v>
      </c>
      <c r="B17" s="134"/>
      <c r="C17" s="135"/>
      <c r="D17" s="136" t="s">
        <v>321</v>
      </c>
      <c r="E17" s="137"/>
      <c r="F17" s="137"/>
      <c r="G17" s="138"/>
      <c r="H17" s="138"/>
      <c r="I17" s="139"/>
      <c r="J17" s="139"/>
      <c r="K17" s="139"/>
      <c r="L17" s="139"/>
      <c r="M17" s="139"/>
      <c r="N17" s="139"/>
      <c r="O17" s="139"/>
    </row>
    <row r="18" spans="1:15" s="32" customFormat="1" ht="12.75" x14ac:dyDescent="0.2">
      <c r="A18" s="25" t="s">
        <v>226</v>
      </c>
      <c r="B18" s="26" t="s">
        <v>31</v>
      </c>
      <c r="C18" s="27" t="s">
        <v>90</v>
      </c>
      <c r="D18" s="28" t="s">
        <v>91</v>
      </c>
      <c r="E18" s="29" t="s">
        <v>227</v>
      </c>
      <c r="F18" s="29">
        <v>20</v>
      </c>
      <c r="G18" s="30">
        <v>233.09</v>
      </c>
      <c r="H18" s="30">
        <f t="shared" si="0"/>
        <v>4661.8</v>
      </c>
      <c r="I18" s="31">
        <f t="shared" ref="I18:O29" si="1">ROUND(F18*G18*(1+$I$142/100),2)</f>
        <v>5893.91</v>
      </c>
      <c r="J18" s="31">
        <v>5893.91</v>
      </c>
      <c r="K18" s="31" t="s">
        <v>377</v>
      </c>
      <c r="L18" s="31" t="s">
        <v>377</v>
      </c>
      <c r="M18" s="31" t="s">
        <v>377</v>
      </c>
      <c r="N18" s="31" t="s">
        <v>377</v>
      </c>
      <c r="O18" s="31" t="s">
        <v>377</v>
      </c>
    </row>
    <row r="19" spans="1:15" s="32" customFormat="1" ht="12.75" x14ac:dyDescent="0.2">
      <c r="A19" s="25" t="s">
        <v>229</v>
      </c>
      <c r="B19" s="26" t="s">
        <v>31</v>
      </c>
      <c r="C19" s="27" t="s">
        <v>92</v>
      </c>
      <c r="D19" s="28" t="s">
        <v>93</v>
      </c>
      <c r="E19" s="29" t="s">
        <v>227</v>
      </c>
      <c r="F19" s="29">
        <v>20</v>
      </c>
      <c r="G19" s="30">
        <v>423.8</v>
      </c>
      <c r="H19" s="30">
        <f t="shared" si="0"/>
        <v>8476</v>
      </c>
      <c r="I19" s="31">
        <f t="shared" si="1"/>
        <v>10716.21</v>
      </c>
      <c r="J19" s="31">
        <v>10716.21</v>
      </c>
      <c r="K19" s="31" t="s">
        <v>377</v>
      </c>
      <c r="L19" s="31" t="s">
        <v>377</v>
      </c>
      <c r="M19" s="31" t="s">
        <v>377</v>
      </c>
      <c r="N19" s="31" t="s">
        <v>377</v>
      </c>
      <c r="O19" s="31" t="s">
        <v>377</v>
      </c>
    </row>
    <row r="20" spans="1:15" s="32" customFormat="1" ht="12.75" x14ac:dyDescent="0.2">
      <c r="A20" s="25" t="s">
        <v>230</v>
      </c>
      <c r="B20" s="26" t="s">
        <v>31</v>
      </c>
      <c r="C20" s="27" t="s">
        <v>98</v>
      </c>
      <c r="D20" s="28" t="s">
        <v>99</v>
      </c>
      <c r="E20" s="29" t="s">
        <v>222</v>
      </c>
      <c r="F20" s="29">
        <v>60</v>
      </c>
      <c r="G20" s="30">
        <v>6.36</v>
      </c>
      <c r="H20" s="30">
        <f t="shared" si="0"/>
        <v>381.6</v>
      </c>
      <c r="I20" s="31">
        <f t="shared" si="1"/>
        <v>482.46</v>
      </c>
      <c r="J20" s="31">
        <v>482.46</v>
      </c>
      <c r="K20" s="31" t="s">
        <v>377</v>
      </c>
      <c r="L20" s="31" t="s">
        <v>377</v>
      </c>
      <c r="M20" s="31" t="s">
        <v>377</v>
      </c>
      <c r="N20" s="31" t="s">
        <v>377</v>
      </c>
      <c r="O20" s="31" t="s">
        <v>377</v>
      </c>
    </row>
    <row r="21" spans="1:15" s="32" customFormat="1" ht="12.75" x14ac:dyDescent="0.2">
      <c r="A21" s="25" t="s">
        <v>231</v>
      </c>
      <c r="B21" s="26" t="s">
        <v>31</v>
      </c>
      <c r="C21" s="27" t="s">
        <v>94</v>
      </c>
      <c r="D21" s="28" t="s">
        <v>95</v>
      </c>
      <c r="E21" s="29" t="s">
        <v>222</v>
      </c>
      <c r="F21" s="29">
        <v>280</v>
      </c>
      <c r="G21" s="30">
        <v>10.6</v>
      </c>
      <c r="H21" s="30">
        <f t="shared" si="0"/>
        <v>2968</v>
      </c>
      <c r="I21" s="31">
        <f t="shared" si="1"/>
        <v>3752.44</v>
      </c>
      <c r="J21" s="31">
        <v>3752.44</v>
      </c>
      <c r="K21" s="31" t="s">
        <v>377</v>
      </c>
      <c r="L21" s="31" t="s">
        <v>377</v>
      </c>
      <c r="M21" s="31" t="s">
        <v>377</v>
      </c>
      <c r="N21" s="31" t="s">
        <v>377</v>
      </c>
      <c r="O21" s="31" t="s">
        <v>377</v>
      </c>
    </row>
    <row r="22" spans="1:15" s="32" customFormat="1" ht="12.75" x14ac:dyDescent="0.2">
      <c r="A22" s="25" t="s">
        <v>232</v>
      </c>
      <c r="B22" s="26" t="s">
        <v>31</v>
      </c>
      <c r="C22" s="27" t="s">
        <v>100</v>
      </c>
      <c r="D22" s="28" t="s">
        <v>101</v>
      </c>
      <c r="E22" s="29" t="s">
        <v>222</v>
      </c>
      <c r="F22" s="29">
        <v>100</v>
      </c>
      <c r="G22" s="30">
        <v>8.48</v>
      </c>
      <c r="H22" s="30">
        <f t="shared" si="0"/>
        <v>848</v>
      </c>
      <c r="I22" s="31">
        <f t="shared" si="1"/>
        <v>1072.1300000000001</v>
      </c>
      <c r="J22" s="31">
        <v>1072.1300000000001</v>
      </c>
      <c r="K22" s="31" t="s">
        <v>377</v>
      </c>
      <c r="L22" s="31" t="s">
        <v>377</v>
      </c>
      <c r="M22" s="31" t="s">
        <v>377</v>
      </c>
      <c r="N22" s="31" t="s">
        <v>377</v>
      </c>
      <c r="O22" s="31" t="s">
        <v>377</v>
      </c>
    </row>
    <row r="23" spans="1:15" s="32" customFormat="1" ht="12.75" x14ac:dyDescent="0.2">
      <c r="A23" s="25" t="s">
        <v>233</v>
      </c>
      <c r="B23" s="26" t="s">
        <v>31</v>
      </c>
      <c r="C23" s="27" t="s">
        <v>205</v>
      </c>
      <c r="D23" s="28" t="s">
        <v>206</v>
      </c>
      <c r="E23" s="29" t="s">
        <v>75</v>
      </c>
      <c r="F23" s="29">
        <v>40</v>
      </c>
      <c r="G23" s="30">
        <v>102.57</v>
      </c>
      <c r="H23" s="30">
        <f t="shared" si="0"/>
        <v>4102.8</v>
      </c>
      <c r="I23" s="31">
        <f t="shared" si="1"/>
        <v>5187.17</v>
      </c>
      <c r="J23" s="31">
        <v>5187.17</v>
      </c>
      <c r="K23" s="31" t="s">
        <v>377</v>
      </c>
      <c r="L23" s="31" t="s">
        <v>377</v>
      </c>
      <c r="M23" s="31" t="s">
        <v>377</v>
      </c>
      <c r="N23" s="31" t="s">
        <v>377</v>
      </c>
      <c r="O23" s="31" t="s">
        <v>377</v>
      </c>
    </row>
    <row r="24" spans="1:15" s="32" customFormat="1" ht="12.75" x14ac:dyDescent="0.2">
      <c r="A24" s="25" t="s">
        <v>236</v>
      </c>
      <c r="B24" s="26" t="s">
        <v>31</v>
      </c>
      <c r="C24" s="27" t="s">
        <v>207</v>
      </c>
      <c r="D24" s="28" t="s">
        <v>208</v>
      </c>
      <c r="E24" s="29" t="s">
        <v>75</v>
      </c>
      <c r="F24" s="29">
        <v>40</v>
      </c>
      <c r="G24" s="30">
        <v>145.9</v>
      </c>
      <c r="H24" s="30">
        <f t="shared" si="0"/>
        <v>5836</v>
      </c>
      <c r="I24" s="31">
        <f t="shared" si="1"/>
        <v>7378.45</v>
      </c>
      <c r="J24" s="31">
        <v>7378.45</v>
      </c>
      <c r="K24" s="31" t="s">
        <v>377</v>
      </c>
      <c r="L24" s="31" t="s">
        <v>377</v>
      </c>
      <c r="M24" s="31" t="s">
        <v>377</v>
      </c>
      <c r="N24" s="31" t="s">
        <v>377</v>
      </c>
      <c r="O24" s="31" t="s">
        <v>377</v>
      </c>
    </row>
    <row r="25" spans="1:15" s="32" customFormat="1" ht="12.75" x14ac:dyDescent="0.2">
      <c r="A25" s="25" t="s">
        <v>322</v>
      </c>
      <c r="B25" s="26" t="s">
        <v>31</v>
      </c>
      <c r="C25" s="27" t="s">
        <v>85</v>
      </c>
      <c r="D25" s="28" t="s">
        <v>86</v>
      </c>
      <c r="E25" s="29" t="s">
        <v>87</v>
      </c>
      <c r="F25" s="29">
        <v>40</v>
      </c>
      <c r="G25" s="30">
        <v>27.98</v>
      </c>
      <c r="H25" s="30">
        <f t="shared" si="0"/>
        <v>1119.2</v>
      </c>
      <c r="I25" s="31">
        <f t="shared" si="1"/>
        <v>1415</v>
      </c>
      <c r="J25" s="31">
        <v>1415</v>
      </c>
      <c r="K25" s="31" t="s">
        <v>377</v>
      </c>
      <c r="L25" s="31" t="s">
        <v>377</v>
      </c>
      <c r="M25" s="31" t="s">
        <v>377</v>
      </c>
      <c r="N25" s="31" t="s">
        <v>377</v>
      </c>
      <c r="O25" s="31" t="s">
        <v>377</v>
      </c>
    </row>
    <row r="26" spans="1:15" s="32" customFormat="1" ht="12.75" x14ac:dyDescent="0.2">
      <c r="A26" s="25" t="s">
        <v>323</v>
      </c>
      <c r="B26" s="26" t="s">
        <v>31</v>
      </c>
      <c r="C26" s="27" t="s">
        <v>83</v>
      </c>
      <c r="D26" s="28" t="s">
        <v>84</v>
      </c>
      <c r="E26" s="29" t="s">
        <v>75</v>
      </c>
      <c r="F26" s="29">
        <v>40</v>
      </c>
      <c r="G26" s="30">
        <v>12.9</v>
      </c>
      <c r="H26" s="30">
        <f t="shared" si="0"/>
        <v>516</v>
      </c>
      <c r="I26" s="31">
        <f t="shared" si="1"/>
        <v>652.38</v>
      </c>
      <c r="J26" s="31">
        <v>652.38</v>
      </c>
      <c r="K26" s="31" t="s">
        <v>377</v>
      </c>
      <c r="L26" s="31" t="s">
        <v>377</v>
      </c>
      <c r="M26" s="31" t="s">
        <v>377</v>
      </c>
      <c r="N26" s="31" t="s">
        <v>377</v>
      </c>
      <c r="O26" s="31" t="s">
        <v>377</v>
      </c>
    </row>
    <row r="27" spans="1:15" s="32" customFormat="1" ht="12.75" x14ac:dyDescent="0.2">
      <c r="A27" s="25" t="s">
        <v>324</v>
      </c>
      <c r="B27" s="26" t="s">
        <v>31</v>
      </c>
      <c r="C27" s="27" t="s">
        <v>186</v>
      </c>
      <c r="D27" s="28" t="s">
        <v>187</v>
      </c>
      <c r="E27" s="29" t="s">
        <v>75</v>
      </c>
      <c r="F27" s="29">
        <v>200</v>
      </c>
      <c r="G27" s="30">
        <v>7.35</v>
      </c>
      <c r="H27" s="30">
        <f t="shared" si="0"/>
        <v>1470</v>
      </c>
      <c r="I27" s="31">
        <f t="shared" si="1"/>
        <v>1858.52</v>
      </c>
      <c r="J27" s="31">
        <v>1858.52</v>
      </c>
      <c r="K27" s="31" t="s">
        <v>377</v>
      </c>
      <c r="L27" s="31" t="s">
        <v>377</v>
      </c>
      <c r="M27" s="31" t="s">
        <v>377</v>
      </c>
      <c r="N27" s="31" t="s">
        <v>377</v>
      </c>
      <c r="O27" s="31" t="s">
        <v>377</v>
      </c>
    </row>
    <row r="28" spans="1:15" s="32" customFormat="1" ht="25.5" x14ac:dyDescent="0.2">
      <c r="A28" s="25" t="s">
        <v>325</v>
      </c>
      <c r="B28" s="26" t="s">
        <v>31</v>
      </c>
      <c r="C28" s="27" t="s">
        <v>115</v>
      </c>
      <c r="D28" s="28" t="s">
        <v>228</v>
      </c>
      <c r="E28" s="29" t="s">
        <v>227</v>
      </c>
      <c r="F28" s="29">
        <v>60</v>
      </c>
      <c r="G28" s="30">
        <v>111.74</v>
      </c>
      <c r="H28" s="30">
        <f t="shared" si="0"/>
        <v>6704.4</v>
      </c>
      <c r="I28" s="31">
        <f t="shared" si="1"/>
        <v>8476.3700000000008</v>
      </c>
      <c r="J28" s="31">
        <v>8476.3700000000008</v>
      </c>
      <c r="K28" s="31" t="s">
        <v>377</v>
      </c>
      <c r="L28" s="31" t="s">
        <v>377</v>
      </c>
      <c r="M28" s="31" t="s">
        <v>377</v>
      </c>
      <c r="N28" s="31" t="s">
        <v>377</v>
      </c>
      <c r="O28" s="31" t="s">
        <v>377</v>
      </c>
    </row>
    <row r="29" spans="1:15" s="32" customFormat="1" ht="12.75" x14ac:dyDescent="0.2">
      <c r="A29" s="25" t="s">
        <v>326</v>
      </c>
      <c r="B29" s="26" t="s">
        <v>31</v>
      </c>
      <c r="C29" s="27" t="s">
        <v>116</v>
      </c>
      <c r="D29" s="28" t="s">
        <v>117</v>
      </c>
      <c r="E29" s="29" t="s">
        <v>227</v>
      </c>
      <c r="F29" s="29">
        <v>40</v>
      </c>
      <c r="G29" s="30">
        <v>135.86000000000001</v>
      </c>
      <c r="H29" s="30">
        <f t="shared" si="0"/>
        <v>5434.4</v>
      </c>
      <c r="I29" s="31">
        <f t="shared" si="1"/>
        <v>6870.71</v>
      </c>
      <c r="J29" s="31">
        <v>6870.71</v>
      </c>
      <c r="K29" s="31" t="s">
        <v>377</v>
      </c>
      <c r="L29" s="31" t="s">
        <v>377</v>
      </c>
      <c r="M29" s="31" t="s">
        <v>377</v>
      </c>
      <c r="N29" s="31" t="s">
        <v>377</v>
      </c>
      <c r="O29" s="31" t="s">
        <v>377</v>
      </c>
    </row>
    <row r="30" spans="1:15" s="32" customFormat="1" ht="12.75" x14ac:dyDescent="0.2">
      <c r="A30" s="126"/>
      <c r="B30" s="127"/>
      <c r="C30" s="128"/>
      <c r="D30" s="129"/>
      <c r="E30" s="130"/>
      <c r="F30" s="130"/>
      <c r="G30" s="131" t="s">
        <v>25</v>
      </c>
      <c r="H30" s="131">
        <f>SUM(H18:H29)</f>
        <v>42518.200000000004</v>
      </c>
      <c r="I30" s="132">
        <f>SUM(I18:I29)</f>
        <v>53755.749999999993</v>
      </c>
      <c r="J30" s="132">
        <v>53755.749999999993</v>
      </c>
      <c r="K30" s="132"/>
      <c r="L30" s="132"/>
      <c r="M30" s="132"/>
      <c r="N30" s="132"/>
      <c r="O30" s="132"/>
    </row>
    <row r="31" spans="1:15" s="32" customFormat="1" ht="12.75" x14ac:dyDescent="0.2">
      <c r="A31" s="133">
        <v>3</v>
      </c>
      <c r="B31" s="134"/>
      <c r="C31" s="135"/>
      <c r="D31" s="136" t="s">
        <v>235</v>
      </c>
      <c r="E31" s="137"/>
      <c r="F31" s="137"/>
      <c r="G31" s="138"/>
      <c r="H31" s="138"/>
      <c r="I31" s="139"/>
      <c r="J31" s="139"/>
      <c r="K31" s="139"/>
      <c r="L31" s="139"/>
      <c r="M31" s="139"/>
      <c r="N31" s="139"/>
      <c r="O31" s="139"/>
    </row>
    <row r="32" spans="1:15" s="32" customFormat="1" ht="12.75" x14ac:dyDescent="0.2">
      <c r="A32" s="25" t="s">
        <v>234</v>
      </c>
      <c r="B32" s="26" t="s">
        <v>31</v>
      </c>
      <c r="C32" s="27" t="s">
        <v>107</v>
      </c>
      <c r="D32" s="28" t="s">
        <v>108</v>
      </c>
      <c r="E32" s="29" t="s">
        <v>222</v>
      </c>
      <c r="F32" s="29">
        <v>30</v>
      </c>
      <c r="G32" s="30">
        <v>32.880000000000003</v>
      </c>
      <c r="H32" s="30">
        <f t="shared" si="0"/>
        <v>986.4</v>
      </c>
      <c r="I32" s="31">
        <f t="shared" ref="I32:O49" si="2">ROUND(F32*G32*(1+$I$142/100),2)</f>
        <v>1247.1099999999999</v>
      </c>
      <c r="J32" s="31">
        <v>1247.1099999999999</v>
      </c>
      <c r="K32" s="31" t="s">
        <v>377</v>
      </c>
      <c r="L32" s="31" t="s">
        <v>377</v>
      </c>
      <c r="M32" s="31" t="s">
        <v>377</v>
      </c>
      <c r="N32" s="31" t="s">
        <v>377</v>
      </c>
      <c r="O32" s="31" t="s">
        <v>377</v>
      </c>
    </row>
    <row r="33" spans="1:15" s="32" customFormat="1" ht="12.75" x14ac:dyDescent="0.2">
      <c r="A33" s="25" t="s">
        <v>237</v>
      </c>
      <c r="B33" s="26" t="s">
        <v>31</v>
      </c>
      <c r="C33" s="27" t="s">
        <v>122</v>
      </c>
      <c r="D33" s="28" t="s">
        <v>123</v>
      </c>
      <c r="E33" s="29" t="s">
        <v>227</v>
      </c>
      <c r="F33" s="29">
        <v>6</v>
      </c>
      <c r="G33" s="30">
        <v>516.96</v>
      </c>
      <c r="H33" s="30">
        <f t="shared" si="0"/>
        <v>3101.76</v>
      </c>
      <c r="I33" s="31">
        <f t="shared" si="2"/>
        <v>3921.56</v>
      </c>
      <c r="J33" s="31">
        <v>3921.56</v>
      </c>
      <c r="K33" s="31" t="s">
        <v>377</v>
      </c>
      <c r="L33" s="31" t="s">
        <v>377</v>
      </c>
      <c r="M33" s="31" t="s">
        <v>377</v>
      </c>
      <c r="N33" s="31" t="s">
        <v>377</v>
      </c>
      <c r="O33" s="31" t="s">
        <v>377</v>
      </c>
    </row>
    <row r="34" spans="1:15" s="32" customFormat="1" ht="12.75" x14ac:dyDescent="0.2">
      <c r="A34" s="25" t="s">
        <v>238</v>
      </c>
      <c r="B34" s="26" t="s">
        <v>31</v>
      </c>
      <c r="C34" s="27" t="s">
        <v>139</v>
      </c>
      <c r="D34" s="28" t="s">
        <v>140</v>
      </c>
      <c r="E34" s="29" t="s">
        <v>222</v>
      </c>
      <c r="F34" s="29">
        <v>280</v>
      </c>
      <c r="G34" s="30">
        <v>41.11</v>
      </c>
      <c r="H34" s="30">
        <f t="shared" si="0"/>
        <v>11510.8</v>
      </c>
      <c r="I34" s="31">
        <f t="shared" si="2"/>
        <v>14553.1</v>
      </c>
      <c r="J34" s="31">
        <v>14553.1</v>
      </c>
      <c r="K34" s="31" t="s">
        <v>377</v>
      </c>
      <c r="L34" s="31" t="s">
        <v>377</v>
      </c>
      <c r="M34" s="31" t="s">
        <v>377</v>
      </c>
      <c r="N34" s="31" t="s">
        <v>377</v>
      </c>
      <c r="O34" s="31" t="s">
        <v>377</v>
      </c>
    </row>
    <row r="35" spans="1:15" s="32" customFormat="1" ht="12.75" x14ac:dyDescent="0.2">
      <c r="A35" s="25" t="s">
        <v>239</v>
      </c>
      <c r="B35" s="26" t="s">
        <v>31</v>
      </c>
      <c r="C35" s="27" t="s">
        <v>118</v>
      </c>
      <c r="D35" s="28" t="s">
        <v>119</v>
      </c>
      <c r="E35" s="29" t="s">
        <v>78</v>
      </c>
      <c r="F35" s="29">
        <v>300</v>
      </c>
      <c r="G35" s="30">
        <v>11.25</v>
      </c>
      <c r="H35" s="30">
        <f t="shared" si="0"/>
        <v>3375</v>
      </c>
      <c r="I35" s="31">
        <f t="shared" si="2"/>
        <v>4267.01</v>
      </c>
      <c r="J35" s="31">
        <v>4267.01</v>
      </c>
      <c r="K35" s="31" t="s">
        <v>377</v>
      </c>
      <c r="L35" s="31" t="s">
        <v>377</v>
      </c>
      <c r="M35" s="31" t="s">
        <v>377</v>
      </c>
      <c r="N35" s="31" t="s">
        <v>377</v>
      </c>
      <c r="O35" s="31" t="s">
        <v>377</v>
      </c>
    </row>
    <row r="36" spans="1:15" s="32" customFormat="1" ht="12.75" x14ac:dyDescent="0.2">
      <c r="A36" s="25" t="s">
        <v>240</v>
      </c>
      <c r="B36" s="26" t="s">
        <v>31</v>
      </c>
      <c r="C36" s="27" t="s">
        <v>128</v>
      </c>
      <c r="D36" s="28" t="s">
        <v>129</v>
      </c>
      <c r="E36" s="29" t="s">
        <v>78</v>
      </c>
      <c r="F36" s="29">
        <v>1000</v>
      </c>
      <c r="G36" s="30">
        <v>29.12</v>
      </c>
      <c r="H36" s="30">
        <f t="shared" si="0"/>
        <v>29120</v>
      </c>
      <c r="I36" s="31">
        <f t="shared" si="2"/>
        <v>36816.42</v>
      </c>
      <c r="J36" s="31">
        <v>36816.42</v>
      </c>
      <c r="K36" s="31" t="s">
        <v>377</v>
      </c>
      <c r="L36" s="31" t="s">
        <v>377</v>
      </c>
      <c r="M36" s="31" t="s">
        <v>377</v>
      </c>
      <c r="N36" s="31" t="s">
        <v>377</v>
      </c>
      <c r="O36" s="31" t="s">
        <v>377</v>
      </c>
    </row>
    <row r="37" spans="1:15" s="32" customFormat="1" ht="12.75" x14ac:dyDescent="0.2">
      <c r="A37" s="25" t="s">
        <v>241</v>
      </c>
      <c r="B37" s="26" t="s">
        <v>31</v>
      </c>
      <c r="C37" s="27" t="s">
        <v>130</v>
      </c>
      <c r="D37" s="28" t="s">
        <v>244</v>
      </c>
      <c r="E37" s="29" t="s">
        <v>222</v>
      </c>
      <c r="F37" s="29">
        <v>100</v>
      </c>
      <c r="G37" s="30">
        <v>216.63</v>
      </c>
      <c r="H37" s="30">
        <f t="shared" si="0"/>
        <v>21663</v>
      </c>
      <c r="I37" s="31">
        <f t="shared" si="2"/>
        <v>27388.53</v>
      </c>
      <c r="J37" s="31">
        <v>27388.53</v>
      </c>
      <c r="K37" s="31" t="s">
        <v>377</v>
      </c>
      <c r="L37" s="31" t="s">
        <v>377</v>
      </c>
      <c r="M37" s="31" t="s">
        <v>377</v>
      </c>
      <c r="N37" s="31" t="s">
        <v>377</v>
      </c>
      <c r="O37" s="31" t="s">
        <v>377</v>
      </c>
    </row>
    <row r="38" spans="1:15" s="32" customFormat="1" ht="12.75" x14ac:dyDescent="0.2">
      <c r="A38" s="25" t="s">
        <v>243</v>
      </c>
      <c r="B38" s="26" t="s">
        <v>31</v>
      </c>
      <c r="C38" s="27" t="s">
        <v>124</v>
      </c>
      <c r="D38" s="28" t="s">
        <v>125</v>
      </c>
      <c r="E38" s="29" t="s">
        <v>222</v>
      </c>
      <c r="F38" s="29">
        <v>30</v>
      </c>
      <c r="G38" s="30">
        <v>83.66</v>
      </c>
      <c r="H38" s="30">
        <f t="shared" si="0"/>
        <v>2509.8000000000002</v>
      </c>
      <c r="I38" s="31">
        <f t="shared" si="2"/>
        <v>3173.14</v>
      </c>
      <c r="J38" s="31">
        <v>3173.14</v>
      </c>
      <c r="K38" s="31" t="s">
        <v>377</v>
      </c>
      <c r="L38" s="31" t="s">
        <v>377</v>
      </c>
      <c r="M38" s="31" t="s">
        <v>377</v>
      </c>
      <c r="N38" s="31" t="s">
        <v>377</v>
      </c>
      <c r="O38" s="31" t="s">
        <v>377</v>
      </c>
    </row>
    <row r="39" spans="1:15" s="32" customFormat="1" ht="12.75" x14ac:dyDescent="0.2">
      <c r="A39" s="25" t="s">
        <v>245</v>
      </c>
      <c r="B39" s="26" t="s">
        <v>31</v>
      </c>
      <c r="C39" s="27" t="s">
        <v>133</v>
      </c>
      <c r="D39" s="28" t="s">
        <v>134</v>
      </c>
      <c r="E39" s="29" t="s">
        <v>222</v>
      </c>
      <c r="F39" s="29">
        <v>60</v>
      </c>
      <c r="G39" s="30">
        <v>7.44</v>
      </c>
      <c r="H39" s="30">
        <f t="shared" si="0"/>
        <v>446.4</v>
      </c>
      <c r="I39" s="31">
        <f t="shared" si="2"/>
        <v>564.38</v>
      </c>
      <c r="J39" s="31">
        <v>564.38</v>
      </c>
      <c r="K39" s="31" t="s">
        <v>377</v>
      </c>
      <c r="L39" s="31" t="s">
        <v>377</v>
      </c>
      <c r="M39" s="31" t="s">
        <v>377</v>
      </c>
      <c r="N39" s="31" t="s">
        <v>377</v>
      </c>
      <c r="O39" s="31" t="s">
        <v>377</v>
      </c>
    </row>
    <row r="40" spans="1:15" s="32" customFormat="1" ht="12.75" x14ac:dyDescent="0.2">
      <c r="A40" s="25" t="s">
        <v>247</v>
      </c>
      <c r="B40" s="26" t="s">
        <v>31</v>
      </c>
      <c r="C40" s="27" t="s">
        <v>135</v>
      </c>
      <c r="D40" s="28" t="s">
        <v>136</v>
      </c>
      <c r="E40" s="29" t="s">
        <v>222</v>
      </c>
      <c r="F40" s="29">
        <v>60</v>
      </c>
      <c r="G40" s="30">
        <v>23.79</v>
      </c>
      <c r="H40" s="30">
        <f t="shared" si="0"/>
        <v>1427.4</v>
      </c>
      <c r="I40" s="31">
        <f t="shared" si="2"/>
        <v>1804.66</v>
      </c>
      <c r="J40" s="31">
        <v>1804.66</v>
      </c>
      <c r="K40" s="31" t="s">
        <v>377</v>
      </c>
      <c r="L40" s="31" t="s">
        <v>377</v>
      </c>
      <c r="M40" s="31" t="s">
        <v>377</v>
      </c>
      <c r="N40" s="31" t="s">
        <v>377</v>
      </c>
      <c r="O40" s="31" t="s">
        <v>377</v>
      </c>
    </row>
    <row r="41" spans="1:15" s="32" customFormat="1" ht="12.75" x14ac:dyDescent="0.2">
      <c r="A41" s="25" t="s">
        <v>248</v>
      </c>
      <c r="B41" s="26" t="s">
        <v>31</v>
      </c>
      <c r="C41" s="27" t="s">
        <v>137</v>
      </c>
      <c r="D41" s="28" t="s">
        <v>138</v>
      </c>
      <c r="E41" s="29" t="s">
        <v>222</v>
      </c>
      <c r="F41" s="29">
        <v>60</v>
      </c>
      <c r="G41" s="30">
        <v>13.77</v>
      </c>
      <c r="H41" s="30">
        <f t="shared" si="0"/>
        <v>826.2</v>
      </c>
      <c r="I41" s="31">
        <f t="shared" si="2"/>
        <v>1044.56</v>
      </c>
      <c r="J41" s="31">
        <v>1044.56</v>
      </c>
      <c r="K41" s="31" t="s">
        <v>377</v>
      </c>
      <c r="L41" s="31" t="s">
        <v>377</v>
      </c>
      <c r="M41" s="31" t="s">
        <v>377</v>
      </c>
      <c r="N41" s="31" t="s">
        <v>377</v>
      </c>
      <c r="O41" s="31" t="s">
        <v>377</v>
      </c>
    </row>
    <row r="42" spans="1:15" s="32" customFormat="1" ht="12.75" x14ac:dyDescent="0.2">
      <c r="A42" s="25" t="s">
        <v>251</v>
      </c>
      <c r="B42" s="26" t="s">
        <v>31</v>
      </c>
      <c r="C42" s="27" t="s">
        <v>172</v>
      </c>
      <c r="D42" s="28" t="s">
        <v>173</v>
      </c>
      <c r="E42" s="29" t="s">
        <v>222</v>
      </c>
      <c r="F42" s="29">
        <v>60</v>
      </c>
      <c r="G42" s="30">
        <v>36.43</v>
      </c>
      <c r="H42" s="30">
        <f t="shared" si="0"/>
        <v>2185.8000000000002</v>
      </c>
      <c r="I42" s="31">
        <f t="shared" si="2"/>
        <v>2763.51</v>
      </c>
      <c r="J42" s="31">
        <v>2763.51</v>
      </c>
      <c r="K42" s="31" t="s">
        <v>377</v>
      </c>
      <c r="L42" s="31" t="s">
        <v>377</v>
      </c>
      <c r="M42" s="31" t="s">
        <v>377</v>
      </c>
      <c r="N42" s="31" t="s">
        <v>377</v>
      </c>
      <c r="O42" s="31" t="s">
        <v>377</v>
      </c>
    </row>
    <row r="43" spans="1:15" s="32" customFormat="1" ht="12.75" x14ac:dyDescent="0.2">
      <c r="A43" s="25" t="s">
        <v>253</v>
      </c>
      <c r="B43" s="26" t="s">
        <v>31</v>
      </c>
      <c r="C43" s="27" t="s">
        <v>126</v>
      </c>
      <c r="D43" s="28" t="s">
        <v>127</v>
      </c>
      <c r="E43" s="29" t="s">
        <v>222</v>
      </c>
      <c r="F43" s="29">
        <v>50</v>
      </c>
      <c r="G43" s="30">
        <v>260.12</v>
      </c>
      <c r="H43" s="30">
        <f t="shared" si="0"/>
        <v>13006</v>
      </c>
      <c r="I43" s="31">
        <f t="shared" si="2"/>
        <v>16443.490000000002</v>
      </c>
      <c r="J43" s="31">
        <v>16443.490000000002</v>
      </c>
      <c r="K43" s="31" t="s">
        <v>377</v>
      </c>
      <c r="L43" s="31" t="s">
        <v>377</v>
      </c>
      <c r="M43" s="31" t="s">
        <v>377</v>
      </c>
      <c r="N43" s="31" t="s">
        <v>377</v>
      </c>
      <c r="O43" s="31" t="s">
        <v>377</v>
      </c>
    </row>
    <row r="44" spans="1:15" s="32" customFormat="1" ht="12.75" x14ac:dyDescent="0.2">
      <c r="A44" s="25" t="s">
        <v>255</v>
      </c>
      <c r="B44" s="26" t="s">
        <v>31</v>
      </c>
      <c r="C44" s="27" t="s">
        <v>156</v>
      </c>
      <c r="D44" s="28" t="s">
        <v>157</v>
      </c>
      <c r="E44" s="29" t="s">
        <v>75</v>
      </c>
      <c r="F44" s="29">
        <v>35</v>
      </c>
      <c r="G44" s="30">
        <v>732.27</v>
      </c>
      <c r="H44" s="30">
        <f t="shared" si="0"/>
        <v>25629.45</v>
      </c>
      <c r="I44" s="31">
        <f t="shared" si="2"/>
        <v>32403.31</v>
      </c>
      <c r="J44" s="31">
        <v>32403.31</v>
      </c>
      <c r="K44" s="31" t="s">
        <v>377</v>
      </c>
      <c r="L44" s="31" t="s">
        <v>377</v>
      </c>
      <c r="M44" s="31" t="s">
        <v>377</v>
      </c>
      <c r="N44" s="31" t="s">
        <v>377</v>
      </c>
      <c r="O44" s="31" t="s">
        <v>377</v>
      </c>
    </row>
    <row r="45" spans="1:15" s="32" customFormat="1" ht="12.75" x14ac:dyDescent="0.2">
      <c r="A45" s="25" t="s">
        <v>256</v>
      </c>
      <c r="B45" s="26" t="s">
        <v>31</v>
      </c>
      <c r="C45" s="27" t="s">
        <v>149</v>
      </c>
      <c r="D45" s="28" t="s">
        <v>252</v>
      </c>
      <c r="E45" s="29" t="s">
        <v>222</v>
      </c>
      <c r="F45" s="29">
        <v>25</v>
      </c>
      <c r="G45" s="30">
        <v>861.52</v>
      </c>
      <c r="H45" s="30">
        <f t="shared" si="0"/>
        <v>21538</v>
      </c>
      <c r="I45" s="31">
        <f t="shared" si="2"/>
        <v>27230.49</v>
      </c>
      <c r="J45" s="31">
        <v>27230.49</v>
      </c>
      <c r="K45" s="31" t="s">
        <v>377</v>
      </c>
      <c r="L45" s="31" t="s">
        <v>377</v>
      </c>
      <c r="M45" s="31" t="s">
        <v>377</v>
      </c>
      <c r="N45" s="31" t="s">
        <v>377</v>
      </c>
      <c r="O45" s="31" t="s">
        <v>377</v>
      </c>
    </row>
    <row r="46" spans="1:15" s="32" customFormat="1" ht="12.75" x14ac:dyDescent="0.2">
      <c r="A46" s="25" t="s">
        <v>327</v>
      </c>
      <c r="B46" s="26" t="s">
        <v>31</v>
      </c>
      <c r="C46" s="27" t="s">
        <v>159</v>
      </c>
      <c r="D46" s="28" t="s">
        <v>254</v>
      </c>
      <c r="E46" s="29" t="s">
        <v>222</v>
      </c>
      <c r="F46" s="29">
        <v>4.3</v>
      </c>
      <c r="G46" s="30">
        <v>553.85</v>
      </c>
      <c r="H46" s="30">
        <f t="shared" si="0"/>
        <v>2381.56</v>
      </c>
      <c r="I46" s="31">
        <f t="shared" si="2"/>
        <v>3011</v>
      </c>
      <c r="J46" s="31">
        <v>3011</v>
      </c>
      <c r="K46" s="31" t="s">
        <v>377</v>
      </c>
      <c r="L46" s="31" t="s">
        <v>377</v>
      </c>
      <c r="M46" s="31" t="s">
        <v>377</v>
      </c>
      <c r="N46" s="31" t="s">
        <v>377</v>
      </c>
      <c r="O46" s="31" t="s">
        <v>377</v>
      </c>
    </row>
    <row r="47" spans="1:15" s="32" customFormat="1" ht="12.75" x14ac:dyDescent="0.2">
      <c r="A47" s="25" t="s">
        <v>328</v>
      </c>
      <c r="B47" s="26" t="s">
        <v>31</v>
      </c>
      <c r="C47" s="27" t="s">
        <v>162</v>
      </c>
      <c r="D47" s="28" t="s">
        <v>163</v>
      </c>
      <c r="E47" s="29" t="s">
        <v>80</v>
      </c>
      <c r="F47" s="29">
        <v>1</v>
      </c>
      <c r="G47" s="30">
        <v>16635.88</v>
      </c>
      <c r="H47" s="30">
        <f t="shared" si="0"/>
        <v>16635.88</v>
      </c>
      <c r="I47" s="31">
        <f t="shared" si="2"/>
        <v>21032.74</v>
      </c>
      <c r="J47" s="31">
        <v>21032.74</v>
      </c>
      <c r="K47" s="31" t="s">
        <v>377</v>
      </c>
      <c r="L47" s="31" t="s">
        <v>377</v>
      </c>
      <c r="M47" s="31" t="s">
        <v>377</v>
      </c>
      <c r="N47" s="31" t="s">
        <v>377</v>
      </c>
      <c r="O47" s="31" t="s">
        <v>377</v>
      </c>
    </row>
    <row r="48" spans="1:15" s="32" customFormat="1" ht="12.75" x14ac:dyDescent="0.2">
      <c r="A48" s="25" t="s">
        <v>329</v>
      </c>
      <c r="B48" s="26" t="s">
        <v>31</v>
      </c>
      <c r="C48" s="27" t="s">
        <v>131</v>
      </c>
      <c r="D48" s="28" t="s">
        <v>132</v>
      </c>
      <c r="E48" s="29" t="s">
        <v>75</v>
      </c>
      <c r="F48" s="29">
        <v>15</v>
      </c>
      <c r="G48" s="30">
        <v>114.72</v>
      </c>
      <c r="H48" s="30">
        <f t="shared" si="0"/>
        <v>1720.8</v>
      </c>
      <c r="I48" s="31">
        <f t="shared" si="2"/>
        <v>2175.61</v>
      </c>
      <c r="J48" s="31">
        <v>2175.61</v>
      </c>
      <c r="K48" s="31" t="s">
        <v>377</v>
      </c>
      <c r="L48" s="31" t="s">
        <v>377</v>
      </c>
      <c r="M48" s="31" t="s">
        <v>377</v>
      </c>
      <c r="N48" s="31" t="s">
        <v>377</v>
      </c>
      <c r="O48" s="31" t="s">
        <v>377</v>
      </c>
    </row>
    <row r="49" spans="1:15" s="32" customFormat="1" ht="12.75" x14ac:dyDescent="0.2">
      <c r="A49" s="25" t="s">
        <v>330</v>
      </c>
      <c r="B49" s="26" t="s">
        <v>31</v>
      </c>
      <c r="C49" s="27" t="s">
        <v>204</v>
      </c>
      <c r="D49" s="28" t="s">
        <v>246</v>
      </c>
      <c r="E49" s="29" t="s">
        <v>75</v>
      </c>
      <c r="F49" s="29">
        <f>5*4</f>
        <v>20</v>
      </c>
      <c r="G49" s="30">
        <v>47.19</v>
      </c>
      <c r="H49" s="30">
        <f t="shared" si="0"/>
        <v>943.8</v>
      </c>
      <c r="I49" s="31">
        <f t="shared" si="2"/>
        <v>1193.25</v>
      </c>
      <c r="J49" s="31">
        <v>1193.25</v>
      </c>
      <c r="K49" s="31" t="s">
        <v>377</v>
      </c>
      <c r="L49" s="31" t="s">
        <v>377</v>
      </c>
      <c r="M49" s="31" t="s">
        <v>377</v>
      </c>
      <c r="N49" s="31" t="s">
        <v>377</v>
      </c>
      <c r="O49" s="31" t="s">
        <v>377</v>
      </c>
    </row>
    <row r="50" spans="1:15" s="32" customFormat="1" ht="12.75" x14ac:dyDescent="0.2">
      <c r="A50" s="126"/>
      <c r="B50" s="127"/>
      <c r="C50" s="128"/>
      <c r="D50" s="129"/>
      <c r="E50" s="130"/>
      <c r="F50" s="130"/>
      <c r="G50" s="131" t="s">
        <v>25</v>
      </c>
      <c r="H50" s="131">
        <f>SUM(H32:H49)</f>
        <v>159008.04999999996</v>
      </c>
      <c r="I50" s="132">
        <f>SUM(I32:I49)</f>
        <v>201033.86999999997</v>
      </c>
      <c r="J50" s="132">
        <v>201033.86999999997</v>
      </c>
      <c r="K50" s="132"/>
      <c r="L50" s="132"/>
      <c r="M50" s="132"/>
      <c r="N50" s="132"/>
      <c r="O50" s="132"/>
    </row>
    <row r="51" spans="1:15" s="32" customFormat="1" ht="12.75" x14ac:dyDescent="0.2">
      <c r="A51" s="133">
        <v>4</v>
      </c>
      <c r="B51" s="134"/>
      <c r="C51" s="135"/>
      <c r="D51" s="136" t="s">
        <v>249</v>
      </c>
      <c r="E51" s="137"/>
      <c r="F51" s="137"/>
      <c r="G51" s="138"/>
      <c r="H51" s="138"/>
      <c r="I51" s="139"/>
      <c r="J51" s="139"/>
      <c r="K51" s="139"/>
      <c r="L51" s="139"/>
      <c r="M51" s="139"/>
      <c r="N51" s="139"/>
      <c r="O51" s="139"/>
    </row>
    <row r="52" spans="1:15" s="32" customFormat="1" ht="12.75" x14ac:dyDescent="0.2">
      <c r="A52" s="25" t="s">
        <v>250</v>
      </c>
      <c r="B52" s="26" t="s">
        <v>31</v>
      </c>
      <c r="C52" s="27" t="s">
        <v>141</v>
      </c>
      <c r="D52" s="28" t="s">
        <v>142</v>
      </c>
      <c r="E52" s="29" t="s">
        <v>222</v>
      </c>
      <c r="F52" s="29">
        <v>140</v>
      </c>
      <c r="G52" s="30">
        <v>108.83</v>
      </c>
      <c r="H52" s="30">
        <f t="shared" si="0"/>
        <v>15236.2</v>
      </c>
      <c r="I52" s="31">
        <f t="shared" ref="I52:O65" si="3">ROUND(F52*G52*(1+$I$142/100),2)</f>
        <v>19263.13</v>
      </c>
      <c r="J52" s="31">
        <v>19263.13</v>
      </c>
      <c r="K52" s="31" t="s">
        <v>377</v>
      </c>
      <c r="L52" s="31" t="s">
        <v>377</v>
      </c>
      <c r="M52" s="31" t="s">
        <v>377</v>
      </c>
      <c r="N52" s="31" t="s">
        <v>377</v>
      </c>
      <c r="O52" s="31" t="s">
        <v>377</v>
      </c>
    </row>
    <row r="53" spans="1:15" s="32" customFormat="1" ht="12.75" x14ac:dyDescent="0.2">
      <c r="A53" s="25" t="s">
        <v>258</v>
      </c>
      <c r="B53" s="26" t="s">
        <v>31</v>
      </c>
      <c r="C53" s="27" t="s">
        <v>180</v>
      </c>
      <c r="D53" s="28" t="s">
        <v>181</v>
      </c>
      <c r="E53" s="29" t="s">
        <v>242</v>
      </c>
      <c r="F53" s="29">
        <v>4</v>
      </c>
      <c r="G53" s="30">
        <v>587.15</v>
      </c>
      <c r="H53" s="30">
        <f t="shared" si="0"/>
        <v>2348.6</v>
      </c>
      <c r="I53" s="31">
        <f t="shared" si="3"/>
        <v>2969.33</v>
      </c>
      <c r="J53" s="31">
        <v>2969.33</v>
      </c>
      <c r="K53" s="31" t="s">
        <v>377</v>
      </c>
      <c r="L53" s="31" t="s">
        <v>377</v>
      </c>
      <c r="M53" s="31" t="s">
        <v>377</v>
      </c>
      <c r="N53" s="31" t="s">
        <v>377</v>
      </c>
      <c r="O53" s="31" t="s">
        <v>377</v>
      </c>
    </row>
    <row r="54" spans="1:15" s="32" customFormat="1" ht="12.75" x14ac:dyDescent="0.2">
      <c r="A54" s="25" t="s">
        <v>259</v>
      </c>
      <c r="B54" s="26" t="s">
        <v>31</v>
      </c>
      <c r="C54" s="27" t="s">
        <v>158</v>
      </c>
      <c r="D54" s="28" t="s">
        <v>257</v>
      </c>
      <c r="E54" s="29" t="s">
        <v>222</v>
      </c>
      <c r="F54" s="29">
        <f>12*1</f>
        <v>12</v>
      </c>
      <c r="G54" s="30">
        <v>1344.53</v>
      </c>
      <c r="H54" s="30">
        <f t="shared" si="0"/>
        <v>16134.36</v>
      </c>
      <c r="I54" s="31">
        <f t="shared" si="3"/>
        <v>20398.669999999998</v>
      </c>
      <c r="J54" s="31">
        <v>20398.669999999998</v>
      </c>
      <c r="K54" s="31" t="s">
        <v>377</v>
      </c>
      <c r="L54" s="31" t="s">
        <v>377</v>
      </c>
      <c r="M54" s="31" t="s">
        <v>377</v>
      </c>
      <c r="N54" s="31" t="s">
        <v>377</v>
      </c>
      <c r="O54" s="31" t="s">
        <v>377</v>
      </c>
    </row>
    <row r="55" spans="1:15" s="32" customFormat="1" ht="12.75" x14ac:dyDescent="0.2">
      <c r="A55" s="25" t="s">
        <v>260</v>
      </c>
      <c r="B55" s="26" t="s">
        <v>31</v>
      </c>
      <c r="C55" s="27" t="s">
        <v>160</v>
      </c>
      <c r="D55" s="28" t="s">
        <v>161</v>
      </c>
      <c r="E55" s="29" t="s">
        <v>222</v>
      </c>
      <c r="F55" s="29">
        <v>50</v>
      </c>
      <c r="G55" s="30">
        <v>277.29000000000002</v>
      </c>
      <c r="H55" s="30">
        <f t="shared" si="0"/>
        <v>13864.5</v>
      </c>
      <c r="I55" s="31">
        <f t="shared" si="3"/>
        <v>17528.89</v>
      </c>
      <c r="J55" s="31">
        <v>17528.89</v>
      </c>
      <c r="K55" s="31" t="s">
        <v>377</v>
      </c>
      <c r="L55" s="31" t="s">
        <v>377</v>
      </c>
      <c r="M55" s="31" t="s">
        <v>377</v>
      </c>
      <c r="N55" s="31" t="s">
        <v>377</v>
      </c>
      <c r="O55" s="31" t="s">
        <v>377</v>
      </c>
    </row>
    <row r="56" spans="1:15" s="32" customFormat="1" ht="12.75" x14ac:dyDescent="0.2">
      <c r="A56" s="25" t="s">
        <v>261</v>
      </c>
      <c r="B56" s="26" t="s">
        <v>31</v>
      </c>
      <c r="C56" s="27" t="s">
        <v>128</v>
      </c>
      <c r="D56" s="28" t="s">
        <v>129</v>
      </c>
      <c r="E56" s="29" t="s">
        <v>78</v>
      </c>
      <c r="F56" s="29">
        <v>1100</v>
      </c>
      <c r="G56" s="30">
        <v>29.12</v>
      </c>
      <c r="H56" s="30">
        <f t="shared" si="0"/>
        <v>32032</v>
      </c>
      <c r="I56" s="31">
        <f t="shared" si="3"/>
        <v>40498.06</v>
      </c>
      <c r="J56" s="31">
        <v>40498.06</v>
      </c>
      <c r="K56" s="31" t="s">
        <v>377</v>
      </c>
      <c r="L56" s="31" t="s">
        <v>377</v>
      </c>
      <c r="M56" s="31" t="s">
        <v>377</v>
      </c>
      <c r="N56" s="31" t="s">
        <v>377</v>
      </c>
      <c r="O56" s="31" t="s">
        <v>377</v>
      </c>
    </row>
    <row r="57" spans="1:15" s="32" customFormat="1" ht="12.75" x14ac:dyDescent="0.2">
      <c r="A57" s="25" t="s">
        <v>262</v>
      </c>
      <c r="B57" s="26" t="s">
        <v>31</v>
      </c>
      <c r="C57" s="27" t="s">
        <v>130</v>
      </c>
      <c r="D57" s="28" t="s">
        <v>244</v>
      </c>
      <c r="E57" s="29" t="s">
        <v>222</v>
      </c>
      <c r="F57" s="29">
        <v>110</v>
      </c>
      <c r="G57" s="30">
        <v>216.63</v>
      </c>
      <c r="H57" s="30">
        <f t="shared" si="0"/>
        <v>23829.3</v>
      </c>
      <c r="I57" s="31">
        <f t="shared" si="3"/>
        <v>30127.38</v>
      </c>
      <c r="J57" s="31">
        <v>30127.38</v>
      </c>
      <c r="K57" s="31" t="s">
        <v>377</v>
      </c>
      <c r="L57" s="31" t="s">
        <v>377</v>
      </c>
      <c r="M57" s="31" t="s">
        <v>377</v>
      </c>
      <c r="N57" s="31" t="s">
        <v>377</v>
      </c>
      <c r="O57" s="31" t="s">
        <v>377</v>
      </c>
    </row>
    <row r="58" spans="1:15" s="32" customFormat="1" ht="12.75" x14ac:dyDescent="0.2">
      <c r="A58" s="25" t="s">
        <v>263</v>
      </c>
      <c r="B58" s="26" t="s">
        <v>31</v>
      </c>
      <c r="C58" s="27" t="s">
        <v>150</v>
      </c>
      <c r="D58" s="28" t="s">
        <v>151</v>
      </c>
      <c r="E58" s="29" t="s">
        <v>222</v>
      </c>
      <c r="F58" s="29">
        <v>110</v>
      </c>
      <c r="G58" s="30">
        <v>319.83</v>
      </c>
      <c r="H58" s="30">
        <f t="shared" si="0"/>
        <v>35181.300000000003</v>
      </c>
      <c r="I58" s="31">
        <f t="shared" si="3"/>
        <v>44479.72</v>
      </c>
      <c r="J58" s="31">
        <v>44479.72</v>
      </c>
      <c r="K58" s="31" t="s">
        <v>377</v>
      </c>
      <c r="L58" s="31" t="s">
        <v>377</v>
      </c>
      <c r="M58" s="31" t="s">
        <v>377</v>
      </c>
      <c r="N58" s="31" t="s">
        <v>377</v>
      </c>
      <c r="O58" s="31" t="s">
        <v>377</v>
      </c>
    </row>
    <row r="59" spans="1:15" s="32" customFormat="1" ht="12.75" x14ac:dyDescent="0.2">
      <c r="A59" s="25" t="s">
        <v>264</v>
      </c>
      <c r="B59" s="26" t="s">
        <v>31</v>
      </c>
      <c r="C59" s="27" t="s">
        <v>105</v>
      </c>
      <c r="D59" s="28" t="s">
        <v>106</v>
      </c>
      <c r="E59" s="29" t="s">
        <v>222</v>
      </c>
      <c r="F59" s="29">
        <v>6</v>
      </c>
      <c r="G59" s="30">
        <v>32.880000000000003</v>
      </c>
      <c r="H59" s="30">
        <f t="shared" si="0"/>
        <v>197.28</v>
      </c>
      <c r="I59" s="31">
        <f t="shared" si="3"/>
        <v>249.42</v>
      </c>
      <c r="J59" s="31">
        <v>249.42</v>
      </c>
      <c r="K59" s="31" t="s">
        <v>377</v>
      </c>
      <c r="L59" s="31" t="s">
        <v>377</v>
      </c>
      <c r="M59" s="31" t="s">
        <v>377</v>
      </c>
      <c r="N59" s="31" t="s">
        <v>377</v>
      </c>
      <c r="O59" s="31" t="s">
        <v>377</v>
      </c>
    </row>
    <row r="60" spans="1:15" s="32" customFormat="1" ht="12.75" x14ac:dyDescent="0.2">
      <c r="A60" s="25" t="s">
        <v>265</v>
      </c>
      <c r="B60" s="26" t="s">
        <v>31</v>
      </c>
      <c r="C60" s="27" t="s">
        <v>124</v>
      </c>
      <c r="D60" s="28" t="s">
        <v>125</v>
      </c>
      <c r="E60" s="29" t="s">
        <v>222</v>
      </c>
      <c r="F60" s="29">
        <v>5</v>
      </c>
      <c r="G60" s="30">
        <v>83.66</v>
      </c>
      <c r="H60" s="30">
        <f t="shared" si="0"/>
        <v>418.3</v>
      </c>
      <c r="I60" s="31">
        <f t="shared" si="3"/>
        <v>528.86</v>
      </c>
      <c r="J60" s="31">
        <v>528.86</v>
      </c>
      <c r="K60" s="31" t="s">
        <v>377</v>
      </c>
      <c r="L60" s="31" t="s">
        <v>377</v>
      </c>
      <c r="M60" s="31" t="s">
        <v>377</v>
      </c>
      <c r="N60" s="31" t="s">
        <v>377</v>
      </c>
      <c r="O60" s="31" t="s">
        <v>377</v>
      </c>
    </row>
    <row r="61" spans="1:15" s="32" customFormat="1" ht="12.75" x14ac:dyDescent="0.2">
      <c r="A61" s="25" t="s">
        <v>266</v>
      </c>
      <c r="B61" s="26" t="s">
        <v>31</v>
      </c>
      <c r="C61" s="27" t="s">
        <v>120</v>
      </c>
      <c r="D61" s="28" t="s">
        <v>121</v>
      </c>
      <c r="E61" s="29" t="s">
        <v>78</v>
      </c>
      <c r="F61" s="29">
        <v>30</v>
      </c>
      <c r="G61" s="30">
        <v>9.9499999999999993</v>
      </c>
      <c r="H61" s="30">
        <f t="shared" si="0"/>
        <v>298.5</v>
      </c>
      <c r="I61" s="31">
        <f t="shared" si="3"/>
        <v>377.39</v>
      </c>
      <c r="J61" s="31">
        <v>377.39</v>
      </c>
      <c r="K61" s="31" t="s">
        <v>377</v>
      </c>
      <c r="L61" s="31" t="s">
        <v>377</v>
      </c>
      <c r="M61" s="31" t="s">
        <v>377</v>
      </c>
      <c r="N61" s="31" t="s">
        <v>377</v>
      </c>
      <c r="O61" s="31" t="s">
        <v>377</v>
      </c>
    </row>
    <row r="62" spans="1:15" s="32" customFormat="1" ht="12.75" x14ac:dyDescent="0.2">
      <c r="A62" s="25" t="s">
        <v>267</v>
      </c>
      <c r="B62" s="26" t="s">
        <v>31</v>
      </c>
      <c r="C62" s="27" t="s">
        <v>133</v>
      </c>
      <c r="D62" s="28" t="s">
        <v>134</v>
      </c>
      <c r="E62" s="29" t="s">
        <v>222</v>
      </c>
      <c r="F62" s="29">
        <v>10</v>
      </c>
      <c r="G62" s="30">
        <v>7.44</v>
      </c>
      <c r="H62" s="30">
        <f t="shared" si="0"/>
        <v>74.400000000000006</v>
      </c>
      <c r="I62" s="31">
        <f t="shared" si="3"/>
        <v>94.06</v>
      </c>
      <c r="J62" s="31">
        <v>94.06</v>
      </c>
      <c r="K62" s="31" t="s">
        <v>377</v>
      </c>
      <c r="L62" s="31" t="s">
        <v>377</v>
      </c>
      <c r="M62" s="31" t="s">
        <v>377</v>
      </c>
      <c r="N62" s="31" t="s">
        <v>377</v>
      </c>
      <c r="O62" s="31" t="s">
        <v>377</v>
      </c>
    </row>
    <row r="63" spans="1:15" s="32" customFormat="1" ht="12.75" x14ac:dyDescent="0.2">
      <c r="A63" s="25" t="s">
        <v>268</v>
      </c>
      <c r="B63" s="26" t="s">
        <v>31</v>
      </c>
      <c r="C63" s="27" t="s">
        <v>135</v>
      </c>
      <c r="D63" s="28" t="s">
        <v>136</v>
      </c>
      <c r="E63" s="29" t="s">
        <v>222</v>
      </c>
      <c r="F63" s="29">
        <v>10</v>
      </c>
      <c r="G63" s="30">
        <v>23.79</v>
      </c>
      <c r="H63" s="30">
        <f t="shared" si="0"/>
        <v>237.9</v>
      </c>
      <c r="I63" s="31">
        <f t="shared" si="3"/>
        <v>300.77999999999997</v>
      </c>
      <c r="J63" s="31">
        <v>300.77999999999997</v>
      </c>
      <c r="K63" s="31" t="s">
        <v>377</v>
      </c>
      <c r="L63" s="31" t="s">
        <v>377</v>
      </c>
      <c r="M63" s="31" t="s">
        <v>377</v>
      </c>
      <c r="N63" s="31" t="s">
        <v>377</v>
      </c>
      <c r="O63" s="31" t="s">
        <v>377</v>
      </c>
    </row>
    <row r="64" spans="1:15" s="32" customFormat="1" ht="12.75" x14ac:dyDescent="0.2">
      <c r="A64" s="25" t="s">
        <v>269</v>
      </c>
      <c r="B64" s="26" t="s">
        <v>31</v>
      </c>
      <c r="C64" s="27" t="s">
        <v>137</v>
      </c>
      <c r="D64" s="28" t="s">
        <v>138</v>
      </c>
      <c r="E64" s="29" t="s">
        <v>222</v>
      </c>
      <c r="F64" s="29">
        <v>10</v>
      </c>
      <c r="G64" s="30">
        <v>13.77</v>
      </c>
      <c r="H64" s="30">
        <f t="shared" si="0"/>
        <v>137.69999999999999</v>
      </c>
      <c r="I64" s="31">
        <f t="shared" si="3"/>
        <v>174.09</v>
      </c>
      <c r="J64" s="31">
        <v>174.09</v>
      </c>
      <c r="K64" s="31" t="s">
        <v>377</v>
      </c>
      <c r="L64" s="31" t="s">
        <v>377</v>
      </c>
      <c r="M64" s="31" t="s">
        <v>377</v>
      </c>
      <c r="N64" s="31" t="s">
        <v>377</v>
      </c>
      <c r="O64" s="31" t="s">
        <v>377</v>
      </c>
    </row>
    <row r="65" spans="1:15" s="32" customFormat="1" ht="12.75" x14ac:dyDescent="0.2">
      <c r="A65" s="25" t="s">
        <v>270</v>
      </c>
      <c r="B65" s="26" t="s">
        <v>31</v>
      </c>
      <c r="C65" s="27" t="s">
        <v>172</v>
      </c>
      <c r="D65" s="28" t="s">
        <v>173</v>
      </c>
      <c r="E65" s="29" t="s">
        <v>222</v>
      </c>
      <c r="F65" s="29">
        <v>10</v>
      </c>
      <c r="G65" s="30">
        <v>36.43</v>
      </c>
      <c r="H65" s="30">
        <f t="shared" si="0"/>
        <v>364.3</v>
      </c>
      <c r="I65" s="31">
        <f t="shared" si="3"/>
        <v>460.58</v>
      </c>
      <c r="J65" s="31">
        <v>460.58</v>
      </c>
      <c r="K65" s="31" t="s">
        <v>377</v>
      </c>
      <c r="L65" s="31" t="s">
        <v>377</v>
      </c>
      <c r="M65" s="31" t="s">
        <v>377</v>
      </c>
      <c r="N65" s="31" t="s">
        <v>377</v>
      </c>
      <c r="O65" s="31" t="s">
        <v>377</v>
      </c>
    </row>
    <row r="66" spans="1:15" s="32" customFormat="1" ht="12.75" x14ac:dyDescent="0.2">
      <c r="A66" s="126"/>
      <c r="B66" s="127"/>
      <c r="C66" s="128"/>
      <c r="D66" s="129"/>
      <c r="E66" s="130"/>
      <c r="F66" s="130"/>
      <c r="G66" s="131" t="s">
        <v>25</v>
      </c>
      <c r="H66" s="131">
        <f>SUM(H52:H65)</f>
        <v>140354.63999999998</v>
      </c>
      <c r="I66" s="132">
        <f>SUM(I52:I65)</f>
        <v>177450.36</v>
      </c>
      <c r="J66" s="132">
        <v>177450.36</v>
      </c>
      <c r="K66" s="132"/>
      <c r="L66" s="132"/>
      <c r="M66" s="132"/>
      <c r="N66" s="132"/>
      <c r="O66" s="132"/>
    </row>
    <row r="67" spans="1:15" s="32" customFormat="1" ht="12.75" x14ac:dyDescent="0.2">
      <c r="A67" s="133">
        <v>5</v>
      </c>
      <c r="B67" s="134"/>
      <c r="C67" s="135"/>
      <c r="D67" s="136" t="s">
        <v>271</v>
      </c>
      <c r="E67" s="137"/>
      <c r="F67" s="137"/>
      <c r="G67" s="138"/>
      <c r="H67" s="138"/>
      <c r="I67" s="139"/>
      <c r="J67" s="139"/>
      <c r="K67" s="139"/>
      <c r="L67" s="139"/>
      <c r="M67" s="139"/>
      <c r="N67" s="139"/>
      <c r="O67" s="139"/>
    </row>
    <row r="68" spans="1:15" s="32" customFormat="1" ht="12.75" x14ac:dyDescent="0.2">
      <c r="A68" s="25" t="s">
        <v>272</v>
      </c>
      <c r="B68" s="26" t="s">
        <v>31</v>
      </c>
      <c r="C68" s="27" t="s">
        <v>143</v>
      </c>
      <c r="D68" s="28" t="s">
        <v>144</v>
      </c>
      <c r="E68" s="29" t="s">
        <v>222</v>
      </c>
      <c r="F68" s="29">
        <v>1000</v>
      </c>
      <c r="G68" s="30">
        <v>56.21</v>
      </c>
      <c r="H68" s="30">
        <f t="shared" si="0"/>
        <v>56210</v>
      </c>
      <c r="I68" s="31">
        <f t="shared" ref="I68:O91" si="4">ROUND(F68*G68*(1+$I$142/100),2)</f>
        <v>71066.3</v>
      </c>
      <c r="J68" s="31" t="s">
        <v>377</v>
      </c>
      <c r="K68" s="31">
        <v>71066.3</v>
      </c>
      <c r="L68" s="31" t="s">
        <v>377</v>
      </c>
      <c r="M68" s="31" t="s">
        <v>377</v>
      </c>
      <c r="N68" s="31" t="s">
        <v>377</v>
      </c>
      <c r="O68" s="31" t="s">
        <v>377</v>
      </c>
    </row>
    <row r="69" spans="1:15" s="32" customFormat="1" ht="12.75" x14ac:dyDescent="0.2">
      <c r="A69" s="25" t="s">
        <v>273</v>
      </c>
      <c r="B69" s="26" t="s">
        <v>31</v>
      </c>
      <c r="C69" s="27" t="s">
        <v>145</v>
      </c>
      <c r="D69" s="28" t="s">
        <v>146</v>
      </c>
      <c r="E69" s="29" t="s">
        <v>222</v>
      </c>
      <c r="F69" s="29">
        <v>1000</v>
      </c>
      <c r="G69" s="30">
        <v>50.12</v>
      </c>
      <c r="H69" s="30">
        <f t="shared" si="0"/>
        <v>50120</v>
      </c>
      <c r="I69" s="31">
        <f t="shared" si="4"/>
        <v>63366.720000000001</v>
      </c>
      <c r="J69" s="31" t="s">
        <v>377</v>
      </c>
      <c r="K69" s="31">
        <v>63366.720000000001</v>
      </c>
      <c r="L69" s="31" t="s">
        <v>377</v>
      </c>
      <c r="M69" s="31" t="s">
        <v>377</v>
      </c>
      <c r="N69" s="31" t="s">
        <v>377</v>
      </c>
      <c r="O69" s="31" t="s">
        <v>377</v>
      </c>
    </row>
    <row r="70" spans="1:15" s="32" customFormat="1" ht="12.75" x14ac:dyDescent="0.2">
      <c r="A70" s="25" t="s">
        <v>274</v>
      </c>
      <c r="B70" s="26" t="s">
        <v>31</v>
      </c>
      <c r="C70" s="27" t="s">
        <v>149</v>
      </c>
      <c r="D70" s="28" t="s">
        <v>252</v>
      </c>
      <c r="E70" s="29" t="s">
        <v>222</v>
      </c>
      <c r="F70" s="29">
        <v>30</v>
      </c>
      <c r="G70" s="30">
        <v>861.52</v>
      </c>
      <c r="H70" s="30">
        <f t="shared" si="0"/>
        <v>25845.599999999999</v>
      </c>
      <c r="I70" s="31">
        <f t="shared" si="4"/>
        <v>32676.59</v>
      </c>
      <c r="J70" s="31" t="s">
        <v>377</v>
      </c>
      <c r="K70" s="31">
        <v>32676.59</v>
      </c>
      <c r="L70" s="31" t="s">
        <v>377</v>
      </c>
      <c r="M70" s="31" t="s">
        <v>377</v>
      </c>
      <c r="N70" s="31" t="s">
        <v>377</v>
      </c>
      <c r="O70" s="31" t="s">
        <v>377</v>
      </c>
    </row>
    <row r="71" spans="1:15" s="32" customFormat="1" ht="12.75" x14ac:dyDescent="0.2">
      <c r="A71" s="25" t="s">
        <v>275</v>
      </c>
      <c r="B71" s="26" t="s">
        <v>31</v>
      </c>
      <c r="C71" s="27" t="s">
        <v>154</v>
      </c>
      <c r="D71" s="28" t="s">
        <v>155</v>
      </c>
      <c r="E71" s="29" t="s">
        <v>242</v>
      </c>
      <c r="F71" s="29">
        <v>2</v>
      </c>
      <c r="G71" s="30">
        <v>670.25</v>
      </c>
      <c r="H71" s="30">
        <f t="shared" si="0"/>
        <v>1340.5</v>
      </c>
      <c r="I71" s="31">
        <f t="shared" si="4"/>
        <v>1694.79</v>
      </c>
      <c r="J71" s="31" t="s">
        <v>377</v>
      </c>
      <c r="K71" s="31">
        <v>1694.79</v>
      </c>
      <c r="L71" s="31" t="s">
        <v>377</v>
      </c>
      <c r="M71" s="31" t="s">
        <v>377</v>
      </c>
      <c r="N71" s="31" t="s">
        <v>377</v>
      </c>
      <c r="O71" s="31" t="s">
        <v>377</v>
      </c>
    </row>
    <row r="72" spans="1:15" s="32" customFormat="1" ht="12.75" x14ac:dyDescent="0.2">
      <c r="A72" s="25" t="s">
        <v>276</v>
      </c>
      <c r="B72" s="26" t="s">
        <v>31</v>
      </c>
      <c r="C72" s="27" t="s">
        <v>102</v>
      </c>
      <c r="D72" s="28" t="s">
        <v>103</v>
      </c>
      <c r="E72" s="29" t="s">
        <v>242</v>
      </c>
      <c r="F72" s="29">
        <v>6</v>
      </c>
      <c r="G72" s="30">
        <v>23.5</v>
      </c>
      <c r="H72" s="30">
        <f t="shared" si="0"/>
        <v>141</v>
      </c>
      <c r="I72" s="31">
        <f t="shared" si="4"/>
        <v>178.27</v>
      </c>
      <c r="J72" s="31" t="s">
        <v>377</v>
      </c>
      <c r="K72" s="31">
        <v>178.27</v>
      </c>
      <c r="L72" s="31" t="s">
        <v>377</v>
      </c>
      <c r="M72" s="31" t="s">
        <v>377</v>
      </c>
      <c r="N72" s="31" t="s">
        <v>377</v>
      </c>
      <c r="O72" s="31" t="s">
        <v>377</v>
      </c>
    </row>
    <row r="73" spans="1:15" s="32" customFormat="1" ht="12.75" x14ac:dyDescent="0.2">
      <c r="A73" s="25" t="s">
        <v>277</v>
      </c>
      <c r="B73" s="26" t="s">
        <v>31</v>
      </c>
      <c r="C73" s="27" t="s">
        <v>104</v>
      </c>
      <c r="D73" s="28" t="s">
        <v>284</v>
      </c>
      <c r="E73" s="29" t="s">
        <v>75</v>
      </c>
      <c r="F73" s="29">
        <v>30</v>
      </c>
      <c r="G73" s="30">
        <v>14.1</v>
      </c>
      <c r="H73" s="30">
        <f t="shared" si="0"/>
        <v>423</v>
      </c>
      <c r="I73" s="31">
        <f t="shared" si="4"/>
        <v>534.79999999999995</v>
      </c>
      <c r="J73" s="31" t="s">
        <v>377</v>
      </c>
      <c r="K73" s="31">
        <v>534.79999999999995</v>
      </c>
      <c r="L73" s="31" t="s">
        <v>377</v>
      </c>
      <c r="M73" s="31" t="s">
        <v>377</v>
      </c>
      <c r="N73" s="31" t="s">
        <v>377</v>
      </c>
      <c r="O73" s="31" t="s">
        <v>377</v>
      </c>
    </row>
    <row r="74" spans="1:15" s="32" customFormat="1" ht="12.75" x14ac:dyDescent="0.2">
      <c r="A74" s="25" t="s">
        <v>278</v>
      </c>
      <c r="B74" s="26" t="s">
        <v>31</v>
      </c>
      <c r="C74" s="27" t="s">
        <v>109</v>
      </c>
      <c r="D74" s="28" t="s">
        <v>110</v>
      </c>
      <c r="E74" s="29" t="s">
        <v>242</v>
      </c>
      <c r="F74" s="29">
        <v>4</v>
      </c>
      <c r="G74" s="30">
        <v>46.37</v>
      </c>
      <c r="H74" s="30">
        <f t="shared" si="0"/>
        <v>185.48</v>
      </c>
      <c r="I74" s="31">
        <f t="shared" si="4"/>
        <v>234.5</v>
      </c>
      <c r="J74" s="31" t="s">
        <v>377</v>
      </c>
      <c r="K74" s="31">
        <v>234.5</v>
      </c>
      <c r="L74" s="31" t="s">
        <v>377</v>
      </c>
      <c r="M74" s="31" t="s">
        <v>377</v>
      </c>
      <c r="N74" s="31" t="s">
        <v>377</v>
      </c>
      <c r="O74" s="31" t="s">
        <v>377</v>
      </c>
    </row>
    <row r="75" spans="1:15" s="32" customFormat="1" ht="12.75" x14ac:dyDescent="0.2">
      <c r="A75" s="25" t="s">
        <v>279</v>
      </c>
      <c r="B75" s="26" t="s">
        <v>31</v>
      </c>
      <c r="C75" s="27" t="s">
        <v>96</v>
      </c>
      <c r="D75" s="28" t="s">
        <v>97</v>
      </c>
      <c r="E75" s="29" t="s">
        <v>222</v>
      </c>
      <c r="F75" s="29">
        <v>60</v>
      </c>
      <c r="G75" s="30">
        <v>12.71</v>
      </c>
      <c r="H75" s="30">
        <f t="shared" si="0"/>
        <v>762.6</v>
      </c>
      <c r="I75" s="31">
        <f t="shared" si="4"/>
        <v>964.16</v>
      </c>
      <c r="J75" s="31" t="s">
        <v>377</v>
      </c>
      <c r="K75" s="31">
        <v>964.16</v>
      </c>
      <c r="L75" s="31" t="s">
        <v>377</v>
      </c>
      <c r="M75" s="31" t="s">
        <v>377</v>
      </c>
      <c r="N75" s="31" t="s">
        <v>377</v>
      </c>
      <c r="O75" s="31" t="s">
        <v>377</v>
      </c>
    </row>
    <row r="76" spans="1:15" s="32" customFormat="1" ht="12.75" x14ac:dyDescent="0.2">
      <c r="A76" s="25" t="s">
        <v>280</v>
      </c>
      <c r="B76" s="26" t="s">
        <v>31</v>
      </c>
      <c r="C76" s="27" t="s">
        <v>98</v>
      </c>
      <c r="D76" s="28" t="s">
        <v>99</v>
      </c>
      <c r="E76" s="29" t="s">
        <v>222</v>
      </c>
      <c r="F76" s="29">
        <v>60</v>
      </c>
      <c r="G76" s="30">
        <v>6.36</v>
      </c>
      <c r="H76" s="30">
        <f t="shared" si="0"/>
        <v>381.6</v>
      </c>
      <c r="I76" s="31">
        <f t="shared" si="4"/>
        <v>482.46</v>
      </c>
      <c r="J76" s="31" t="s">
        <v>377</v>
      </c>
      <c r="K76" s="31">
        <v>482.46</v>
      </c>
      <c r="L76" s="31" t="s">
        <v>377</v>
      </c>
      <c r="M76" s="31" t="s">
        <v>377</v>
      </c>
      <c r="N76" s="31" t="s">
        <v>377</v>
      </c>
      <c r="O76" s="31" t="s">
        <v>377</v>
      </c>
    </row>
    <row r="77" spans="1:15" s="32" customFormat="1" ht="25.5" x14ac:dyDescent="0.2">
      <c r="A77" s="25" t="s">
        <v>281</v>
      </c>
      <c r="B77" s="26" t="s">
        <v>31</v>
      </c>
      <c r="C77" s="27" t="s">
        <v>115</v>
      </c>
      <c r="D77" s="28" t="s">
        <v>228</v>
      </c>
      <c r="E77" s="29" t="s">
        <v>227</v>
      </c>
      <c r="F77" s="29">
        <v>20</v>
      </c>
      <c r="G77" s="30">
        <v>111.74</v>
      </c>
      <c r="H77" s="30">
        <f t="shared" si="0"/>
        <v>2234.8000000000002</v>
      </c>
      <c r="I77" s="31">
        <f t="shared" si="4"/>
        <v>2825.46</v>
      </c>
      <c r="J77" s="31" t="s">
        <v>377</v>
      </c>
      <c r="K77" s="31">
        <v>2825.46</v>
      </c>
      <c r="L77" s="31" t="s">
        <v>377</v>
      </c>
      <c r="M77" s="31" t="s">
        <v>377</v>
      </c>
      <c r="N77" s="31" t="s">
        <v>377</v>
      </c>
      <c r="O77" s="31" t="s">
        <v>377</v>
      </c>
    </row>
    <row r="78" spans="1:15" s="32" customFormat="1" ht="12.75" x14ac:dyDescent="0.2">
      <c r="A78" s="25" t="s">
        <v>282</v>
      </c>
      <c r="B78" s="26" t="s">
        <v>31</v>
      </c>
      <c r="C78" s="27" t="s">
        <v>150</v>
      </c>
      <c r="D78" s="28" t="s">
        <v>151</v>
      </c>
      <c r="E78" s="29" t="s">
        <v>222</v>
      </c>
      <c r="F78" s="29">
        <v>60</v>
      </c>
      <c r="G78" s="30">
        <v>319.83</v>
      </c>
      <c r="H78" s="30">
        <f t="shared" si="0"/>
        <v>19189.8</v>
      </c>
      <c r="I78" s="31">
        <f t="shared" si="4"/>
        <v>24261.66</v>
      </c>
      <c r="J78" s="31" t="s">
        <v>377</v>
      </c>
      <c r="K78" s="31">
        <v>24261.66</v>
      </c>
      <c r="L78" s="31" t="s">
        <v>377</v>
      </c>
      <c r="M78" s="31" t="s">
        <v>377</v>
      </c>
      <c r="N78" s="31" t="s">
        <v>377</v>
      </c>
      <c r="O78" s="31" t="s">
        <v>377</v>
      </c>
    </row>
    <row r="79" spans="1:15" s="32" customFormat="1" ht="12.75" x14ac:dyDescent="0.2">
      <c r="A79" s="25" t="s">
        <v>283</v>
      </c>
      <c r="B79" s="26" t="s">
        <v>31</v>
      </c>
      <c r="C79" s="27" t="s">
        <v>111</v>
      </c>
      <c r="D79" s="28" t="s">
        <v>112</v>
      </c>
      <c r="E79" s="29" t="s">
        <v>242</v>
      </c>
      <c r="F79" s="29">
        <v>2</v>
      </c>
      <c r="G79" s="30">
        <v>59.27</v>
      </c>
      <c r="H79" s="30">
        <f t="shared" si="0"/>
        <v>118.54</v>
      </c>
      <c r="I79" s="31">
        <f t="shared" si="4"/>
        <v>149.87</v>
      </c>
      <c r="J79" s="31" t="s">
        <v>377</v>
      </c>
      <c r="K79" s="31">
        <v>149.87</v>
      </c>
      <c r="L79" s="31" t="s">
        <v>377</v>
      </c>
      <c r="M79" s="31" t="s">
        <v>377</v>
      </c>
      <c r="N79" s="31" t="s">
        <v>377</v>
      </c>
      <c r="O79" s="31" t="s">
        <v>377</v>
      </c>
    </row>
    <row r="80" spans="1:15" s="32" customFormat="1" ht="12.75" x14ac:dyDescent="0.2">
      <c r="A80" s="25" t="s">
        <v>285</v>
      </c>
      <c r="B80" s="26" t="s">
        <v>31</v>
      </c>
      <c r="C80" s="27" t="s">
        <v>209</v>
      </c>
      <c r="D80" s="28" t="s">
        <v>210</v>
      </c>
      <c r="E80" s="29" t="s">
        <v>242</v>
      </c>
      <c r="F80" s="29">
        <v>2</v>
      </c>
      <c r="G80" s="30">
        <v>559.35</v>
      </c>
      <c r="H80" s="30">
        <f t="shared" si="0"/>
        <v>1118.7</v>
      </c>
      <c r="I80" s="31">
        <f t="shared" si="4"/>
        <v>1414.37</v>
      </c>
      <c r="J80" s="31" t="s">
        <v>377</v>
      </c>
      <c r="K80" s="31">
        <v>1414.37</v>
      </c>
      <c r="L80" s="31" t="s">
        <v>377</v>
      </c>
      <c r="M80" s="31" t="s">
        <v>377</v>
      </c>
      <c r="N80" s="31" t="s">
        <v>377</v>
      </c>
      <c r="O80" s="31" t="s">
        <v>377</v>
      </c>
    </row>
    <row r="81" spans="1:15" s="32" customFormat="1" ht="12.75" x14ac:dyDescent="0.2">
      <c r="A81" s="25" t="s">
        <v>286</v>
      </c>
      <c r="B81" s="26" t="s">
        <v>31</v>
      </c>
      <c r="C81" s="27" t="s">
        <v>147</v>
      </c>
      <c r="D81" s="28" t="s">
        <v>148</v>
      </c>
      <c r="E81" s="29" t="s">
        <v>75</v>
      </c>
      <c r="F81" s="29">
        <v>60</v>
      </c>
      <c r="G81" s="30">
        <v>162.55000000000001</v>
      </c>
      <c r="H81" s="30">
        <f t="shared" si="0"/>
        <v>9753</v>
      </c>
      <c r="I81" s="31">
        <f t="shared" si="4"/>
        <v>12330.72</v>
      </c>
      <c r="J81" s="31" t="s">
        <v>377</v>
      </c>
      <c r="K81" s="31">
        <v>12330.72</v>
      </c>
      <c r="L81" s="31" t="s">
        <v>377</v>
      </c>
      <c r="M81" s="31" t="s">
        <v>377</v>
      </c>
      <c r="N81" s="31" t="s">
        <v>377</v>
      </c>
      <c r="O81" s="31" t="s">
        <v>377</v>
      </c>
    </row>
    <row r="82" spans="1:15" s="32" customFormat="1" ht="12.75" x14ac:dyDescent="0.2">
      <c r="A82" s="25" t="s">
        <v>287</v>
      </c>
      <c r="B82" s="26" t="s">
        <v>31</v>
      </c>
      <c r="C82" s="27" t="s">
        <v>196</v>
      </c>
      <c r="D82" s="28" t="s">
        <v>197</v>
      </c>
      <c r="E82" s="29" t="s">
        <v>242</v>
      </c>
      <c r="F82" s="29">
        <v>2</v>
      </c>
      <c r="G82" s="30">
        <v>68.819999999999993</v>
      </c>
      <c r="H82" s="30">
        <f t="shared" si="0"/>
        <v>137.63999999999999</v>
      </c>
      <c r="I82" s="31">
        <f t="shared" si="4"/>
        <v>174.02</v>
      </c>
      <c r="J82" s="31" t="s">
        <v>377</v>
      </c>
      <c r="K82" s="31">
        <v>174.02</v>
      </c>
      <c r="L82" s="31" t="s">
        <v>377</v>
      </c>
      <c r="M82" s="31" t="s">
        <v>377</v>
      </c>
      <c r="N82" s="31" t="s">
        <v>377</v>
      </c>
      <c r="O82" s="31" t="s">
        <v>377</v>
      </c>
    </row>
    <row r="83" spans="1:15" s="32" customFormat="1" ht="12.75" x14ac:dyDescent="0.2">
      <c r="A83" s="25" t="s">
        <v>288</v>
      </c>
      <c r="B83" s="26" t="s">
        <v>31</v>
      </c>
      <c r="C83" s="27" t="s">
        <v>194</v>
      </c>
      <c r="D83" s="28" t="s">
        <v>195</v>
      </c>
      <c r="E83" s="29" t="s">
        <v>242</v>
      </c>
      <c r="F83" s="29">
        <v>2</v>
      </c>
      <c r="G83" s="30">
        <v>77</v>
      </c>
      <c r="H83" s="30">
        <f t="shared" si="0"/>
        <v>154</v>
      </c>
      <c r="I83" s="31">
        <f t="shared" si="4"/>
        <v>194.7</v>
      </c>
      <c r="J83" s="31" t="s">
        <v>377</v>
      </c>
      <c r="K83" s="31">
        <v>194.7</v>
      </c>
      <c r="L83" s="31" t="s">
        <v>377</v>
      </c>
      <c r="M83" s="31" t="s">
        <v>377</v>
      </c>
      <c r="N83" s="31" t="s">
        <v>377</v>
      </c>
      <c r="O83" s="31" t="s">
        <v>377</v>
      </c>
    </row>
    <row r="84" spans="1:15" s="32" customFormat="1" ht="12.75" x14ac:dyDescent="0.2">
      <c r="A84" s="25" t="s">
        <v>289</v>
      </c>
      <c r="B84" s="26" t="s">
        <v>31</v>
      </c>
      <c r="C84" s="27" t="s">
        <v>198</v>
      </c>
      <c r="D84" s="28" t="s">
        <v>199</v>
      </c>
      <c r="E84" s="29" t="s">
        <v>242</v>
      </c>
      <c r="F84" s="29">
        <v>2</v>
      </c>
      <c r="G84" s="30">
        <v>67.11</v>
      </c>
      <c r="H84" s="30">
        <f t="shared" si="0"/>
        <v>134.22</v>
      </c>
      <c r="I84" s="31">
        <f t="shared" si="4"/>
        <v>169.69</v>
      </c>
      <c r="J84" s="31" t="s">
        <v>377</v>
      </c>
      <c r="K84" s="31">
        <v>169.69</v>
      </c>
      <c r="L84" s="31" t="s">
        <v>377</v>
      </c>
      <c r="M84" s="31" t="s">
        <v>377</v>
      </c>
      <c r="N84" s="31" t="s">
        <v>377</v>
      </c>
      <c r="O84" s="31" t="s">
        <v>377</v>
      </c>
    </row>
    <row r="85" spans="1:15" s="32" customFormat="1" ht="12.75" x14ac:dyDescent="0.2">
      <c r="A85" s="25" t="s">
        <v>300</v>
      </c>
      <c r="B85" s="26" t="s">
        <v>31</v>
      </c>
      <c r="C85" s="27" t="s">
        <v>168</v>
      </c>
      <c r="D85" s="28" t="s">
        <v>169</v>
      </c>
      <c r="E85" s="29" t="s">
        <v>242</v>
      </c>
      <c r="F85" s="29">
        <v>2</v>
      </c>
      <c r="G85" s="30">
        <v>1740.23</v>
      </c>
      <c r="H85" s="30">
        <f t="shared" si="0"/>
        <v>3480.46</v>
      </c>
      <c r="I85" s="31">
        <f t="shared" si="4"/>
        <v>4400.3500000000004</v>
      </c>
      <c r="J85" s="31" t="s">
        <v>377</v>
      </c>
      <c r="K85" s="31">
        <v>4400.3500000000004</v>
      </c>
      <c r="L85" s="31" t="s">
        <v>377</v>
      </c>
      <c r="M85" s="31" t="s">
        <v>377</v>
      </c>
      <c r="N85" s="31" t="s">
        <v>377</v>
      </c>
      <c r="O85" s="31" t="s">
        <v>377</v>
      </c>
    </row>
    <row r="86" spans="1:15" s="32" customFormat="1" ht="12.75" x14ac:dyDescent="0.2">
      <c r="A86" s="25" t="s">
        <v>301</v>
      </c>
      <c r="B86" s="26" t="s">
        <v>31</v>
      </c>
      <c r="C86" s="27" t="s">
        <v>200</v>
      </c>
      <c r="D86" s="28" t="s">
        <v>201</v>
      </c>
      <c r="E86" s="29" t="s">
        <v>242</v>
      </c>
      <c r="F86" s="29">
        <v>2</v>
      </c>
      <c r="G86" s="30">
        <v>376.51</v>
      </c>
      <c r="H86" s="30">
        <f t="shared" si="0"/>
        <v>753.02</v>
      </c>
      <c r="I86" s="31">
        <f t="shared" si="4"/>
        <v>952.04</v>
      </c>
      <c r="J86" s="31" t="s">
        <v>377</v>
      </c>
      <c r="K86" s="31">
        <v>952.04</v>
      </c>
      <c r="L86" s="31" t="s">
        <v>377</v>
      </c>
      <c r="M86" s="31" t="s">
        <v>377</v>
      </c>
      <c r="N86" s="31" t="s">
        <v>377</v>
      </c>
      <c r="O86" s="31" t="s">
        <v>377</v>
      </c>
    </row>
    <row r="87" spans="1:15" s="32" customFormat="1" ht="12.75" x14ac:dyDescent="0.2">
      <c r="A87" s="25" t="s">
        <v>302</v>
      </c>
      <c r="B87" s="26" t="s">
        <v>31</v>
      </c>
      <c r="C87" s="27" t="s">
        <v>170</v>
      </c>
      <c r="D87" s="28" t="s">
        <v>171</v>
      </c>
      <c r="E87" s="29" t="s">
        <v>242</v>
      </c>
      <c r="F87" s="29">
        <v>2</v>
      </c>
      <c r="G87" s="30">
        <v>1271.42</v>
      </c>
      <c r="H87" s="30">
        <f t="shared" si="0"/>
        <v>2542.84</v>
      </c>
      <c r="I87" s="31">
        <f t="shared" si="4"/>
        <v>3214.91</v>
      </c>
      <c r="J87" s="31" t="s">
        <v>377</v>
      </c>
      <c r="K87" s="31">
        <v>3214.91</v>
      </c>
      <c r="L87" s="31" t="s">
        <v>377</v>
      </c>
      <c r="M87" s="31" t="s">
        <v>377</v>
      </c>
      <c r="N87" s="31" t="s">
        <v>377</v>
      </c>
      <c r="O87" s="31" t="s">
        <v>377</v>
      </c>
    </row>
    <row r="88" spans="1:15" s="32" customFormat="1" ht="12.75" x14ac:dyDescent="0.2">
      <c r="A88" s="25" t="s">
        <v>303</v>
      </c>
      <c r="B88" s="26" t="s">
        <v>31</v>
      </c>
      <c r="C88" s="27" t="s">
        <v>202</v>
      </c>
      <c r="D88" s="28" t="s">
        <v>203</v>
      </c>
      <c r="E88" s="29" t="s">
        <v>242</v>
      </c>
      <c r="F88" s="29">
        <v>2</v>
      </c>
      <c r="G88" s="30">
        <v>40.97</v>
      </c>
      <c r="H88" s="30">
        <f t="shared" si="0"/>
        <v>81.94</v>
      </c>
      <c r="I88" s="31">
        <f t="shared" si="4"/>
        <v>103.6</v>
      </c>
      <c r="J88" s="31" t="s">
        <v>377</v>
      </c>
      <c r="K88" s="31">
        <v>103.6</v>
      </c>
      <c r="L88" s="31" t="s">
        <v>377</v>
      </c>
      <c r="M88" s="31" t="s">
        <v>377</v>
      </c>
      <c r="N88" s="31" t="s">
        <v>377</v>
      </c>
      <c r="O88" s="31" t="s">
        <v>377</v>
      </c>
    </row>
    <row r="89" spans="1:15" s="32" customFormat="1" ht="12.75" x14ac:dyDescent="0.2">
      <c r="A89" s="25" t="s">
        <v>340</v>
      </c>
      <c r="B89" s="26" t="s">
        <v>31</v>
      </c>
      <c r="C89" s="27" t="s">
        <v>164</v>
      </c>
      <c r="D89" s="28" t="s">
        <v>165</v>
      </c>
      <c r="E89" s="29" t="s">
        <v>242</v>
      </c>
      <c r="F89" s="29">
        <v>4</v>
      </c>
      <c r="G89" s="30">
        <v>221.34</v>
      </c>
      <c r="H89" s="30">
        <f t="shared" si="0"/>
        <v>885.36</v>
      </c>
      <c r="I89" s="31">
        <f t="shared" si="4"/>
        <v>1119.3599999999999</v>
      </c>
      <c r="J89" s="31" t="s">
        <v>377</v>
      </c>
      <c r="K89" s="31">
        <v>1119.3599999999999</v>
      </c>
      <c r="L89" s="31" t="s">
        <v>377</v>
      </c>
      <c r="M89" s="31" t="s">
        <v>377</v>
      </c>
      <c r="N89" s="31" t="s">
        <v>377</v>
      </c>
      <c r="O89" s="31" t="s">
        <v>377</v>
      </c>
    </row>
    <row r="90" spans="1:15" s="32" customFormat="1" ht="25.5" x14ac:dyDescent="0.2">
      <c r="A90" s="25" t="s">
        <v>341</v>
      </c>
      <c r="B90" s="26" t="s">
        <v>31</v>
      </c>
      <c r="C90" s="27" t="s">
        <v>166</v>
      </c>
      <c r="D90" s="28" t="s">
        <v>167</v>
      </c>
      <c r="E90" s="29" t="s">
        <v>242</v>
      </c>
      <c r="F90" s="29">
        <v>2</v>
      </c>
      <c r="G90" s="30">
        <v>186.41</v>
      </c>
      <c r="H90" s="30">
        <f t="shared" si="0"/>
        <v>372.82</v>
      </c>
      <c r="I90" s="31">
        <f t="shared" si="4"/>
        <v>471.36</v>
      </c>
      <c r="J90" s="31" t="s">
        <v>377</v>
      </c>
      <c r="K90" s="31">
        <v>471.36</v>
      </c>
      <c r="L90" s="31" t="s">
        <v>377</v>
      </c>
      <c r="M90" s="31" t="s">
        <v>377</v>
      </c>
      <c r="N90" s="31" t="s">
        <v>377</v>
      </c>
      <c r="O90" s="31" t="s">
        <v>377</v>
      </c>
    </row>
    <row r="91" spans="1:15" s="32" customFormat="1" ht="12.75" x14ac:dyDescent="0.2">
      <c r="A91" s="25" t="s">
        <v>364</v>
      </c>
      <c r="B91" s="26" t="s">
        <v>31</v>
      </c>
      <c r="C91" s="27" t="s">
        <v>367</v>
      </c>
      <c r="D91" s="28" t="s">
        <v>366</v>
      </c>
      <c r="E91" s="29" t="s">
        <v>76</v>
      </c>
      <c r="F91" s="29">
        <f>+(4+2.4)*2.7</f>
        <v>17.28</v>
      </c>
      <c r="G91" s="30">
        <f>+'Composição 1'!H19</f>
        <v>304.99</v>
      </c>
      <c r="H91" s="30">
        <f t="shared" ref="H91" si="5">ROUND(F91*G91,2)</f>
        <v>5270.23</v>
      </c>
      <c r="I91" s="31">
        <f t="shared" si="4"/>
        <v>6663.15</v>
      </c>
      <c r="J91" s="31" t="s">
        <v>377</v>
      </c>
      <c r="K91" s="31">
        <v>6663.15</v>
      </c>
      <c r="L91" s="31" t="s">
        <v>377</v>
      </c>
      <c r="M91" s="31" t="s">
        <v>377</v>
      </c>
      <c r="N91" s="31" t="s">
        <v>377</v>
      </c>
      <c r="O91" s="31" t="s">
        <v>377</v>
      </c>
    </row>
    <row r="92" spans="1:15" s="32" customFormat="1" ht="12.75" x14ac:dyDescent="0.2">
      <c r="A92" s="127"/>
      <c r="B92" s="127"/>
      <c r="C92" s="128"/>
      <c r="D92" s="129"/>
      <c r="E92" s="130"/>
      <c r="F92" s="130"/>
      <c r="G92" s="131" t="s">
        <v>25</v>
      </c>
      <c r="H92" s="131">
        <f>SUM(H68:H90)</f>
        <v>176366.92</v>
      </c>
      <c r="I92" s="132">
        <f>SUM(I68:I90)</f>
        <v>222980.69999999998</v>
      </c>
      <c r="J92" s="132"/>
      <c r="K92" s="132">
        <v>222980.69999999998</v>
      </c>
      <c r="L92" s="132"/>
      <c r="M92" s="132"/>
      <c r="N92" s="132"/>
      <c r="O92" s="132"/>
    </row>
    <row r="93" spans="1:15" s="32" customFormat="1" ht="12.75" x14ac:dyDescent="0.2">
      <c r="A93" s="134">
        <v>6</v>
      </c>
      <c r="B93" s="134"/>
      <c r="C93" s="135"/>
      <c r="D93" s="136" t="s">
        <v>290</v>
      </c>
      <c r="E93" s="137"/>
      <c r="F93" s="137"/>
      <c r="G93" s="138"/>
      <c r="H93" s="138"/>
      <c r="I93" s="139"/>
      <c r="J93" s="139"/>
      <c r="K93" s="139"/>
      <c r="L93" s="139"/>
      <c r="M93" s="139"/>
      <c r="N93" s="139"/>
      <c r="O93" s="139"/>
    </row>
    <row r="94" spans="1:15" s="32" customFormat="1" ht="12.75" x14ac:dyDescent="0.2">
      <c r="A94" s="142" t="s">
        <v>291</v>
      </c>
      <c r="B94" s="142" t="s">
        <v>31</v>
      </c>
      <c r="C94" s="143" t="s">
        <v>90</v>
      </c>
      <c r="D94" s="144" t="s">
        <v>91</v>
      </c>
      <c r="E94" s="145" t="s">
        <v>227</v>
      </c>
      <c r="F94" s="145">
        <v>30</v>
      </c>
      <c r="G94" s="146">
        <v>233.09</v>
      </c>
      <c r="H94" s="30">
        <f t="shared" ref="H94:H130" si="6">ROUND(F94*G94,2)</f>
        <v>6992.7</v>
      </c>
      <c r="I94" s="31">
        <f t="shared" ref="I94:O106" si="7">ROUND(F94*G94*(1+$I$142/100),2)</f>
        <v>8840.8700000000008</v>
      </c>
      <c r="J94" s="31" t="s">
        <v>377</v>
      </c>
      <c r="K94" s="31" t="s">
        <v>377</v>
      </c>
      <c r="L94" s="31">
        <v>8840.8700000000008</v>
      </c>
      <c r="M94" s="31" t="s">
        <v>377</v>
      </c>
      <c r="N94" s="31" t="s">
        <v>377</v>
      </c>
      <c r="O94" s="31" t="s">
        <v>377</v>
      </c>
    </row>
    <row r="95" spans="1:15" s="32" customFormat="1" ht="25.5" x14ac:dyDescent="0.2">
      <c r="A95" s="142" t="s">
        <v>292</v>
      </c>
      <c r="B95" s="142" t="s">
        <v>31</v>
      </c>
      <c r="C95" s="143" t="s">
        <v>115</v>
      </c>
      <c r="D95" s="144" t="s">
        <v>228</v>
      </c>
      <c r="E95" s="145" t="s">
        <v>227</v>
      </c>
      <c r="F95" s="145">
        <v>30</v>
      </c>
      <c r="G95" s="146">
        <v>111.74</v>
      </c>
      <c r="H95" s="30">
        <f t="shared" si="6"/>
        <v>3352.2</v>
      </c>
      <c r="I95" s="31">
        <f t="shared" si="7"/>
        <v>4238.1899999999996</v>
      </c>
      <c r="J95" s="31" t="s">
        <v>377</v>
      </c>
      <c r="K95" s="31" t="s">
        <v>377</v>
      </c>
      <c r="L95" s="31">
        <v>4238.1899999999996</v>
      </c>
      <c r="M95" s="31" t="s">
        <v>377</v>
      </c>
      <c r="N95" s="31" t="s">
        <v>377</v>
      </c>
      <c r="O95" s="31" t="s">
        <v>377</v>
      </c>
    </row>
    <row r="96" spans="1:15" s="32" customFormat="1" ht="12.75" x14ac:dyDescent="0.2">
      <c r="A96" s="142" t="s">
        <v>293</v>
      </c>
      <c r="B96" s="142" t="s">
        <v>31</v>
      </c>
      <c r="C96" s="27" t="s">
        <v>124</v>
      </c>
      <c r="D96" s="28" t="s">
        <v>125</v>
      </c>
      <c r="E96" s="29" t="s">
        <v>222</v>
      </c>
      <c r="F96" s="29">
        <v>27</v>
      </c>
      <c r="G96" s="30">
        <v>83.66</v>
      </c>
      <c r="H96" s="30">
        <f t="shared" si="6"/>
        <v>2258.8200000000002</v>
      </c>
      <c r="I96" s="31">
        <f t="shared" si="7"/>
        <v>2855.83</v>
      </c>
      <c r="J96" s="31" t="s">
        <v>377</v>
      </c>
      <c r="K96" s="31" t="s">
        <v>377</v>
      </c>
      <c r="L96" s="31">
        <v>2855.83</v>
      </c>
      <c r="M96" s="31" t="s">
        <v>377</v>
      </c>
      <c r="N96" s="31" t="s">
        <v>377</v>
      </c>
      <c r="O96" s="31" t="s">
        <v>377</v>
      </c>
    </row>
    <row r="97" spans="1:15" s="32" customFormat="1" ht="12.75" x14ac:dyDescent="0.2">
      <c r="A97" s="142" t="s">
        <v>294</v>
      </c>
      <c r="B97" s="142" t="s">
        <v>31</v>
      </c>
      <c r="C97" s="27" t="s">
        <v>133</v>
      </c>
      <c r="D97" s="28" t="s">
        <v>134</v>
      </c>
      <c r="E97" s="29" t="s">
        <v>222</v>
      </c>
      <c r="F97" s="29">
        <v>54</v>
      </c>
      <c r="G97" s="30">
        <v>7.44</v>
      </c>
      <c r="H97" s="30">
        <f t="shared" si="6"/>
        <v>401.76</v>
      </c>
      <c r="I97" s="31">
        <f t="shared" si="7"/>
        <v>507.95</v>
      </c>
      <c r="J97" s="31" t="s">
        <v>377</v>
      </c>
      <c r="K97" s="31" t="s">
        <v>377</v>
      </c>
      <c r="L97" s="31">
        <v>507.95</v>
      </c>
      <c r="M97" s="31" t="s">
        <v>377</v>
      </c>
      <c r="N97" s="31" t="s">
        <v>377</v>
      </c>
      <c r="O97" s="31" t="s">
        <v>377</v>
      </c>
    </row>
    <row r="98" spans="1:15" s="32" customFormat="1" ht="12.75" x14ac:dyDescent="0.2">
      <c r="A98" s="142" t="s">
        <v>295</v>
      </c>
      <c r="B98" s="142" t="s">
        <v>31</v>
      </c>
      <c r="C98" s="27" t="s">
        <v>135</v>
      </c>
      <c r="D98" s="28" t="s">
        <v>136</v>
      </c>
      <c r="E98" s="29" t="s">
        <v>222</v>
      </c>
      <c r="F98" s="29">
        <v>54</v>
      </c>
      <c r="G98" s="30">
        <v>23.79</v>
      </c>
      <c r="H98" s="30">
        <f t="shared" si="6"/>
        <v>1284.6600000000001</v>
      </c>
      <c r="I98" s="31">
        <f t="shared" si="7"/>
        <v>1624.2</v>
      </c>
      <c r="J98" s="31" t="s">
        <v>377</v>
      </c>
      <c r="K98" s="31" t="s">
        <v>377</v>
      </c>
      <c r="L98" s="31">
        <v>1624.2</v>
      </c>
      <c r="M98" s="31" t="s">
        <v>377</v>
      </c>
      <c r="N98" s="31" t="s">
        <v>377</v>
      </c>
      <c r="O98" s="31" t="s">
        <v>377</v>
      </c>
    </row>
    <row r="99" spans="1:15" s="32" customFormat="1" ht="12.75" x14ac:dyDescent="0.2">
      <c r="A99" s="142" t="s">
        <v>296</v>
      </c>
      <c r="B99" s="142" t="s">
        <v>31</v>
      </c>
      <c r="C99" s="27" t="s">
        <v>120</v>
      </c>
      <c r="D99" s="28" t="s">
        <v>121</v>
      </c>
      <c r="E99" s="29" t="s">
        <v>78</v>
      </c>
      <c r="F99" s="29">
        <v>70</v>
      </c>
      <c r="G99" s="30">
        <v>9.9499999999999993</v>
      </c>
      <c r="H99" s="30">
        <f t="shared" si="6"/>
        <v>696.5</v>
      </c>
      <c r="I99" s="31">
        <f t="shared" si="7"/>
        <v>880.58</v>
      </c>
      <c r="J99" s="31" t="s">
        <v>377</v>
      </c>
      <c r="K99" s="31" t="s">
        <v>377</v>
      </c>
      <c r="L99" s="31">
        <v>880.58</v>
      </c>
      <c r="M99" s="31" t="s">
        <v>377</v>
      </c>
      <c r="N99" s="31" t="s">
        <v>377</v>
      </c>
      <c r="O99" s="31" t="s">
        <v>377</v>
      </c>
    </row>
    <row r="100" spans="1:15" s="32" customFormat="1" ht="12.75" x14ac:dyDescent="0.2">
      <c r="A100" s="142" t="s">
        <v>297</v>
      </c>
      <c r="B100" s="142" t="s">
        <v>31</v>
      </c>
      <c r="C100" s="27" t="s">
        <v>137</v>
      </c>
      <c r="D100" s="28" t="s">
        <v>138</v>
      </c>
      <c r="E100" s="29" t="s">
        <v>222</v>
      </c>
      <c r="F100" s="29">
        <v>54</v>
      </c>
      <c r="G100" s="30">
        <v>13.77</v>
      </c>
      <c r="H100" s="30">
        <f t="shared" si="6"/>
        <v>743.58</v>
      </c>
      <c r="I100" s="31">
        <f t="shared" si="7"/>
        <v>940.11</v>
      </c>
      <c r="J100" s="31" t="s">
        <v>377</v>
      </c>
      <c r="K100" s="31" t="s">
        <v>377</v>
      </c>
      <c r="L100" s="31">
        <v>940.11</v>
      </c>
      <c r="M100" s="31" t="s">
        <v>377</v>
      </c>
      <c r="N100" s="31" t="s">
        <v>377</v>
      </c>
      <c r="O100" s="31" t="s">
        <v>377</v>
      </c>
    </row>
    <row r="101" spans="1:15" s="32" customFormat="1" ht="12.75" x14ac:dyDescent="0.2">
      <c r="A101" s="142" t="s">
        <v>298</v>
      </c>
      <c r="B101" s="142" t="s">
        <v>31</v>
      </c>
      <c r="C101" s="27" t="s">
        <v>176</v>
      </c>
      <c r="D101" s="28" t="s">
        <v>177</v>
      </c>
      <c r="E101" s="29" t="s">
        <v>222</v>
      </c>
      <c r="F101" s="29">
        <v>54</v>
      </c>
      <c r="G101" s="30">
        <v>149.44</v>
      </c>
      <c r="H101" s="30">
        <f t="shared" si="6"/>
        <v>8069.76</v>
      </c>
      <c r="I101" s="31">
        <f t="shared" si="7"/>
        <v>10202.6</v>
      </c>
      <c r="J101" s="31" t="s">
        <v>377</v>
      </c>
      <c r="K101" s="31" t="s">
        <v>377</v>
      </c>
      <c r="L101" s="31">
        <v>10202.6</v>
      </c>
      <c r="M101" s="31" t="s">
        <v>377</v>
      </c>
      <c r="N101" s="31" t="s">
        <v>377</v>
      </c>
      <c r="O101" s="31" t="s">
        <v>377</v>
      </c>
    </row>
    <row r="102" spans="1:15" s="32" customFormat="1" ht="12.75" x14ac:dyDescent="0.2">
      <c r="A102" s="142" t="s">
        <v>299</v>
      </c>
      <c r="B102" s="26" t="s">
        <v>31</v>
      </c>
      <c r="C102" s="27" t="s">
        <v>154</v>
      </c>
      <c r="D102" s="28" t="s">
        <v>155</v>
      </c>
      <c r="E102" s="29" t="s">
        <v>242</v>
      </c>
      <c r="F102" s="29">
        <v>2</v>
      </c>
      <c r="G102" s="30">
        <v>670.25</v>
      </c>
      <c r="H102" s="30">
        <f t="shared" si="6"/>
        <v>1340.5</v>
      </c>
      <c r="I102" s="31">
        <f t="shared" si="7"/>
        <v>1694.79</v>
      </c>
      <c r="J102" s="31" t="s">
        <v>377</v>
      </c>
      <c r="K102" s="31" t="s">
        <v>377</v>
      </c>
      <c r="L102" s="31">
        <v>1694.79</v>
      </c>
      <c r="M102" s="31" t="s">
        <v>377</v>
      </c>
      <c r="N102" s="31" t="s">
        <v>377</v>
      </c>
      <c r="O102" s="31" t="s">
        <v>377</v>
      </c>
    </row>
    <row r="103" spans="1:15" s="32" customFormat="1" ht="12.75" x14ac:dyDescent="0.2">
      <c r="A103" s="142" t="s">
        <v>331</v>
      </c>
      <c r="B103" s="26" t="s">
        <v>31</v>
      </c>
      <c r="C103" s="27" t="s">
        <v>104</v>
      </c>
      <c r="D103" s="28" t="s">
        <v>284</v>
      </c>
      <c r="E103" s="29" t="s">
        <v>75</v>
      </c>
      <c r="F103" s="29">
        <v>6</v>
      </c>
      <c r="G103" s="30">
        <v>14.1</v>
      </c>
      <c r="H103" s="30">
        <f t="shared" si="6"/>
        <v>84.6</v>
      </c>
      <c r="I103" s="31">
        <f t="shared" si="7"/>
        <v>106.96</v>
      </c>
      <c r="J103" s="31" t="s">
        <v>377</v>
      </c>
      <c r="K103" s="31" t="s">
        <v>377</v>
      </c>
      <c r="L103" s="31">
        <v>106.96</v>
      </c>
      <c r="M103" s="31" t="s">
        <v>377</v>
      </c>
      <c r="N103" s="31" t="s">
        <v>377</v>
      </c>
      <c r="O103" s="31" t="s">
        <v>377</v>
      </c>
    </row>
    <row r="104" spans="1:15" s="32" customFormat="1" ht="12.75" x14ac:dyDescent="0.2">
      <c r="A104" s="142" t="s">
        <v>332</v>
      </c>
      <c r="B104" s="26" t="s">
        <v>31</v>
      </c>
      <c r="C104" s="27" t="s">
        <v>102</v>
      </c>
      <c r="D104" s="28" t="s">
        <v>103</v>
      </c>
      <c r="E104" s="29" t="s">
        <v>242</v>
      </c>
      <c r="F104" s="29">
        <v>2</v>
      </c>
      <c r="G104" s="30">
        <v>23.5</v>
      </c>
      <c r="H104" s="30">
        <f t="shared" si="6"/>
        <v>47</v>
      </c>
      <c r="I104" s="31">
        <f t="shared" si="7"/>
        <v>59.42</v>
      </c>
      <c r="J104" s="31" t="s">
        <v>377</v>
      </c>
      <c r="K104" s="31" t="s">
        <v>377</v>
      </c>
      <c r="L104" s="31">
        <v>59.42</v>
      </c>
      <c r="M104" s="31" t="s">
        <v>377</v>
      </c>
      <c r="N104" s="31" t="s">
        <v>377</v>
      </c>
      <c r="O104" s="31" t="s">
        <v>377</v>
      </c>
    </row>
    <row r="105" spans="1:15" s="32" customFormat="1" ht="12.75" x14ac:dyDescent="0.2">
      <c r="A105" s="142" t="s">
        <v>333</v>
      </c>
      <c r="B105" s="26" t="s">
        <v>31</v>
      </c>
      <c r="C105" s="27" t="s">
        <v>159</v>
      </c>
      <c r="D105" s="28" t="s">
        <v>254</v>
      </c>
      <c r="E105" s="29" t="s">
        <v>222</v>
      </c>
      <c r="F105" s="29">
        <v>7</v>
      </c>
      <c r="G105" s="30">
        <v>553.85</v>
      </c>
      <c r="H105" s="30">
        <f t="shared" si="6"/>
        <v>3876.95</v>
      </c>
      <c r="I105" s="31">
        <f t="shared" si="7"/>
        <v>4901.63</v>
      </c>
      <c r="J105" s="31" t="s">
        <v>377</v>
      </c>
      <c r="K105" s="31" t="s">
        <v>377</v>
      </c>
      <c r="L105" s="31">
        <v>4901.63</v>
      </c>
      <c r="M105" s="31" t="s">
        <v>377</v>
      </c>
      <c r="N105" s="31" t="s">
        <v>377</v>
      </c>
      <c r="O105" s="31" t="s">
        <v>377</v>
      </c>
    </row>
    <row r="106" spans="1:15" s="32" customFormat="1" ht="12.75" x14ac:dyDescent="0.2">
      <c r="A106" s="142" t="s">
        <v>334</v>
      </c>
      <c r="B106" s="26" t="s">
        <v>31</v>
      </c>
      <c r="C106" s="27" t="s">
        <v>162</v>
      </c>
      <c r="D106" s="28" t="s">
        <v>163</v>
      </c>
      <c r="E106" s="29" t="s">
        <v>80</v>
      </c>
      <c r="F106" s="29">
        <v>1</v>
      </c>
      <c r="G106" s="30">
        <v>16635.88</v>
      </c>
      <c r="H106" s="30">
        <f t="shared" si="6"/>
        <v>16635.88</v>
      </c>
      <c r="I106" s="31">
        <f t="shared" si="7"/>
        <v>21032.74</v>
      </c>
      <c r="J106" s="31" t="s">
        <v>377</v>
      </c>
      <c r="K106" s="31" t="s">
        <v>377</v>
      </c>
      <c r="L106" s="31">
        <v>21032.74</v>
      </c>
      <c r="M106" s="31" t="s">
        <v>377</v>
      </c>
      <c r="N106" s="31" t="s">
        <v>377</v>
      </c>
      <c r="O106" s="31" t="s">
        <v>377</v>
      </c>
    </row>
    <row r="107" spans="1:15" s="32" customFormat="1" ht="12.75" x14ac:dyDescent="0.2">
      <c r="A107" s="127"/>
      <c r="B107" s="127"/>
      <c r="C107" s="128"/>
      <c r="D107" s="129"/>
      <c r="E107" s="130"/>
      <c r="F107" s="130"/>
      <c r="G107" s="131" t="s">
        <v>25</v>
      </c>
      <c r="H107" s="131">
        <f>SUM(H94:H106)</f>
        <v>45784.91</v>
      </c>
      <c r="I107" s="132">
        <f>SUM(I94:I106)</f>
        <v>57885.869999999995</v>
      </c>
      <c r="J107" s="132"/>
      <c r="K107" s="132"/>
      <c r="L107" s="132">
        <v>57885.869999999995</v>
      </c>
      <c r="M107" s="132"/>
      <c r="N107" s="132"/>
      <c r="O107" s="132"/>
    </row>
    <row r="108" spans="1:15" s="32" customFormat="1" ht="12.75" x14ac:dyDescent="0.2">
      <c r="A108" s="134">
        <v>7</v>
      </c>
      <c r="B108" s="134"/>
      <c r="C108" s="135"/>
      <c r="D108" s="136" t="s">
        <v>304</v>
      </c>
      <c r="E108" s="137"/>
      <c r="F108" s="137"/>
      <c r="G108" s="138"/>
      <c r="H108" s="140"/>
      <c r="I108" s="141"/>
      <c r="J108" s="141"/>
      <c r="K108" s="141"/>
      <c r="L108" s="141"/>
      <c r="M108" s="141"/>
      <c r="N108" s="141"/>
      <c r="O108" s="141"/>
    </row>
    <row r="109" spans="1:15" s="32" customFormat="1" ht="12.75" x14ac:dyDescent="0.2">
      <c r="A109" s="26" t="s">
        <v>306</v>
      </c>
      <c r="B109" s="26" t="s">
        <v>31</v>
      </c>
      <c r="C109" s="27" t="s">
        <v>90</v>
      </c>
      <c r="D109" s="28" t="s">
        <v>91</v>
      </c>
      <c r="E109" s="29" t="s">
        <v>227</v>
      </c>
      <c r="F109" s="29">
        <v>6</v>
      </c>
      <c r="G109" s="30">
        <v>233.09</v>
      </c>
      <c r="H109" s="30">
        <f t="shared" si="6"/>
        <v>1398.54</v>
      </c>
      <c r="I109" s="31">
        <f t="shared" ref="I109:O119" si="8">ROUND(F109*G109*(1+$I$142/100),2)</f>
        <v>1768.17</v>
      </c>
      <c r="J109" s="31" t="s">
        <v>377</v>
      </c>
      <c r="K109" s="31" t="s">
        <v>377</v>
      </c>
      <c r="L109" s="31" t="s">
        <v>377</v>
      </c>
      <c r="M109" s="31">
        <v>1768.17</v>
      </c>
      <c r="N109" s="31" t="s">
        <v>377</v>
      </c>
      <c r="O109" s="31" t="s">
        <v>377</v>
      </c>
    </row>
    <row r="110" spans="1:15" s="32" customFormat="1" ht="12.75" x14ac:dyDescent="0.2">
      <c r="A110" s="26" t="s">
        <v>308</v>
      </c>
      <c r="B110" s="26"/>
      <c r="C110" s="27" t="s">
        <v>96</v>
      </c>
      <c r="D110" s="28" t="s">
        <v>97</v>
      </c>
      <c r="E110" s="29" t="s">
        <v>222</v>
      </c>
      <c r="F110" s="29">
        <v>200</v>
      </c>
      <c r="G110" s="30">
        <v>12.71</v>
      </c>
      <c r="H110" s="30">
        <f t="shared" si="6"/>
        <v>2542</v>
      </c>
      <c r="I110" s="31">
        <f t="shared" si="8"/>
        <v>3213.85</v>
      </c>
      <c r="J110" s="31" t="s">
        <v>377</v>
      </c>
      <c r="K110" s="31" t="s">
        <v>377</v>
      </c>
      <c r="L110" s="31" t="s">
        <v>377</v>
      </c>
      <c r="M110" s="31">
        <v>3213.85</v>
      </c>
      <c r="N110" s="31" t="s">
        <v>377</v>
      </c>
      <c r="O110" s="31" t="s">
        <v>377</v>
      </c>
    </row>
    <row r="111" spans="1:15" s="32" customFormat="1" ht="25.5" x14ac:dyDescent="0.2">
      <c r="A111" s="26" t="s">
        <v>309</v>
      </c>
      <c r="B111" s="26" t="s">
        <v>31</v>
      </c>
      <c r="C111" s="27" t="s">
        <v>115</v>
      </c>
      <c r="D111" s="28" t="s">
        <v>228</v>
      </c>
      <c r="E111" s="29" t="s">
        <v>227</v>
      </c>
      <c r="F111" s="29">
        <v>28</v>
      </c>
      <c r="G111" s="30">
        <v>111.74</v>
      </c>
      <c r="H111" s="30">
        <f t="shared" si="6"/>
        <v>3128.72</v>
      </c>
      <c r="I111" s="31">
        <f t="shared" si="8"/>
        <v>3955.64</v>
      </c>
      <c r="J111" s="31" t="s">
        <v>377</v>
      </c>
      <c r="K111" s="31" t="s">
        <v>377</v>
      </c>
      <c r="L111" s="31" t="s">
        <v>377</v>
      </c>
      <c r="M111" s="31">
        <v>3955.64</v>
      </c>
      <c r="N111" s="31" t="s">
        <v>377</v>
      </c>
      <c r="O111" s="31" t="s">
        <v>377</v>
      </c>
    </row>
    <row r="112" spans="1:15" s="32" customFormat="1" ht="12.75" x14ac:dyDescent="0.2">
      <c r="A112" s="26" t="s">
        <v>310</v>
      </c>
      <c r="B112" s="26" t="s">
        <v>31</v>
      </c>
      <c r="C112" s="27" t="s">
        <v>113</v>
      </c>
      <c r="D112" s="28" t="s">
        <v>114</v>
      </c>
      <c r="E112" s="29" t="s">
        <v>222</v>
      </c>
      <c r="F112" s="29">
        <f>2*2.1</f>
        <v>4.2</v>
      </c>
      <c r="G112" s="30">
        <v>46.98</v>
      </c>
      <c r="H112" s="30">
        <f t="shared" si="6"/>
        <v>197.32</v>
      </c>
      <c r="I112" s="31">
        <f t="shared" si="8"/>
        <v>249.47</v>
      </c>
      <c r="J112" s="31" t="s">
        <v>377</v>
      </c>
      <c r="K112" s="31" t="s">
        <v>377</v>
      </c>
      <c r="L112" s="31" t="s">
        <v>377</v>
      </c>
      <c r="M112" s="31">
        <v>249.47</v>
      </c>
      <c r="N112" s="31" t="s">
        <v>377</v>
      </c>
      <c r="O112" s="31" t="s">
        <v>377</v>
      </c>
    </row>
    <row r="113" spans="1:15" s="32" customFormat="1" ht="12.75" x14ac:dyDescent="0.2">
      <c r="A113" s="26" t="s">
        <v>315</v>
      </c>
      <c r="B113" s="26" t="s">
        <v>31</v>
      </c>
      <c r="C113" s="27" t="s">
        <v>159</v>
      </c>
      <c r="D113" s="28" t="s">
        <v>254</v>
      </c>
      <c r="E113" s="29" t="s">
        <v>222</v>
      </c>
      <c r="F113" s="29">
        <v>7.2</v>
      </c>
      <c r="G113" s="30">
        <v>553.85</v>
      </c>
      <c r="H113" s="30">
        <f t="shared" si="6"/>
        <v>3987.72</v>
      </c>
      <c r="I113" s="31">
        <f t="shared" si="8"/>
        <v>5041.67</v>
      </c>
      <c r="J113" s="31" t="s">
        <v>377</v>
      </c>
      <c r="K113" s="31" t="s">
        <v>377</v>
      </c>
      <c r="L113" s="31" t="s">
        <v>377</v>
      </c>
      <c r="M113" s="31">
        <v>5041.67</v>
      </c>
      <c r="N113" s="31" t="s">
        <v>377</v>
      </c>
      <c r="O113" s="31" t="s">
        <v>377</v>
      </c>
    </row>
    <row r="114" spans="1:15" s="32" customFormat="1" ht="12.75" x14ac:dyDescent="0.2">
      <c r="A114" s="26" t="s">
        <v>316</v>
      </c>
      <c r="B114" s="26" t="s">
        <v>31</v>
      </c>
      <c r="C114" s="27" t="s">
        <v>100</v>
      </c>
      <c r="D114" s="28" t="s">
        <v>101</v>
      </c>
      <c r="E114" s="29" t="s">
        <v>222</v>
      </c>
      <c r="F114" s="29">
        <v>120</v>
      </c>
      <c r="G114" s="30">
        <v>8.48</v>
      </c>
      <c r="H114" s="30">
        <f t="shared" si="6"/>
        <v>1017.6</v>
      </c>
      <c r="I114" s="31">
        <f t="shared" si="8"/>
        <v>1286.55</v>
      </c>
      <c r="J114" s="31" t="s">
        <v>377</v>
      </c>
      <c r="K114" s="31" t="s">
        <v>377</v>
      </c>
      <c r="L114" s="31" t="s">
        <v>377</v>
      </c>
      <c r="M114" s="31">
        <v>1286.55</v>
      </c>
      <c r="N114" s="31" t="s">
        <v>377</v>
      </c>
      <c r="O114" s="31" t="s">
        <v>377</v>
      </c>
    </row>
    <row r="115" spans="1:15" s="32" customFormat="1" ht="12.75" x14ac:dyDescent="0.2">
      <c r="A115" s="26" t="s">
        <v>317</v>
      </c>
      <c r="B115" s="26" t="s">
        <v>31</v>
      </c>
      <c r="C115" s="27" t="s">
        <v>128</v>
      </c>
      <c r="D115" s="28" t="s">
        <v>129</v>
      </c>
      <c r="E115" s="29" t="s">
        <v>78</v>
      </c>
      <c r="F115" s="29">
        <f>120*10</f>
        <v>1200</v>
      </c>
      <c r="G115" s="30">
        <v>29.12</v>
      </c>
      <c r="H115" s="30">
        <f t="shared" si="6"/>
        <v>34944</v>
      </c>
      <c r="I115" s="31">
        <f t="shared" si="8"/>
        <v>44179.7</v>
      </c>
      <c r="J115" s="31" t="s">
        <v>377</v>
      </c>
      <c r="K115" s="31" t="s">
        <v>377</v>
      </c>
      <c r="L115" s="31" t="s">
        <v>377</v>
      </c>
      <c r="M115" s="31">
        <v>44179.7</v>
      </c>
      <c r="N115" s="31" t="s">
        <v>377</v>
      </c>
      <c r="O115" s="31" t="s">
        <v>377</v>
      </c>
    </row>
    <row r="116" spans="1:15" s="32" customFormat="1" ht="12.75" x14ac:dyDescent="0.2">
      <c r="A116" s="26" t="s">
        <v>318</v>
      </c>
      <c r="B116" s="26" t="s">
        <v>31</v>
      </c>
      <c r="C116" s="27" t="s">
        <v>130</v>
      </c>
      <c r="D116" s="28" t="s">
        <v>244</v>
      </c>
      <c r="E116" s="29" t="s">
        <v>222</v>
      </c>
      <c r="F116" s="29">
        <v>120</v>
      </c>
      <c r="G116" s="30">
        <v>216.63</v>
      </c>
      <c r="H116" s="30">
        <f t="shared" si="6"/>
        <v>25995.599999999999</v>
      </c>
      <c r="I116" s="31">
        <f t="shared" si="8"/>
        <v>32866.239999999998</v>
      </c>
      <c r="J116" s="31" t="s">
        <v>377</v>
      </c>
      <c r="K116" s="31" t="s">
        <v>377</v>
      </c>
      <c r="L116" s="31" t="s">
        <v>377</v>
      </c>
      <c r="M116" s="31">
        <v>32866.239999999998</v>
      </c>
      <c r="N116" s="31" t="s">
        <v>377</v>
      </c>
      <c r="O116" s="31" t="s">
        <v>377</v>
      </c>
    </row>
    <row r="117" spans="1:15" s="32" customFormat="1" ht="12.75" x14ac:dyDescent="0.2">
      <c r="A117" s="26" t="s">
        <v>319</v>
      </c>
      <c r="B117" s="26" t="s">
        <v>31</v>
      </c>
      <c r="C117" s="27" t="s">
        <v>94</v>
      </c>
      <c r="D117" s="28" t="s">
        <v>95</v>
      </c>
      <c r="E117" s="29" t="s">
        <v>222</v>
      </c>
      <c r="F117" s="29">
        <v>280</v>
      </c>
      <c r="G117" s="30">
        <v>10.6</v>
      </c>
      <c r="H117" s="30">
        <f t="shared" si="6"/>
        <v>2968</v>
      </c>
      <c r="I117" s="31">
        <f t="shared" si="8"/>
        <v>3752.44</v>
      </c>
      <c r="J117" s="31" t="s">
        <v>377</v>
      </c>
      <c r="K117" s="31" t="s">
        <v>377</v>
      </c>
      <c r="L117" s="31" t="s">
        <v>377</v>
      </c>
      <c r="M117" s="31">
        <v>3752.44</v>
      </c>
      <c r="N117" s="31" t="s">
        <v>377</v>
      </c>
      <c r="O117" s="31" t="s">
        <v>377</v>
      </c>
    </row>
    <row r="118" spans="1:15" s="32" customFormat="1" ht="12.75" x14ac:dyDescent="0.2">
      <c r="A118" s="26" t="s">
        <v>320</v>
      </c>
      <c r="B118" s="26" t="s">
        <v>31</v>
      </c>
      <c r="C118" s="27" t="s">
        <v>122</v>
      </c>
      <c r="D118" s="28" t="s">
        <v>123</v>
      </c>
      <c r="E118" s="29" t="s">
        <v>227</v>
      </c>
      <c r="F118" s="29">
        <v>1</v>
      </c>
      <c r="G118" s="30">
        <v>516.96</v>
      </c>
      <c r="H118" s="30">
        <f t="shared" si="6"/>
        <v>516.96</v>
      </c>
      <c r="I118" s="31">
        <f t="shared" si="8"/>
        <v>653.59</v>
      </c>
      <c r="J118" s="31" t="s">
        <v>377</v>
      </c>
      <c r="K118" s="31" t="s">
        <v>377</v>
      </c>
      <c r="L118" s="31" t="s">
        <v>377</v>
      </c>
      <c r="M118" s="31">
        <v>653.59</v>
      </c>
      <c r="N118" s="31" t="s">
        <v>377</v>
      </c>
      <c r="O118" s="31" t="s">
        <v>377</v>
      </c>
    </row>
    <row r="119" spans="1:15" s="32" customFormat="1" ht="12.75" x14ac:dyDescent="0.2">
      <c r="A119" s="26" t="s">
        <v>342</v>
      </c>
      <c r="B119" s="26" t="s">
        <v>31</v>
      </c>
      <c r="C119" s="27" t="s">
        <v>139</v>
      </c>
      <c r="D119" s="28" t="s">
        <v>140</v>
      </c>
      <c r="E119" s="29" t="s">
        <v>222</v>
      </c>
      <c r="F119" s="29">
        <v>280</v>
      </c>
      <c r="G119" s="30">
        <v>41.11</v>
      </c>
      <c r="H119" s="30">
        <f t="shared" si="6"/>
        <v>11510.8</v>
      </c>
      <c r="I119" s="31">
        <f t="shared" si="8"/>
        <v>14553.1</v>
      </c>
      <c r="J119" s="31" t="s">
        <v>377</v>
      </c>
      <c r="K119" s="31" t="s">
        <v>377</v>
      </c>
      <c r="L119" s="31" t="s">
        <v>377</v>
      </c>
      <c r="M119" s="31">
        <v>14553.1</v>
      </c>
      <c r="N119" s="31" t="s">
        <v>377</v>
      </c>
      <c r="O119" s="31" t="s">
        <v>377</v>
      </c>
    </row>
    <row r="120" spans="1:15" s="32" customFormat="1" ht="12.75" x14ac:dyDescent="0.2">
      <c r="A120" s="127"/>
      <c r="B120" s="127"/>
      <c r="C120" s="128"/>
      <c r="D120" s="129"/>
      <c r="E120" s="130"/>
      <c r="F120" s="130"/>
      <c r="G120" s="131" t="s">
        <v>25</v>
      </c>
      <c r="H120" s="131">
        <f>SUM(H109:H119)</f>
        <v>88207.260000000009</v>
      </c>
      <c r="I120" s="132">
        <f>SUM(I109:I119)</f>
        <v>111520.42</v>
      </c>
      <c r="J120" s="132"/>
      <c r="K120" s="132"/>
      <c r="L120" s="132"/>
      <c r="M120" s="132">
        <v>111520.42</v>
      </c>
      <c r="N120" s="132"/>
      <c r="O120" s="132"/>
    </row>
    <row r="121" spans="1:15" s="32" customFormat="1" ht="12.75" x14ac:dyDescent="0.2">
      <c r="A121" s="134">
        <v>8</v>
      </c>
      <c r="B121" s="134"/>
      <c r="C121" s="135"/>
      <c r="D121" s="136" t="s">
        <v>305</v>
      </c>
      <c r="E121" s="137"/>
      <c r="F121" s="137"/>
      <c r="G121" s="138"/>
      <c r="H121" s="138"/>
      <c r="I121" s="139"/>
      <c r="J121" s="139"/>
      <c r="K121" s="139"/>
      <c r="L121" s="139"/>
      <c r="M121" s="139"/>
      <c r="N121" s="139"/>
      <c r="O121" s="139"/>
    </row>
    <row r="122" spans="1:15" s="32" customFormat="1" ht="12.75" x14ac:dyDescent="0.2">
      <c r="A122" s="26" t="s">
        <v>307</v>
      </c>
      <c r="B122" s="26" t="s">
        <v>31</v>
      </c>
      <c r="C122" s="27" t="s">
        <v>213</v>
      </c>
      <c r="D122" s="28" t="s">
        <v>314</v>
      </c>
      <c r="E122" s="29" t="s">
        <v>222</v>
      </c>
      <c r="F122" s="29">
        <f>300*7</f>
        <v>2100</v>
      </c>
      <c r="G122" s="30">
        <v>11.84</v>
      </c>
      <c r="H122" s="30">
        <f t="shared" si="6"/>
        <v>24864</v>
      </c>
      <c r="I122" s="31">
        <f>ROUND(F122*G122*(1+$I$142/100),2)</f>
        <v>31435.56</v>
      </c>
      <c r="J122" s="31" t="s">
        <v>377</v>
      </c>
      <c r="K122" s="31" t="s">
        <v>377</v>
      </c>
      <c r="L122" s="31" t="s">
        <v>377</v>
      </c>
      <c r="M122" s="31" t="s">
        <v>377</v>
      </c>
      <c r="N122" s="31">
        <v>31435.56</v>
      </c>
      <c r="O122" s="31" t="s">
        <v>377</v>
      </c>
    </row>
    <row r="123" spans="1:15" s="32" customFormat="1" ht="12.75" x14ac:dyDescent="0.2">
      <c r="A123" s="26" t="s">
        <v>311</v>
      </c>
      <c r="B123" s="26" t="s">
        <v>31</v>
      </c>
      <c r="C123" s="27" t="s">
        <v>178</v>
      </c>
      <c r="D123" s="28" t="s">
        <v>179</v>
      </c>
      <c r="E123" s="29" t="s">
        <v>222</v>
      </c>
      <c r="F123" s="29">
        <v>2100</v>
      </c>
      <c r="G123" s="30">
        <v>43.55</v>
      </c>
      <c r="H123" s="30">
        <f t="shared" si="6"/>
        <v>91455</v>
      </c>
      <c r="I123" s="31">
        <f>ROUND(F123*G123*(1+$I$142/100),2)</f>
        <v>115626.56</v>
      </c>
      <c r="J123" s="31" t="s">
        <v>377</v>
      </c>
      <c r="K123" s="31" t="s">
        <v>377</v>
      </c>
      <c r="L123" s="31" t="s">
        <v>377</v>
      </c>
      <c r="M123" s="31" t="s">
        <v>377</v>
      </c>
      <c r="N123" s="31">
        <v>115626.56</v>
      </c>
      <c r="O123" s="31" t="s">
        <v>377</v>
      </c>
    </row>
    <row r="124" spans="1:15" s="32" customFormat="1" ht="12.75" x14ac:dyDescent="0.2">
      <c r="A124" s="26" t="s">
        <v>312</v>
      </c>
      <c r="B124" s="26" t="s">
        <v>31</v>
      </c>
      <c r="C124" s="27" t="s">
        <v>174</v>
      </c>
      <c r="D124" s="28" t="s">
        <v>175</v>
      </c>
      <c r="E124" s="29" t="s">
        <v>222</v>
      </c>
      <c r="F124" s="29">
        <v>2100</v>
      </c>
      <c r="G124" s="30">
        <v>35.159999999999997</v>
      </c>
      <c r="H124" s="30">
        <f t="shared" si="6"/>
        <v>73836</v>
      </c>
      <c r="I124" s="31">
        <f>ROUND(F124*G124*(1+$I$142/100),2)</f>
        <v>93350.85</v>
      </c>
      <c r="J124" s="31" t="s">
        <v>377</v>
      </c>
      <c r="K124" s="31" t="s">
        <v>377</v>
      </c>
      <c r="L124" s="31" t="s">
        <v>377</v>
      </c>
      <c r="M124" s="31" t="s">
        <v>377</v>
      </c>
      <c r="N124" s="31">
        <v>93350.85</v>
      </c>
      <c r="O124" s="31" t="s">
        <v>377</v>
      </c>
    </row>
    <row r="125" spans="1:15" s="32" customFormat="1" ht="12.75" x14ac:dyDescent="0.2">
      <c r="A125" s="26" t="s">
        <v>313</v>
      </c>
      <c r="B125" s="26" t="s">
        <v>31</v>
      </c>
      <c r="C125" s="27" t="s">
        <v>152</v>
      </c>
      <c r="D125" s="28" t="s">
        <v>153</v>
      </c>
      <c r="E125" s="29" t="s">
        <v>222</v>
      </c>
      <c r="F125" s="29">
        <v>160</v>
      </c>
      <c r="G125" s="30">
        <v>1090.83</v>
      </c>
      <c r="H125" s="30">
        <f t="shared" si="6"/>
        <v>174532.8</v>
      </c>
      <c r="I125" s="31">
        <f>ROUND(F125*G125*(1+$I$142/100),2)</f>
        <v>220661.82</v>
      </c>
      <c r="J125" s="31" t="s">
        <v>377</v>
      </c>
      <c r="K125" s="31" t="s">
        <v>377</v>
      </c>
      <c r="L125" s="31" t="s">
        <v>377</v>
      </c>
      <c r="M125" s="31" t="s">
        <v>377</v>
      </c>
      <c r="N125" s="31">
        <v>220661.82</v>
      </c>
      <c r="O125" s="31" t="s">
        <v>377</v>
      </c>
    </row>
    <row r="126" spans="1:15" s="32" customFormat="1" ht="12.75" x14ac:dyDescent="0.2">
      <c r="A126" s="26" t="s">
        <v>335</v>
      </c>
      <c r="B126" s="26" t="s">
        <v>31</v>
      </c>
      <c r="C126" s="27" t="s">
        <v>211</v>
      </c>
      <c r="D126" s="28" t="s">
        <v>212</v>
      </c>
      <c r="E126" s="29" t="s">
        <v>222</v>
      </c>
      <c r="F126" s="29">
        <v>1200</v>
      </c>
      <c r="G126" s="30">
        <v>14.83</v>
      </c>
      <c r="H126" s="30">
        <f t="shared" si="6"/>
        <v>17796</v>
      </c>
      <c r="I126" s="31">
        <f>ROUND(F126*G126*(1+$I$142/100),2)</f>
        <v>22499.48</v>
      </c>
      <c r="J126" s="31" t="s">
        <v>377</v>
      </c>
      <c r="K126" s="31" t="s">
        <v>377</v>
      </c>
      <c r="L126" s="31" t="s">
        <v>377</v>
      </c>
      <c r="M126" s="31" t="s">
        <v>377</v>
      </c>
      <c r="N126" s="31">
        <v>22499.48</v>
      </c>
      <c r="O126" s="31" t="s">
        <v>377</v>
      </c>
    </row>
    <row r="127" spans="1:15" s="47" customFormat="1" ht="12.75" x14ac:dyDescent="0.2">
      <c r="A127" s="54"/>
      <c r="B127" s="55"/>
      <c r="C127" s="55"/>
      <c r="D127" s="55"/>
      <c r="E127" s="55"/>
      <c r="F127" s="55"/>
      <c r="G127" s="51" t="s">
        <v>25</v>
      </c>
      <c r="H127" s="131">
        <f>SUM(H122:H126)</f>
        <v>382483.8</v>
      </c>
      <c r="I127" s="132">
        <f>SUM(I122:I126)</f>
        <v>483574.27</v>
      </c>
      <c r="J127" s="132"/>
      <c r="K127" s="132"/>
      <c r="L127" s="132"/>
      <c r="M127" s="132"/>
      <c r="N127" s="132">
        <v>483574.27</v>
      </c>
      <c r="O127" s="132"/>
    </row>
    <row r="128" spans="1:15" s="47" customFormat="1" ht="12.75" x14ac:dyDescent="0.2">
      <c r="A128" s="134">
        <v>9</v>
      </c>
      <c r="B128" s="147"/>
      <c r="C128" s="147"/>
      <c r="D128" s="147" t="s">
        <v>336</v>
      </c>
      <c r="E128" s="147"/>
      <c r="F128" s="147"/>
      <c r="G128" s="148"/>
      <c r="H128" s="140"/>
      <c r="I128" s="141"/>
      <c r="J128" s="141"/>
      <c r="K128" s="141"/>
      <c r="L128" s="141"/>
      <c r="M128" s="141"/>
      <c r="N128" s="141"/>
      <c r="O128" s="141"/>
    </row>
    <row r="129" spans="1:15" s="47" customFormat="1" ht="25.5" x14ac:dyDescent="0.2">
      <c r="A129" s="142" t="s">
        <v>338</v>
      </c>
      <c r="B129" s="142" t="s">
        <v>214</v>
      </c>
      <c r="C129" s="142">
        <v>100950</v>
      </c>
      <c r="D129" s="149" t="s">
        <v>337</v>
      </c>
      <c r="E129" s="142" t="s">
        <v>79</v>
      </c>
      <c r="F129" s="152">
        <v>10</v>
      </c>
      <c r="G129" s="150">
        <v>4.87</v>
      </c>
      <c r="H129" s="30">
        <f t="shared" si="6"/>
        <v>48.7</v>
      </c>
      <c r="I129" s="31">
        <f t="shared" ref="I129:O130" si="9">ROUND(F129*G129*(1+$I$142/100),2)</f>
        <v>61.57</v>
      </c>
      <c r="J129" s="31" t="s">
        <v>377</v>
      </c>
      <c r="K129" s="31" t="s">
        <v>377</v>
      </c>
      <c r="L129" s="31" t="s">
        <v>377</v>
      </c>
      <c r="M129" s="31" t="s">
        <v>377</v>
      </c>
      <c r="N129" s="31">
        <v>61.57</v>
      </c>
      <c r="O129" s="31" t="s">
        <v>377</v>
      </c>
    </row>
    <row r="130" spans="1:15" s="47" customFormat="1" ht="25.5" customHeight="1" x14ac:dyDescent="0.2">
      <c r="A130" s="142" t="s">
        <v>339</v>
      </c>
      <c r="B130" s="142" t="s">
        <v>31</v>
      </c>
      <c r="C130" s="142" t="s">
        <v>105</v>
      </c>
      <c r="D130" s="149" t="s">
        <v>106</v>
      </c>
      <c r="E130" s="142" t="s">
        <v>222</v>
      </c>
      <c r="F130" s="152">
        <v>10</v>
      </c>
      <c r="G130" s="151">
        <v>32.880000000000003</v>
      </c>
      <c r="H130" s="30">
        <f t="shared" si="6"/>
        <v>328.8</v>
      </c>
      <c r="I130" s="31">
        <f t="shared" si="9"/>
        <v>415.7</v>
      </c>
      <c r="J130" s="31" t="s">
        <v>377</v>
      </c>
      <c r="K130" s="31" t="s">
        <v>377</v>
      </c>
      <c r="L130" s="31" t="s">
        <v>377</v>
      </c>
      <c r="M130" s="31" t="s">
        <v>377</v>
      </c>
      <c r="N130" s="31">
        <v>415.7</v>
      </c>
      <c r="O130" s="31" t="s">
        <v>377</v>
      </c>
    </row>
    <row r="131" spans="1:15" s="47" customFormat="1" ht="12.75" x14ac:dyDescent="0.2">
      <c r="A131" s="127"/>
      <c r="B131" s="127"/>
      <c r="C131" s="127"/>
      <c r="D131" s="153"/>
      <c r="E131" s="153"/>
      <c r="F131" s="153"/>
      <c r="G131" s="154" t="s">
        <v>25</v>
      </c>
      <c r="H131" s="131">
        <f>SUM(H129:H130)</f>
        <v>377.5</v>
      </c>
      <c r="I131" s="132">
        <f>SUM(I129:I130)</f>
        <v>477.27</v>
      </c>
      <c r="J131" s="132"/>
      <c r="K131" s="132"/>
      <c r="L131" s="132"/>
      <c r="M131" s="132"/>
      <c r="N131" s="132">
        <v>477.27</v>
      </c>
      <c r="O131" s="132"/>
    </row>
    <row r="132" spans="1:15" s="47" customFormat="1" ht="12.75" x14ac:dyDescent="0.2">
      <c r="A132" s="134">
        <v>10</v>
      </c>
      <c r="B132" s="147"/>
      <c r="C132" s="147"/>
      <c r="D132" s="147" t="s">
        <v>345</v>
      </c>
      <c r="E132" s="147"/>
      <c r="F132" s="147"/>
      <c r="G132" s="148"/>
      <c r="H132" s="140"/>
      <c r="I132" s="141"/>
      <c r="J132" s="141"/>
      <c r="K132" s="141"/>
      <c r="L132" s="141"/>
      <c r="M132" s="141"/>
      <c r="N132" s="141"/>
      <c r="O132" s="141"/>
    </row>
    <row r="133" spans="1:15" s="47" customFormat="1" ht="25.5" x14ac:dyDescent="0.2">
      <c r="A133" s="142" t="s">
        <v>343</v>
      </c>
      <c r="B133" s="142" t="s">
        <v>31</v>
      </c>
      <c r="C133" s="142" t="s">
        <v>192</v>
      </c>
      <c r="D133" s="149" t="s">
        <v>193</v>
      </c>
      <c r="E133" s="142" t="s">
        <v>242</v>
      </c>
      <c r="F133" s="152">
        <v>24</v>
      </c>
      <c r="G133" s="150">
        <v>156.6</v>
      </c>
      <c r="H133" s="30">
        <f t="shared" ref="H133:H137" si="10">ROUND(F133*G133,2)</f>
        <v>3758.4</v>
      </c>
      <c r="I133" s="31">
        <f>ROUND(F133*G133*(1+$I$142/100),2)</f>
        <v>4751.75</v>
      </c>
      <c r="J133" s="31" t="s">
        <v>377</v>
      </c>
      <c r="K133" s="31" t="s">
        <v>377</v>
      </c>
      <c r="L133" s="31" t="s">
        <v>377</v>
      </c>
      <c r="M133" s="31" t="s">
        <v>377</v>
      </c>
      <c r="N133" s="31" t="s">
        <v>377</v>
      </c>
      <c r="O133" s="31">
        <v>4751.75</v>
      </c>
    </row>
    <row r="134" spans="1:15" s="47" customFormat="1" ht="12.75" x14ac:dyDescent="0.2">
      <c r="A134" s="142" t="s">
        <v>344</v>
      </c>
      <c r="B134" s="142" t="s">
        <v>31</v>
      </c>
      <c r="C134" s="142" t="s">
        <v>182</v>
      </c>
      <c r="D134" s="149" t="s">
        <v>183</v>
      </c>
      <c r="E134" s="142" t="s">
        <v>75</v>
      </c>
      <c r="F134" s="152">
        <v>50</v>
      </c>
      <c r="G134" s="150">
        <v>16.239999999999998</v>
      </c>
      <c r="H134" s="30">
        <f t="shared" si="10"/>
        <v>812</v>
      </c>
      <c r="I134" s="31">
        <f t="shared" ref="I134:O137" si="11">ROUND(F134*G134*(1+$I$142/100),2)</f>
        <v>1026.6099999999999</v>
      </c>
      <c r="J134" s="31" t="s">
        <v>377</v>
      </c>
      <c r="K134" s="31" t="s">
        <v>377</v>
      </c>
      <c r="L134" s="31" t="s">
        <v>377</v>
      </c>
      <c r="M134" s="31" t="s">
        <v>377</v>
      </c>
      <c r="N134" s="31" t="s">
        <v>377</v>
      </c>
      <c r="O134" s="31">
        <v>1026.6099999999999</v>
      </c>
    </row>
    <row r="135" spans="1:15" s="47" customFormat="1" ht="12.75" x14ac:dyDescent="0.2">
      <c r="A135" s="142" t="s">
        <v>346</v>
      </c>
      <c r="B135" s="142" t="s">
        <v>31</v>
      </c>
      <c r="C135" s="142" t="s">
        <v>184</v>
      </c>
      <c r="D135" s="149" t="s">
        <v>185</v>
      </c>
      <c r="E135" s="142" t="s">
        <v>75</v>
      </c>
      <c r="F135" s="152">
        <f>3*F134</f>
        <v>150</v>
      </c>
      <c r="G135" s="150">
        <v>4.2300000000000004</v>
      </c>
      <c r="H135" s="30">
        <f t="shared" si="10"/>
        <v>634.5</v>
      </c>
      <c r="I135" s="31">
        <f t="shared" si="11"/>
        <v>802.2</v>
      </c>
      <c r="J135" s="31" t="s">
        <v>377</v>
      </c>
      <c r="K135" s="31" t="s">
        <v>377</v>
      </c>
      <c r="L135" s="31" t="s">
        <v>377</v>
      </c>
      <c r="M135" s="31" t="s">
        <v>377</v>
      </c>
      <c r="N135" s="31" t="s">
        <v>377</v>
      </c>
      <c r="O135" s="31">
        <v>802.2</v>
      </c>
    </row>
    <row r="136" spans="1:15" s="47" customFormat="1" ht="12.75" x14ac:dyDescent="0.2">
      <c r="A136" s="142" t="s">
        <v>347</v>
      </c>
      <c r="B136" s="142" t="s">
        <v>31</v>
      </c>
      <c r="C136" s="142" t="s">
        <v>190</v>
      </c>
      <c r="D136" s="149" t="s">
        <v>191</v>
      </c>
      <c r="E136" s="142" t="s">
        <v>242</v>
      </c>
      <c r="F136" s="152">
        <v>2</v>
      </c>
      <c r="G136" s="150">
        <v>14.59</v>
      </c>
      <c r="H136" s="30">
        <f t="shared" si="10"/>
        <v>29.18</v>
      </c>
      <c r="I136" s="31">
        <f t="shared" si="11"/>
        <v>36.89</v>
      </c>
      <c r="J136" s="31" t="s">
        <v>377</v>
      </c>
      <c r="K136" s="31" t="s">
        <v>377</v>
      </c>
      <c r="L136" s="31" t="s">
        <v>377</v>
      </c>
      <c r="M136" s="31" t="s">
        <v>377</v>
      </c>
      <c r="N136" s="31" t="s">
        <v>377</v>
      </c>
      <c r="O136" s="31">
        <v>36.89</v>
      </c>
    </row>
    <row r="137" spans="1:15" s="47" customFormat="1" ht="12.75" x14ac:dyDescent="0.2">
      <c r="A137" s="142" t="s">
        <v>348</v>
      </c>
      <c r="B137" s="142" t="s">
        <v>31</v>
      </c>
      <c r="C137" s="142" t="s">
        <v>188</v>
      </c>
      <c r="D137" s="149" t="s">
        <v>189</v>
      </c>
      <c r="E137" s="142" t="s">
        <v>80</v>
      </c>
      <c r="F137" s="152">
        <v>2</v>
      </c>
      <c r="G137" s="150">
        <v>25.48</v>
      </c>
      <c r="H137" s="30">
        <f t="shared" si="10"/>
        <v>50.96</v>
      </c>
      <c r="I137" s="31">
        <f t="shared" si="11"/>
        <v>64.430000000000007</v>
      </c>
      <c r="J137" s="31" t="s">
        <v>377</v>
      </c>
      <c r="K137" s="31" t="s">
        <v>377</v>
      </c>
      <c r="L137" s="31" t="s">
        <v>377</v>
      </c>
      <c r="M137" s="31" t="s">
        <v>377</v>
      </c>
      <c r="N137" s="31" t="s">
        <v>377</v>
      </c>
      <c r="O137" s="31">
        <v>64.430000000000007</v>
      </c>
    </row>
    <row r="138" spans="1:15" s="47" customFormat="1" ht="12.75" x14ac:dyDescent="0.2">
      <c r="A138" s="127"/>
      <c r="B138" s="127"/>
      <c r="C138" s="127"/>
      <c r="D138" s="153"/>
      <c r="E138" s="153"/>
      <c r="F138" s="153"/>
      <c r="G138" s="154" t="s">
        <v>25</v>
      </c>
      <c r="H138" s="131">
        <f>SUM(H133:H137)</f>
        <v>5285.04</v>
      </c>
      <c r="I138" s="132">
        <f>SUM(I133:I137)</f>
        <v>6681.88</v>
      </c>
      <c r="J138" s="132"/>
      <c r="K138" s="132"/>
      <c r="L138" s="132"/>
      <c r="M138" s="132"/>
      <c r="N138" s="132"/>
      <c r="O138" s="132">
        <v>6681.88</v>
      </c>
    </row>
    <row r="139" spans="1:15" s="32" customFormat="1" ht="15" customHeight="1" thickBot="1" x14ac:dyDescent="0.25">
      <c r="A139" s="232" t="s">
        <v>26</v>
      </c>
      <c r="B139" s="233"/>
      <c r="C139" s="233"/>
      <c r="D139" s="233"/>
      <c r="E139" s="233"/>
      <c r="F139" s="233"/>
      <c r="G139" s="233"/>
      <c r="H139" s="52">
        <f>SUM(H66+H50+H30+H16+H92+H107+H120+H127+H131+H138)</f>
        <v>1053880.44</v>
      </c>
      <c r="I139" s="53">
        <f>SUM(I66+I50+I30+I16+I92+I107+I120+I127+I131+I138)</f>
        <v>1332421.0099999998</v>
      </c>
      <c r="J139" s="53">
        <f>J66+J50+J30+J16</f>
        <v>449300.6</v>
      </c>
      <c r="K139" s="53">
        <f>K92+J139</f>
        <v>672281.29999999993</v>
      </c>
      <c r="L139" s="53">
        <f>L107+K139</f>
        <v>730167.16999999993</v>
      </c>
      <c r="M139" s="53">
        <f>M120+L139</f>
        <v>841687.59</v>
      </c>
      <c r="N139" s="53">
        <f>N131+N127+M139</f>
        <v>1325739.1299999999</v>
      </c>
      <c r="O139" s="53">
        <f>O138+N139</f>
        <v>1332421.0099999998</v>
      </c>
    </row>
    <row r="140" spans="1:15" ht="15.75" thickBot="1" x14ac:dyDescent="0.3">
      <c r="A140" s="3"/>
      <c r="B140" s="4"/>
      <c r="C140" s="4"/>
      <c r="D140" s="125"/>
      <c r="E140" s="22"/>
      <c r="F140" s="20"/>
      <c r="G140" s="14"/>
      <c r="H140" s="14"/>
      <c r="I140" s="15"/>
      <c r="J140" s="15"/>
      <c r="K140" s="15"/>
      <c r="L140" s="15"/>
      <c r="M140" s="15"/>
      <c r="N140" s="15"/>
      <c r="O140" s="15"/>
    </row>
    <row r="141" spans="1:15" customFormat="1" x14ac:dyDescent="0.25">
      <c r="A141" s="217"/>
      <c r="B141" s="218"/>
      <c r="C141" s="227" t="s">
        <v>18</v>
      </c>
      <c r="D141" s="228"/>
      <c r="E141" s="228"/>
      <c r="F141" s="228"/>
      <c r="G141" s="228"/>
      <c r="H141" s="228"/>
      <c r="I141" s="36">
        <f>H139</f>
        <v>1053880.44</v>
      </c>
      <c r="J141" s="36"/>
      <c r="K141" s="36"/>
      <c r="L141" s="36"/>
      <c r="M141" s="36"/>
      <c r="N141" s="36"/>
      <c r="O141" s="36"/>
    </row>
    <row r="142" spans="1:15" customFormat="1" x14ac:dyDescent="0.25">
      <c r="A142" s="219"/>
      <c r="B142" s="220"/>
      <c r="C142" s="225" t="s">
        <v>19</v>
      </c>
      <c r="D142" s="226"/>
      <c r="E142" s="226"/>
      <c r="F142" s="226"/>
      <c r="G142" s="226"/>
      <c r="H142" s="226"/>
      <c r="I142" s="121">
        <f>BDI!F26*100</f>
        <v>26.43</v>
      </c>
      <c r="J142" s="121"/>
      <c r="K142" s="121"/>
      <c r="L142" s="121"/>
      <c r="M142" s="121"/>
      <c r="N142" s="121"/>
      <c r="O142" s="121"/>
    </row>
    <row r="143" spans="1:15" customFormat="1" x14ac:dyDescent="0.25">
      <c r="A143" s="219"/>
      <c r="B143" s="220"/>
      <c r="C143" s="225" t="s">
        <v>20</v>
      </c>
      <c r="D143" s="226"/>
      <c r="E143" s="226"/>
      <c r="F143" s="226"/>
      <c r="G143" s="226"/>
      <c r="H143" s="226"/>
      <c r="I143" s="37">
        <f>ROUND((I141)*I142/100,2)</f>
        <v>278540.59999999998</v>
      </c>
      <c r="J143" s="37"/>
      <c r="K143" s="37"/>
      <c r="L143" s="37"/>
      <c r="M143" s="37"/>
      <c r="N143" s="37"/>
      <c r="O143" s="37"/>
    </row>
    <row r="144" spans="1:15" customFormat="1" ht="15.75" thickBot="1" x14ac:dyDescent="0.3">
      <c r="A144" s="219"/>
      <c r="B144" s="220"/>
      <c r="C144" s="215" t="s">
        <v>21</v>
      </c>
      <c r="D144" s="216"/>
      <c r="E144" s="216"/>
      <c r="F144" s="216"/>
      <c r="G144" s="216"/>
      <c r="H144" s="216"/>
      <c r="I144" s="38">
        <f>I141+I143</f>
        <v>1332421.04</v>
      </c>
      <c r="J144" s="38"/>
      <c r="K144" s="38"/>
      <c r="L144" s="38"/>
      <c r="M144" s="38"/>
      <c r="N144" s="38"/>
      <c r="O144" s="38"/>
    </row>
    <row r="145" spans="1:15" customFormat="1" x14ac:dyDescent="0.25">
      <c r="A145" s="219"/>
      <c r="B145" s="220"/>
      <c r="C145" s="225" t="s">
        <v>27</v>
      </c>
      <c r="D145" s="226"/>
      <c r="E145" s="226"/>
      <c r="F145" s="226"/>
      <c r="G145" s="226"/>
      <c r="H145" s="226"/>
      <c r="I145" s="50">
        <v>0</v>
      </c>
      <c r="J145" s="50"/>
      <c r="K145" s="50"/>
      <c r="L145" s="50"/>
      <c r="M145" s="50"/>
      <c r="N145" s="50"/>
      <c r="O145" s="50"/>
    </row>
    <row r="146" spans="1:15" customFormat="1" ht="15.75" thickBot="1" x14ac:dyDescent="0.3">
      <c r="A146" s="219"/>
      <c r="B146" s="220"/>
      <c r="C146" s="215" t="s">
        <v>29</v>
      </c>
      <c r="D146" s="216"/>
      <c r="E146" s="216"/>
      <c r="F146" s="216"/>
      <c r="G146" s="216"/>
      <c r="H146" s="216"/>
      <c r="I146" s="49">
        <f>I145/I144</f>
        <v>0</v>
      </c>
      <c r="J146" s="49"/>
      <c r="K146" s="49"/>
      <c r="L146" s="49"/>
      <c r="M146" s="49"/>
      <c r="N146" s="49"/>
      <c r="O146" s="49"/>
    </row>
    <row r="147" spans="1:15" customFormat="1" x14ac:dyDescent="0.25">
      <c r="A147" s="219"/>
      <c r="B147" s="220"/>
      <c r="C147" s="225" t="s">
        <v>28</v>
      </c>
      <c r="D147" s="226"/>
      <c r="E147" s="226"/>
      <c r="F147" s="226"/>
      <c r="G147" s="226"/>
      <c r="H147" s="226"/>
      <c r="I147" s="50">
        <f>I144-I145</f>
        <v>1332421.04</v>
      </c>
      <c r="J147" s="50"/>
      <c r="K147" s="50"/>
      <c r="L147" s="50"/>
      <c r="M147" s="50"/>
      <c r="N147" s="50"/>
      <c r="O147" s="50"/>
    </row>
    <row r="148" spans="1:15" customFormat="1" ht="15.75" thickBot="1" x14ac:dyDescent="0.3">
      <c r="A148" s="221"/>
      <c r="B148" s="222"/>
      <c r="C148" s="215" t="s">
        <v>30</v>
      </c>
      <c r="D148" s="216"/>
      <c r="E148" s="216"/>
      <c r="F148" s="216"/>
      <c r="G148" s="216"/>
      <c r="H148" s="216"/>
      <c r="I148" s="49">
        <f>I147/I144</f>
        <v>1</v>
      </c>
      <c r="J148" s="49"/>
      <c r="K148" s="49"/>
      <c r="L148" s="49"/>
      <c r="M148" s="49"/>
      <c r="N148" s="49"/>
      <c r="O148" s="49"/>
    </row>
    <row r="149" spans="1:15" x14ac:dyDescent="0.25">
      <c r="A149" s="3"/>
      <c r="B149" s="4"/>
      <c r="C149" s="4"/>
      <c r="D149" s="125"/>
      <c r="E149" s="22"/>
      <c r="F149" s="20"/>
      <c r="G149" s="14"/>
      <c r="H149" s="14"/>
      <c r="I149" s="15"/>
      <c r="J149" s="15"/>
      <c r="K149" s="15"/>
      <c r="L149" s="15"/>
      <c r="M149" s="15"/>
      <c r="N149" s="15"/>
      <c r="O149" s="15"/>
    </row>
    <row r="150" spans="1:15" x14ac:dyDescent="0.25">
      <c r="A150" s="206"/>
      <c r="B150" s="207"/>
      <c r="C150" s="207"/>
      <c r="D150" s="207"/>
      <c r="G150" s="10"/>
      <c r="H150" s="10"/>
      <c r="I150" s="11"/>
      <c r="J150" s="11"/>
      <c r="K150" s="11"/>
      <c r="L150" s="11"/>
      <c r="M150" s="11"/>
      <c r="N150" s="11"/>
      <c r="O150" s="11"/>
    </row>
    <row r="151" spans="1:15" x14ac:dyDescent="0.25">
      <c r="A151" s="34" t="s">
        <v>5</v>
      </c>
      <c r="B151" s="223" t="str">
        <f>Dados!B14</f>
        <v>JEFERSON JOSÉ VIEIRA RUIVO</v>
      </c>
      <c r="C151" s="223"/>
      <c r="D151" s="223"/>
      <c r="G151" s="10"/>
      <c r="H151" s="10"/>
      <c r="I151" s="11"/>
      <c r="J151" s="11"/>
      <c r="K151" s="11"/>
      <c r="L151" s="11"/>
      <c r="M151" s="11"/>
      <c r="N151" s="11"/>
      <c r="O151" s="11"/>
    </row>
    <row r="152" spans="1:15" x14ac:dyDescent="0.25">
      <c r="A152" s="34" t="s">
        <v>6</v>
      </c>
      <c r="B152" s="223" t="str">
        <f>Dados!B15</f>
        <v xml:space="preserve">ENGENHEIRO CIVIL </v>
      </c>
      <c r="C152" s="223"/>
      <c r="D152" s="223"/>
      <c r="G152" s="10"/>
      <c r="H152" s="10"/>
      <c r="I152" s="11"/>
      <c r="J152" s="11"/>
      <c r="K152" s="11"/>
      <c r="L152" s="11"/>
      <c r="M152" s="11"/>
      <c r="N152" s="11"/>
      <c r="O152" s="11"/>
    </row>
    <row r="153" spans="1:15" ht="15.75" thickBot="1" x14ac:dyDescent="0.3">
      <c r="A153" s="35" t="s">
        <v>7</v>
      </c>
      <c r="B153" s="224">
        <f>Dados!B16</f>
        <v>5070232434</v>
      </c>
      <c r="C153" s="224"/>
      <c r="D153" s="224"/>
      <c r="E153" s="21"/>
      <c r="F153" s="21"/>
      <c r="G153" s="16"/>
      <c r="H153" s="16"/>
      <c r="I153" s="17"/>
      <c r="J153" s="17"/>
      <c r="K153" s="17"/>
      <c r="L153" s="17"/>
      <c r="M153" s="17"/>
      <c r="N153" s="17"/>
      <c r="O153" s="17"/>
    </row>
    <row r="157" spans="1:15" ht="15" customHeight="1" x14ac:dyDescent="0.25"/>
  </sheetData>
  <mergeCells count="24">
    <mergeCell ref="C148:H148"/>
    <mergeCell ref="A150:D150"/>
    <mergeCell ref="B151:D151"/>
    <mergeCell ref="B152:D152"/>
    <mergeCell ref="B153:D153"/>
    <mergeCell ref="J1:O8"/>
    <mergeCell ref="A10:I10"/>
    <mergeCell ref="A139:G139"/>
    <mergeCell ref="A141:B148"/>
    <mergeCell ref="C141:H141"/>
    <mergeCell ref="C142:H142"/>
    <mergeCell ref="C143:H143"/>
    <mergeCell ref="C144:H144"/>
    <mergeCell ref="C145:H145"/>
    <mergeCell ref="C146:H146"/>
    <mergeCell ref="C147:H147"/>
    <mergeCell ref="A1:I1"/>
    <mergeCell ref="A2:G2"/>
    <mergeCell ref="H2:I7"/>
    <mergeCell ref="A3:G3"/>
    <mergeCell ref="A4:G4"/>
    <mergeCell ref="A5:G5"/>
    <mergeCell ref="A6:G6"/>
    <mergeCell ref="A7:G7"/>
  </mergeCells>
  <conditionalFormatting sqref="A140:A141 A149">
    <cfRule type="expression" dxfId="9" priority="9" stopIfTrue="1">
      <formula>$K$13="sim"</formula>
    </cfRule>
  </conditionalFormatting>
  <conditionalFormatting sqref="E140:F149">
    <cfRule type="expression" dxfId="8" priority="8" stopIfTrue="1">
      <formula>$K$13="sim"</formula>
    </cfRule>
  </conditionalFormatting>
  <conditionalFormatting sqref="G140:I149">
    <cfRule type="expression" dxfId="7" priority="7" stopIfTrue="1">
      <formula>$K$13="sim"</formula>
    </cfRule>
  </conditionalFormatting>
  <conditionalFormatting sqref="J140:J149">
    <cfRule type="expression" dxfId="6" priority="6" stopIfTrue="1">
      <formula>$K$13="sim"</formula>
    </cfRule>
  </conditionalFormatting>
  <conditionalFormatting sqref="K140:K149">
    <cfRule type="expression" dxfId="5" priority="5" stopIfTrue="1">
      <formula>$K$13="sim"</formula>
    </cfRule>
  </conditionalFormatting>
  <conditionalFormatting sqref="L140:L149">
    <cfRule type="expression" dxfId="4" priority="4" stopIfTrue="1">
      <formula>$K$13="sim"</formula>
    </cfRule>
  </conditionalFormatting>
  <conditionalFormatting sqref="M140:M149">
    <cfRule type="expression" dxfId="3" priority="3" stopIfTrue="1">
      <formula>$K$13="sim"</formula>
    </cfRule>
  </conditionalFormatting>
  <conditionalFormatting sqref="N140:N149">
    <cfRule type="expression" dxfId="2" priority="2" stopIfTrue="1">
      <formula>$K$13="sim"</formula>
    </cfRule>
  </conditionalFormatting>
  <conditionalFormatting sqref="O140:O149">
    <cfRule type="expression" dxfId="1" priority="1" stopIfTrue="1">
      <formula>$K$13="sim"</formula>
    </cfRule>
  </conditionalFormatting>
  <dataValidations disablePrompts="1" count="1">
    <dataValidation type="decimal" allowBlank="1" showInputMessage="1" showErrorMessage="1" sqref="F1:F1048576">
      <formula1>0</formula1>
      <formula2>100000000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Dados</vt:lpstr>
      <vt:lpstr>BDI</vt:lpstr>
      <vt:lpstr>Orçamentária-CDHU</vt:lpstr>
      <vt:lpstr>Composição 1</vt:lpstr>
      <vt:lpstr>Cronograma Físico-Financeiro</vt:lpstr>
      <vt:lpstr>'Composição 1'!Titulos_de_impressao</vt:lpstr>
      <vt:lpstr>'Cronograma Físico-Financeiro'!Titulos_de_impressao</vt:lpstr>
      <vt:lpstr>'Orçamentária-CDHU'!Titulos_de_impressao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Hiago Ribeiro</dc:creator>
  <cp:lastModifiedBy>Allan</cp:lastModifiedBy>
  <cp:lastPrinted>2026-04-17T12:04:14Z</cp:lastPrinted>
  <dcterms:created xsi:type="dcterms:W3CDTF">2020-06-30T00:10:22Z</dcterms:created>
  <dcterms:modified xsi:type="dcterms:W3CDTF">2026-04-17T12:04:18Z</dcterms:modified>
</cp:coreProperties>
</file>