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L:\COMPRAS\EDITAIS\EDITAIS 2024\CONCORRENCIA\CE 08 - Iluminação LED convênio 101780-2024\Doc Eng\"/>
    </mc:Choice>
  </mc:AlternateContent>
  <xr:revisionPtr revIDLastSave="0" documentId="13_ncr:1_{CEBEB4E5-333D-4B87-B0CA-987635D47D3C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BDI" sheetId="2" r:id="rId1"/>
    <sheet name="Planilha Orçamentária" sheetId="5" r:id="rId2"/>
    <sheet name="Quantitativo" sheetId="6" r:id="rId3"/>
    <sheet name="Cronograma" sheetId="7" r:id="rId4"/>
    <sheet name="Composiçao 001" sheetId="8" r:id="rId5"/>
  </sheets>
  <externalReferences>
    <externalReference r:id="rId6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5" l="1"/>
  <c r="E14" i="6"/>
  <c r="C14" i="6"/>
  <c r="C15" i="6" s="1"/>
  <c r="C19" i="6" s="1"/>
  <c r="B15" i="6"/>
  <c r="E13" i="6"/>
  <c r="E7" i="6"/>
  <c r="E6" i="6"/>
  <c r="E5" i="6"/>
  <c r="E4" i="6"/>
  <c r="E3" i="6"/>
  <c r="E2" i="6"/>
  <c r="D7" i="6"/>
  <c r="E15" i="6" l="1"/>
  <c r="H26" i="5"/>
  <c r="H20" i="5"/>
  <c r="H19" i="5"/>
  <c r="F19" i="5" l="1"/>
  <c r="F20" i="5" s="1"/>
  <c r="I20" i="5" s="1"/>
  <c r="H18" i="5"/>
  <c r="I18" i="5" s="1"/>
  <c r="I19" i="5" l="1"/>
  <c r="C17" i="5"/>
  <c r="D17" i="5"/>
  <c r="F8" i="8"/>
  <c r="F13" i="8" s="1"/>
  <c r="F14" i="8" s="1"/>
  <c r="G17" i="5" s="1"/>
  <c r="F7" i="8"/>
  <c r="F4" i="8"/>
  <c r="H16" i="7" l="1"/>
  <c r="G16" i="7"/>
  <c r="E16" i="7"/>
  <c r="D16" i="7"/>
  <c r="D14" i="6"/>
  <c r="D13" i="6"/>
  <c r="D12" i="6"/>
  <c r="D10" i="6"/>
  <c r="D9" i="6"/>
  <c r="D8" i="6"/>
  <c r="D6" i="6"/>
  <c r="D5" i="6"/>
  <c r="D4" i="6"/>
  <c r="D3" i="6"/>
  <c r="D2" i="6"/>
  <c r="H28" i="5"/>
  <c r="F28" i="5"/>
  <c r="H27" i="5"/>
  <c r="H25" i="5"/>
  <c r="H24" i="5"/>
  <c r="H22" i="5"/>
  <c r="H21" i="5"/>
  <c r="H17" i="5"/>
  <c r="I17" i="5" s="1"/>
  <c r="H13" i="5"/>
  <c r="I13" i="5" s="1"/>
  <c r="H12" i="5"/>
  <c r="I12" i="5" s="1"/>
  <c r="F12" i="5"/>
  <c r="N24" i="2"/>
  <c r="N26" i="2" s="1"/>
  <c r="M22" i="2"/>
  <c r="I22" i="2"/>
  <c r="A22" i="2"/>
  <c r="C22" i="2" s="1"/>
  <c r="M21" i="2"/>
  <c r="I21" i="2"/>
  <c r="C21" i="2"/>
  <c r="M20" i="2"/>
  <c r="I20" i="2"/>
  <c r="M19" i="2"/>
  <c r="I19" i="2"/>
  <c r="M18" i="2"/>
  <c r="I18" i="2"/>
  <c r="A17" i="2"/>
  <c r="A18" i="2" s="1"/>
  <c r="C15" i="2"/>
  <c r="A15" i="2"/>
  <c r="C14" i="2"/>
  <c r="C13" i="2"/>
  <c r="C12" i="2"/>
  <c r="Q11" i="2"/>
  <c r="N25" i="2" s="1"/>
  <c r="O25" i="2" s="1"/>
  <c r="C11" i="2"/>
  <c r="C10" i="2"/>
  <c r="C9" i="2"/>
  <c r="I8" i="2"/>
  <c r="C8" i="2"/>
  <c r="K5" i="2"/>
  <c r="I5" i="2"/>
  <c r="A3" i="2"/>
  <c r="C3" i="2" s="1"/>
  <c r="C2" i="2"/>
  <c r="N1" i="2"/>
  <c r="A23" i="2" l="1"/>
  <c r="A24" i="2" s="1"/>
  <c r="C24" i="2" s="1"/>
  <c r="A4" i="2"/>
  <c r="A5" i="2" s="1"/>
  <c r="A25" i="2"/>
  <c r="C5" i="2"/>
  <c r="A6" i="2"/>
  <c r="C18" i="2"/>
  <c r="A19" i="2"/>
  <c r="C4" i="2"/>
  <c r="C17" i="2"/>
  <c r="C23" i="2"/>
  <c r="D15" i="6"/>
  <c r="F23" i="5" s="1"/>
  <c r="I23" i="5" s="1"/>
  <c r="I28" i="5"/>
  <c r="I15" i="5"/>
  <c r="I12" i="7" s="1"/>
  <c r="C12" i="7" s="1"/>
  <c r="C16" i="7" s="1"/>
  <c r="A20" i="2" l="1"/>
  <c r="C20" i="2" s="1"/>
  <c r="C19" i="2"/>
  <c r="A26" i="2"/>
  <c r="C26" i="2" s="1"/>
  <c r="C25" i="2"/>
  <c r="C6" i="2"/>
  <c r="Q19" i="2" s="1"/>
  <c r="A7" i="2"/>
  <c r="C7" i="2" s="1"/>
  <c r="Q18" i="2" s="1"/>
  <c r="R22" i="2"/>
  <c r="P21" i="2"/>
  <c r="P18" i="2"/>
  <c r="F27" i="5"/>
  <c r="F24" i="5"/>
  <c r="I24" i="5" s="1"/>
  <c r="F25" i="5"/>
  <c r="P20" i="2" l="1"/>
  <c r="R18" i="2"/>
  <c r="I27" i="5"/>
  <c r="F21" i="5"/>
  <c r="Q20" i="2"/>
  <c r="Q22" i="2"/>
  <c r="P26" i="2"/>
  <c r="R21" i="2"/>
  <c r="P22" i="2"/>
  <c r="R19" i="2"/>
  <c r="R26" i="2"/>
  <c r="P19" i="2"/>
  <c r="R20" i="2"/>
  <c r="Q21" i="2"/>
  <c r="Q26" i="2"/>
  <c r="F26" i="5"/>
  <c r="I26" i="5" s="1"/>
  <c r="I25" i="5"/>
  <c r="F22" i="5" l="1"/>
  <c r="I22" i="5" s="1"/>
  <c r="I21" i="5"/>
  <c r="O26" i="2"/>
  <c r="I29" i="5"/>
  <c r="I30" i="5" s="1"/>
  <c r="I14" i="7" l="1"/>
  <c r="F14" i="7" s="1"/>
  <c r="F16" i="7" s="1"/>
  <c r="I16" i="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Fernanda Grando</author>
  </authors>
  <commentList>
    <comment ref="B6" authorId="0" shapeId="0" xr:uid="{00000000-0006-0000-0200-000001000000}">
      <text>
        <r>
          <rPr>
            <b/>
            <sz val="9"/>
            <color indexed="81"/>
            <rFont val="Tahoma"/>
            <charset val="1"/>
          </rPr>
          <t>Fernanda Grando:</t>
        </r>
        <r>
          <rPr>
            <sz val="9"/>
            <color indexed="81"/>
            <rFont val="Tahoma"/>
            <charset val="1"/>
          </rPr>
          <t xml:space="preserve">
excluindo 1 na praça</t>
        </r>
      </text>
    </comment>
  </commentList>
</comments>
</file>

<file path=xl/sharedStrings.xml><?xml version="1.0" encoding="utf-8"?>
<sst xmlns="http://schemas.openxmlformats.org/spreadsheetml/2006/main" count="242" uniqueCount="176">
  <si>
    <t>PLANILHA ORÇAMENTÁRIA</t>
  </si>
  <si>
    <t>OBRA:</t>
  </si>
  <si>
    <t>DATA BASE:</t>
  </si>
  <si>
    <t>LEIS SOCIAIS - BDI %</t>
  </si>
  <si>
    <t>DESCRIÇÃO DOS SERVIÇOS</t>
  </si>
  <si>
    <t>UNID.</t>
  </si>
  <si>
    <t>QUANT.</t>
  </si>
  <si>
    <t xml:space="preserve">CODIGO </t>
  </si>
  <si>
    <t>MIN</t>
  </si>
  <si>
    <t>MED</t>
  </si>
  <si>
    <t>MAX</t>
  </si>
  <si>
    <t>Construção e Reforma de Edifícios</t>
  </si>
  <si>
    <t>AC</t>
  </si>
  <si>
    <t>SG</t>
  </si>
  <si>
    <t>R</t>
  </si>
  <si>
    <t>Nº TC/CR</t>
  </si>
  <si>
    <t>PROPONENTE / TOMADOR</t>
  </si>
  <si>
    <t>DF</t>
  </si>
  <si>
    <t>L</t>
  </si>
  <si>
    <t>BDI PAD</t>
  </si>
  <si>
    <t>OBJETO</t>
  </si>
  <si>
    <t>Construção de Praças Urbanas, Rodovias, Ferrovias e recapeamento e pavimentação de vias urbanas</t>
  </si>
  <si>
    <t>TIPO DE OBRA DO EMPREENDIMENTO</t>
  </si>
  <si>
    <t>DESONERAÇÃO</t>
  </si>
  <si>
    <t>Construção e Manutenção de Estações e Redes de Distribuição de Energia Elétrica</t>
  </si>
  <si>
    <t>Conforme legislação tributária municipal, definir estimativa de percentual da base de cálculo para o ISS:</t>
  </si>
  <si>
    <t>Construção de Redes de Abastecimento de Água, Coleta de Esgoto</t>
  </si>
  <si>
    <t>Sobre a base de cálculo, definir a respectiva alíquota do ISS (entre 2% e 5%):</t>
  </si>
  <si>
    <t>Itens</t>
  </si>
  <si>
    <t>Siglas</t>
  </si>
  <si>
    <t>% Adotado</t>
  </si>
  <si>
    <t>Situação</t>
  </si>
  <si>
    <t>1º Quartil</t>
  </si>
  <si>
    <t>Médio</t>
  </si>
  <si>
    <t>3º Quartil</t>
  </si>
  <si>
    <t>-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</si>
  <si>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</si>
  <si>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</si>
  <si>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</si>
  <si>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</si>
  <si>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</si>
  <si>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</si>
  <si>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
(Fórmula Acórdão TCU)</t>
  </si>
  <si>
    <t>TOTAL</t>
  </si>
  <si>
    <t>Placa de identificação para obra</t>
  </si>
  <si>
    <t>02.08.020</t>
  </si>
  <si>
    <t xml:space="preserve">Engenheira Civil </t>
  </si>
  <si>
    <t xml:space="preserve">Prefeitura Municipal de Cerquilho </t>
  </si>
  <si>
    <t>VALOR UNIT S/ BDI</t>
  </si>
  <si>
    <t>VALOR UNIT. C/ BDI</t>
  </si>
  <si>
    <t>VALOR TOTAL C/ BDI</t>
  </si>
  <si>
    <t>2.1</t>
  </si>
  <si>
    <t>2.2</t>
  </si>
  <si>
    <t>2.3</t>
  </si>
  <si>
    <t>2.4</t>
  </si>
  <si>
    <t xml:space="preserve">ILUMINAÇÃO PUBLICA </t>
  </si>
  <si>
    <t xml:space="preserve">SERVIÇOS PRELIMINARES </t>
  </si>
  <si>
    <t xml:space="preserve">ITEM </t>
  </si>
  <si>
    <t>1.1</t>
  </si>
  <si>
    <t xml:space="preserve">Sub.Total </t>
  </si>
  <si>
    <t>BDI = 24,00%</t>
  </si>
  <si>
    <t>Fernanda Miguel Grando Bufo</t>
  </si>
  <si>
    <t>Crea: 5063870350</t>
  </si>
  <si>
    <t>FONTE</t>
  </si>
  <si>
    <t>M2</t>
  </si>
  <si>
    <t>CDHU 193 -sd</t>
  </si>
  <si>
    <t>POSTE DE CONCRETO ARMADO DE SECAO DUPLO T, EXTENSAO DE 9,00 M, RESISTENCIA DE 150 DAN, TIPO D</t>
  </si>
  <si>
    <t xml:space="preserve">m </t>
  </si>
  <si>
    <t>38.13.020</t>
  </si>
  <si>
    <t>m</t>
  </si>
  <si>
    <t>42.05.200</t>
  </si>
  <si>
    <t>42.05.160</t>
  </si>
  <si>
    <t>41.10.500</t>
  </si>
  <si>
    <t>41.11.721</t>
  </si>
  <si>
    <t>Haste de aterramento de 5/8" x 2,4 m</t>
  </si>
  <si>
    <t>Conector olhal cabo/haste de 5/8´</t>
  </si>
  <si>
    <t>Luminária pública LED retangular para poste, fluxo luminoso de 6250 a 6674 lm, eficiência mínima 113 lm/W ‐ potência 40 W/59 W</t>
  </si>
  <si>
    <t>Lum. Simples</t>
  </si>
  <si>
    <t>Lum. Dupla</t>
  </si>
  <si>
    <t>Poste metálico</t>
  </si>
  <si>
    <t>Trecho B</t>
  </si>
  <si>
    <t>Trecho C</t>
  </si>
  <si>
    <t>Trecho D</t>
  </si>
  <si>
    <t>Trecho E</t>
  </si>
  <si>
    <t>Trecho F</t>
  </si>
  <si>
    <t>Trecho G</t>
  </si>
  <si>
    <t>Trecho H</t>
  </si>
  <si>
    <t>Trecho I</t>
  </si>
  <si>
    <t>Trecho J</t>
  </si>
  <si>
    <t>Trecho L</t>
  </si>
  <si>
    <t>Trecho M</t>
  </si>
  <si>
    <t>Trecho N</t>
  </si>
  <si>
    <t>Av Washington Luis</t>
  </si>
  <si>
    <t>Av Ver. Arnaldo Rodrigues</t>
  </si>
  <si>
    <t>Trecho K</t>
  </si>
  <si>
    <t>Av Flamboyant</t>
  </si>
  <si>
    <t>Estrada Municipal Francisco Bellucci</t>
  </si>
  <si>
    <t>cep</t>
  </si>
  <si>
    <t>18520049, 18523212</t>
  </si>
  <si>
    <t>04.21.130</t>
  </si>
  <si>
    <t>Remoção de poste de concreto</t>
  </si>
  <si>
    <t>1.2</t>
  </si>
  <si>
    <t>2.5</t>
  </si>
  <si>
    <t>2.6</t>
  </si>
  <si>
    <t>2.7</t>
  </si>
  <si>
    <t>Rua Antônio Sílvio Cunha Bueno, 1 a 570 - centro e 572 a 1326 - pq das arvores</t>
  </si>
  <si>
    <t>18520000 e 18523280</t>
  </si>
  <si>
    <t>Implantação de Iluminação de LED</t>
  </si>
  <si>
    <t>39.29.112</t>
  </si>
  <si>
    <t>LISTAGEM DE PREÇOS CDHU 193 SEM DESONERAÇÃO/ SINPAPI ABRIL/2024 Sem desoneração</t>
  </si>
  <si>
    <t>SECRETARIA DE OBRAS</t>
  </si>
  <si>
    <t xml:space="preserve">Obra: </t>
  </si>
  <si>
    <t>BDI Adotato</t>
  </si>
  <si>
    <t>Rua:</t>
  </si>
  <si>
    <t>Bairro:</t>
  </si>
  <si>
    <t>CRONOGRAMA FÍSICO FINANCEIRO</t>
  </si>
  <si>
    <t>ITEM</t>
  </si>
  <si>
    <t>DISCRIMINAÇÃO</t>
  </si>
  <si>
    <t>MÊS</t>
  </si>
  <si>
    <t>Total (em R$)</t>
  </si>
  <si>
    <t>DE  ATIVIDADES</t>
  </si>
  <si>
    <t>SERVIÇOS PRELIMINARES</t>
  </si>
  <si>
    <t>TOTAIS</t>
  </si>
  <si>
    <t>Referência de Preços:</t>
  </si>
  <si>
    <t>CDHU 193 s/ desoneração e  SINAPI ABRIl/2024 s/ desoneração</t>
  </si>
  <si>
    <t>ILUMINAÇÃO PÚBLICA</t>
  </si>
  <si>
    <t>Av. Corradi Segundo, Est. Francisco Bellucci e Rua Antônio S. C. Bueno</t>
  </si>
  <si>
    <t>Res. Cattai/ Cittá Bellucci, Parque das Árvores e Centro</t>
  </si>
  <si>
    <t>Cabo de cobre flexível de 4,0 mm², isolamento 750 V ‐ isolação LSHF/A 70°C ‐ baixa emissão de fumaça e gases</t>
  </si>
  <si>
    <t>Poste telecônico reto em aço SAE 1010/1020 galvanizado a fogo, altura de 4,00 m</t>
  </si>
  <si>
    <t>Totais</t>
  </si>
  <si>
    <t>COMPOSIÇÕES</t>
  </si>
  <si>
    <t>Unid.</t>
  </si>
  <si>
    <t>Coef. Consumo</t>
  </si>
  <si>
    <t>Preço Unitário</t>
  </si>
  <si>
    <t>Preço item</t>
  </si>
  <si>
    <t>H</t>
  </si>
  <si>
    <t>Valores:</t>
  </si>
  <si>
    <t>Mão de obra:</t>
  </si>
  <si>
    <t>Material:</t>
  </si>
  <si>
    <t>TOTAL:</t>
  </si>
  <si>
    <t>CABO DE COBRE NU 35MM² MEIO-DURO</t>
  </si>
  <si>
    <t>M</t>
  </si>
  <si>
    <t>GUINDAUTO HIDRÁULICO, CAPACIDADE MÁXIMA DE CARGA 6200 KG, MOMENTO MÁXIMO DE CARGA 11,7 TM, ALCANCE MÁXIMO HORIZONTAL 9,70 M, INCLUSIVE CAMINHÃO TOCO PBT 16.000 KG, POTÊNCIA DE 189 CV - CHP DIURNO. AF_06/2014</t>
  </si>
  <si>
    <t>CHP</t>
  </si>
  <si>
    <t>AUXILIAR DE ELETRICISTA COM ENCARGOS COMPLEMENTARES</t>
  </si>
  <si>
    <t>ELETRICISTA COM ENCARGOS COMPLEMENTARES</t>
  </si>
  <si>
    <t>Equipamento</t>
  </si>
  <si>
    <t>Refrência: SINAPI ABRIL/2024- s/ desoneração</t>
  </si>
  <si>
    <t xml:space="preserve">Composição </t>
  </si>
  <si>
    <t>ASSENTAMENTO DE POSTE DE CONCRETO COM COMPRIMENTO NOMINAL DE 9 M, CARGA NOMINAL MENOR OU IGUAL A 1000 DAN, ENGASTAMENTO SIMPLES COM 1,5 M DE SOLO (Ref. SINAPI 100578)</t>
  </si>
  <si>
    <t>C-01</t>
  </si>
  <si>
    <t xml:space="preserve">SINAPI </t>
  </si>
  <si>
    <t>ENTRADA DE ENERGIA ELÉTRICA, AÉREA, BIFÁSICA, COM CAIXA DE EMBUTIR, CABO DE 10 MM2 E DISJUNTOR DIN 50A (NÃO INCLUSO O POSTE DE CONCRETO). AF
_07/2020_PS</t>
  </si>
  <si>
    <t>2.8</t>
  </si>
  <si>
    <t>06.02.020</t>
  </si>
  <si>
    <t>Escavação manual em solo de 1ª e 2ª categoria em vala ou cava até 1,5</t>
  </si>
  <si>
    <t>M3</t>
  </si>
  <si>
    <t>Eletroduto corrugado em polietileno de alta densidade, DN= 50 mm,
com acessórios</t>
  </si>
  <si>
    <t>06.11.020</t>
  </si>
  <si>
    <t>Reaterro manual para simples regularização sem compactação</t>
  </si>
  <si>
    <t>39.04.040</t>
  </si>
  <si>
    <t>Cabo de cobre nu, têmpera mole, classe 2, de 10 mm²</t>
  </si>
  <si>
    <t>Cerquilho , 11 de junho de 2024.</t>
  </si>
  <si>
    <t>42.05.320</t>
  </si>
  <si>
    <t>Caixa de inspeção do terra cilíndrica em PVC rígido, diâmetro de 300 mm ‐ h= 400 mm</t>
  </si>
  <si>
    <t>cx passagem</t>
  </si>
  <si>
    <t>2.9</t>
  </si>
  <si>
    <t>2.10</t>
  </si>
  <si>
    <t>2.11</t>
  </si>
  <si>
    <t>2.12</t>
  </si>
  <si>
    <t>Eletroduto (m)</t>
  </si>
  <si>
    <t>Av Corradi II</t>
  </si>
  <si>
    <t>Endereço</t>
  </si>
  <si>
    <t>PLANILHA ORÇAMENTÁRIA - DEMANDA 074833</t>
  </si>
  <si>
    <t>Cerquilho , 25 de junho de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</si>
</sst>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-[$R$-416]\ * #,##0.00_-;\-[$R$-416]\ * #,##0.00_-;_-[$R$-416]\ * &quot;-&quot;??_-;_-@_-"/>
    <numFmt numFmtId="166" formatCode="_(&quot;Cr$&quot;* #,##0.00_);_(&quot;Cr$&quot;* \(#,##0.00\);_(&quot;Cr$&quot;* &quot;-&quot;??_);_(@_)"/>
    <numFmt numFmtId="167" formatCode="_(* #,##0.00_);_(* \(#,##0.00\);_(* &quot;-&quot;??_);_(@_)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b/>
      <sz val="11"/>
      <color theme="1"/>
      <name val="Times New Roman"/>
      <family val="1"/>
    </font>
    <font>
      <sz val="9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4"/>
      <color theme="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trike/>
      <sz val="11"/>
      <color theme="1"/>
      <name val="Calibri"/>
      <family val="2"/>
      <scheme val="minor"/>
    </font>
    <font>
      <sz val="10"/>
      <color indexed="56"/>
      <name val="Verdana"/>
      <family val="2"/>
    </font>
    <font>
      <b/>
      <sz val="13"/>
      <color indexed="56"/>
      <name val="Verdana"/>
      <family val="2"/>
    </font>
    <font>
      <b/>
      <sz val="12"/>
      <color indexed="56"/>
      <name val="Verdana"/>
      <family val="2"/>
    </font>
    <font>
      <sz val="12"/>
      <color indexed="56"/>
      <name val="Verdana"/>
      <family val="2"/>
    </font>
    <font>
      <sz val="12"/>
      <color rgb="FFFF0000"/>
      <name val="Verdana"/>
      <family val="2"/>
    </font>
    <font>
      <b/>
      <i/>
      <sz val="12"/>
      <color indexed="10"/>
      <name val="Verdana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56"/>
      </right>
      <top/>
      <bottom/>
      <diagonal/>
    </border>
    <border>
      <left style="medium">
        <color indexed="56"/>
      </left>
      <right style="medium">
        <color indexed="56"/>
      </right>
      <top/>
      <bottom/>
      <diagonal/>
    </border>
    <border>
      <left style="medium">
        <color indexed="56"/>
      </left>
      <right/>
      <top/>
      <bottom style="medium">
        <color indexed="56"/>
      </bottom>
      <diagonal/>
    </border>
    <border>
      <left/>
      <right/>
      <top/>
      <bottom style="medium">
        <color indexed="56"/>
      </bottom>
      <diagonal/>
    </border>
    <border>
      <left/>
      <right style="medium">
        <color indexed="56"/>
      </right>
      <top/>
      <bottom style="medium">
        <color indexed="56"/>
      </bottom>
      <diagonal/>
    </border>
    <border>
      <left style="medium">
        <color indexed="56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56"/>
      </right>
      <top/>
      <bottom style="medium">
        <color indexed="56"/>
      </bottom>
      <diagonal/>
    </border>
    <border>
      <left style="medium">
        <color indexed="56"/>
      </left>
      <right style="medium">
        <color indexed="56"/>
      </right>
      <top/>
      <bottom style="medium">
        <color indexed="56"/>
      </bottom>
      <diagonal/>
    </border>
    <border>
      <left style="medium">
        <color indexed="56"/>
      </left>
      <right style="medium">
        <color indexed="56"/>
      </right>
      <top style="medium">
        <color indexed="56"/>
      </top>
      <bottom style="medium">
        <color indexed="56"/>
      </bottom>
      <diagonal/>
    </border>
    <border>
      <left style="medium">
        <color indexed="56"/>
      </left>
      <right style="medium">
        <color indexed="64"/>
      </right>
      <top/>
      <bottom style="medium">
        <color indexed="56"/>
      </bottom>
      <diagonal/>
    </border>
    <border>
      <left style="medium">
        <color indexed="64"/>
      </left>
      <right style="medium">
        <color indexed="56"/>
      </right>
      <top/>
      <bottom style="thin">
        <color indexed="8"/>
      </bottom>
      <diagonal/>
    </border>
    <border>
      <left style="medium">
        <color indexed="56"/>
      </left>
      <right style="medium">
        <color indexed="56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56"/>
      </left>
      <right style="medium">
        <color indexed="64"/>
      </right>
      <top style="medium">
        <color indexed="56"/>
      </top>
      <bottom style="thin">
        <color indexed="38"/>
      </bottom>
      <diagonal/>
    </border>
    <border>
      <left style="medium">
        <color indexed="64"/>
      </left>
      <right style="medium">
        <color indexed="56"/>
      </right>
      <top style="thin">
        <color indexed="8"/>
      </top>
      <bottom style="thin">
        <color indexed="8"/>
      </bottom>
      <diagonal/>
    </border>
    <border>
      <left style="medium">
        <color indexed="56"/>
      </left>
      <right style="medium">
        <color indexed="56"/>
      </right>
      <top/>
      <bottom style="thin">
        <color indexed="8"/>
      </bottom>
      <diagonal/>
    </border>
    <border>
      <left/>
      <right style="medium">
        <color indexed="64"/>
      </right>
      <top style="thin">
        <color indexed="38"/>
      </top>
      <bottom style="medium">
        <color indexed="56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56"/>
      </left>
      <right style="medium">
        <color indexed="64"/>
      </right>
      <top style="thin">
        <color indexed="38"/>
      </top>
      <bottom style="medium">
        <color indexed="56"/>
      </bottom>
      <diagonal/>
    </border>
    <border>
      <left style="medium">
        <color indexed="64"/>
      </left>
      <right style="thick">
        <color indexed="8"/>
      </right>
      <top style="medium">
        <color indexed="56"/>
      </top>
      <bottom style="medium">
        <color indexed="56"/>
      </bottom>
      <diagonal/>
    </border>
    <border>
      <left style="thick">
        <color indexed="8"/>
      </left>
      <right style="medium">
        <color indexed="56"/>
      </right>
      <top style="medium">
        <color indexed="56"/>
      </top>
      <bottom style="medium">
        <color indexed="56"/>
      </bottom>
      <diagonal/>
    </border>
    <border>
      <left style="medium">
        <color indexed="56"/>
      </left>
      <right style="medium">
        <color indexed="64"/>
      </right>
      <top style="medium">
        <color indexed="56"/>
      </top>
      <bottom style="medium">
        <color indexed="56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8" fillId="0" borderId="0"/>
    <xf numFmtId="164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5">
    <xf numFmtId="0" fontId="0" fillId="0" borderId="0" xfId="0"/>
    <xf numFmtId="0" fontId="5" fillId="0" borderId="0" xfId="2" applyFont="1"/>
    <xf numFmtId="0" fontId="6" fillId="0" borderId="0" xfId="2" applyFont="1" applyAlignment="1">
      <alignment horizontal="center"/>
    </xf>
    <xf numFmtId="0" fontId="4" fillId="0" borderId="0" xfId="2" applyFont="1" applyAlignment="1">
      <alignment horizontal="center"/>
    </xf>
    <xf numFmtId="0" fontId="6" fillId="0" borderId="1" xfId="2" applyFont="1" applyBorder="1" applyAlignment="1">
      <alignment horizontal="center"/>
    </xf>
    <xf numFmtId="10" fontId="7" fillId="0" borderId="1" xfId="2" applyNumberFormat="1" applyFont="1" applyBorder="1" applyAlignment="1">
      <alignment horizontal="center"/>
    </xf>
    <xf numFmtId="0" fontId="6" fillId="0" borderId="0" xfId="2" applyFont="1"/>
    <xf numFmtId="0" fontId="6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10" fontId="10" fillId="3" borderId="1" xfId="2" applyNumberFormat="1" applyFont="1" applyFill="1" applyBorder="1" applyAlignment="1" applyProtection="1">
      <alignment horizontal="center" vertical="center"/>
      <protection locked="0"/>
    </xf>
    <xf numFmtId="4" fontId="9" fillId="0" borderId="1" xfId="2" applyNumberFormat="1" applyFont="1" applyBorder="1" applyAlignment="1">
      <alignment horizontal="center" vertical="center"/>
    </xf>
    <xf numFmtId="10" fontId="10" fillId="0" borderId="1" xfId="2" applyNumberFormat="1" applyFont="1" applyBorder="1" applyAlignment="1">
      <alignment horizontal="center" vertical="center"/>
    </xf>
    <xf numFmtId="10" fontId="10" fillId="0" borderId="1" xfId="2" applyNumberFormat="1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4" fontId="9" fillId="0" borderId="1" xfId="2" applyNumberFormat="1" applyFont="1" applyBorder="1" applyAlignment="1">
      <alignment horizontal="center" vertical="center" wrapText="1"/>
    </xf>
    <xf numFmtId="0" fontId="15" fillId="0" borderId="1" xfId="2" applyFont="1" applyBorder="1" applyAlignment="1">
      <alignment horizontal="center" vertical="center"/>
    </xf>
    <xf numFmtId="0" fontId="15" fillId="0" borderId="1" xfId="2" applyFont="1" applyBorder="1" applyAlignment="1">
      <alignment horizontal="left" vertical="center"/>
    </xf>
    <xf numFmtId="4" fontId="15" fillId="0" borderId="1" xfId="2" applyNumberFormat="1" applyFont="1" applyBorder="1" applyAlignment="1">
      <alignment horizontal="center" vertical="center"/>
    </xf>
    <xf numFmtId="44" fontId="15" fillId="0" borderId="1" xfId="1" applyFont="1" applyFill="1" applyBorder="1" applyAlignment="1">
      <alignment horizontal="center" vertical="center"/>
    </xf>
    <xf numFmtId="44" fontId="12" fillId="0" borderId="1" xfId="1" applyFont="1" applyBorder="1" applyAlignment="1">
      <alignment horizontal="center" vertical="center"/>
    </xf>
    <xf numFmtId="44" fontId="13" fillId="0" borderId="20" xfId="1" applyFont="1" applyBorder="1" applyAlignment="1">
      <alignment horizontal="center" vertical="center"/>
    </xf>
    <xf numFmtId="44" fontId="16" fillId="4" borderId="21" xfId="1" applyFont="1" applyFill="1" applyBorder="1" applyAlignment="1">
      <alignment vertical="center"/>
    </xf>
    <xf numFmtId="0" fontId="14" fillId="0" borderId="1" xfId="2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0" fillId="0" borderId="17" xfId="0" applyBorder="1"/>
    <xf numFmtId="0" fontId="0" fillId="0" borderId="18" xfId="0" applyBorder="1"/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165" fontId="18" fillId="5" borderId="0" xfId="0" applyNumberFormat="1" applyFont="1" applyFill="1" applyAlignment="1">
      <alignment horizontal="left" vertical="center"/>
    </xf>
    <xf numFmtId="44" fontId="18" fillId="0" borderId="0" xfId="1" applyFont="1" applyBorder="1" applyAlignment="1">
      <alignment horizontal="left" vertical="center"/>
    </xf>
    <xf numFmtId="44" fontId="18" fillId="0" borderId="18" xfId="1" applyFont="1" applyBorder="1" applyAlignment="1">
      <alignment horizontal="left" vertical="center"/>
    </xf>
    <xf numFmtId="44" fontId="17" fillId="0" borderId="18" xfId="1" applyFont="1" applyBorder="1" applyAlignment="1">
      <alignment horizontal="left" vertical="center"/>
    </xf>
    <xf numFmtId="44" fontId="16" fillId="0" borderId="24" xfId="1" applyFont="1" applyBorder="1" applyAlignment="1">
      <alignment horizontal="center" vertical="center"/>
    </xf>
    <xf numFmtId="44" fontId="17" fillId="0" borderId="0" xfId="1" applyFont="1" applyBorder="1" applyAlignment="1">
      <alignment vertical="center"/>
    </xf>
    <xf numFmtId="165" fontId="18" fillId="5" borderId="0" xfId="0" applyNumberFormat="1" applyFont="1" applyFill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0" fontId="20" fillId="2" borderId="1" xfId="2" applyFont="1" applyFill="1" applyBorder="1" applyAlignment="1">
      <alignment horizontal="center" vertical="center"/>
    </xf>
    <xf numFmtId="4" fontId="20" fillId="2" borderId="1" xfId="2" applyNumberFormat="1" applyFont="1" applyFill="1" applyBorder="1" applyAlignment="1">
      <alignment horizontal="center" vertical="center"/>
    </xf>
    <xf numFmtId="44" fontId="20" fillId="2" borderId="1" xfId="1" applyFont="1" applyFill="1" applyBorder="1" applyAlignment="1">
      <alignment horizontal="center" vertical="center" wrapText="1"/>
    </xf>
    <xf numFmtId="0" fontId="20" fillId="2" borderId="1" xfId="2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44" fontId="13" fillId="0" borderId="1" xfId="1" applyFont="1" applyBorder="1" applyAlignment="1">
      <alignment horizontal="center" vertical="center"/>
    </xf>
    <xf numFmtId="44" fontId="13" fillId="0" borderId="1" xfId="1" applyFont="1" applyBorder="1" applyAlignment="1">
      <alignment horizontal="center" vertical="center" wrapText="1"/>
    </xf>
    <xf numFmtId="44" fontId="13" fillId="0" borderId="20" xfId="0" applyNumberFormat="1" applyFont="1" applyBorder="1" applyAlignment="1">
      <alignment horizontal="center" vertical="center" wrapText="1"/>
    </xf>
    <xf numFmtId="0" fontId="13" fillId="0" borderId="19" xfId="0" applyFont="1" applyBorder="1" applyAlignment="1">
      <alignment horizontal="left"/>
    </xf>
    <xf numFmtId="0" fontId="11" fillId="2" borderId="12" xfId="0" applyFont="1" applyFill="1" applyBorder="1" applyAlignment="1">
      <alignment horizontal="center" vertical="center"/>
    </xf>
    <xf numFmtId="0" fontId="13" fillId="0" borderId="12" xfId="0" applyFont="1" applyBorder="1" applyAlignment="1">
      <alignment horizontal="left"/>
    </xf>
    <xf numFmtId="0" fontId="20" fillId="2" borderId="20" xfId="2" applyFont="1" applyFill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2" xfId="0" applyFont="1" applyBorder="1" applyAlignment="1">
      <alignment horizontal="left" vertical="center"/>
    </xf>
    <xf numFmtId="0" fontId="22" fillId="0" borderId="7" xfId="0" applyFont="1" applyBorder="1" applyAlignment="1">
      <alignment vertical="center" wrapText="1"/>
    </xf>
    <xf numFmtId="0" fontId="22" fillId="0" borderId="1" xfId="0" applyFont="1" applyBorder="1"/>
    <xf numFmtId="0" fontId="2" fillId="0" borderId="1" xfId="0" applyFont="1" applyBorder="1"/>
    <xf numFmtId="0" fontId="13" fillId="0" borderId="28" xfId="0" applyFont="1" applyBorder="1" applyAlignment="1">
      <alignment horizontal="left"/>
    </xf>
    <xf numFmtId="0" fontId="15" fillId="0" borderId="11" xfId="2" applyFont="1" applyBorder="1" applyAlignment="1">
      <alignment horizontal="center" vertical="center"/>
    </xf>
    <xf numFmtId="0" fontId="15" fillId="0" borderId="11" xfId="2" applyFont="1" applyBorder="1" applyAlignment="1">
      <alignment horizontal="left" vertical="center"/>
    </xf>
    <xf numFmtId="4" fontId="15" fillId="0" borderId="11" xfId="2" applyNumberFormat="1" applyFont="1" applyBorder="1" applyAlignment="1">
      <alignment horizontal="center" vertical="center"/>
    </xf>
    <xf numFmtId="44" fontId="15" fillId="0" borderId="11" xfId="1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23" fillId="0" borderId="14" xfId="0" applyFont="1" applyBorder="1"/>
    <xf numFmtId="0" fontId="23" fillId="0" borderId="15" xfId="0" applyFont="1" applyBorder="1"/>
    <xf numFmtId="0" fontId="23" fillId="0" borderId="16" xfId="0" applyFont="1" applyBorder="1"/>
    <xf numFmtId="0" fontId="11" fillId="0" borderId="35" xfId="0" applyFont="1" applyBorder="1" applyAlignment="1">
      <alignment horizontal="center" vertical="center"/>
    </xf>
    <xf numFmtId="0" fontId="23" fillId="0" borderId="18" xfId="0" applyFont="1" applyBorder="1"/>
    <xf numFmtId="0" fontId="12" fillId="0" borderId="23" xfId="0" applyFont="1" applyBorder="1" applyAlignment="1">
      <alignment vertical="center" wrapText="1"/>
    </xf>
    <xf numFmtId="0" fontId="23" fillId="0" borderId="24" xfId="0" applyFont="1" applyBorder="1"/>
    <xf numFmtId="0" fontId="23" fillId="0" borderId="17" xfId="0" applyFont="1" applyBorder="1"/>
    <xf numFmtId="0" fontId="23" fillId="0" borderId="0" xfId="0" applyFont="1"/>
    <xf numFmtId="0" fontId="25" fillId="0" borderId="39" xfId="0" applyFont="1" applyBorder="1" applyAlignment="1" applyProtection="1">
      <alignment horizontal="center" shrinkToFit="1"/>
      <protection locked="0"/>
    </xf>
    <xf numFmtId="166" fontId="25" fillId="0" borderId="45" xfId="0" applyNumberFormat="1" applyFont="1" applyBorder="1" applyAlignment="1" applyProtection="1">
      <alignment horizontal="center" vertical="center" shrinkToFit="1"/>
      <protection locked="0"/>
    </xf>
    <xf numFmtId="1" fontId="25" fillId="0" borderId="46" xfId="0" applyNumberFormat="1" applyFont="1" applyBorder="1" applyAlignment="1" applyProtection="1">
      <alignment horizontal="center" shrinkToFit="1"/>
      <protection locked="0"/>
    </xf>
    <xf numFmtId="39" fontId="26" fillId="0" borderId="50" xfId="0" applyNumberFormat="1" applyFont="1" applyBorder="1" applyAlignment="1" applyProtection="1">
      <alignment shrinkToFit="1"/>
      <protection locked="0"/>
    </xf>
    <xf numFmtId="39" fontId="26" fillId="0" borderId="51" xfId="0" applyNumberFormat="1" applyFont="1" applyBorder="1" applyAlignment="1" applyProtection="1">
      <alignment shrinkToFit="1"/>
      <protection locked="0"/>
    </xf>
    <xf numFmtId="39" fontId="27" fillId="6" borderId="1" xfId="0" applyNumberFormat="1" applyFont="1" applyFill="1" applyBorder="1" applyAlignment="1" applyProtection="1">
      <alignment shrinkToFit="1"/>
      <protection locked="0"/>
    </xf>
    <xf numFmtId="39" fontId="26" fillId="0" borderId="1" xfId="0" applyNumberFormat="1" applyFont="1" applyBorder="1" applyAlignment="1" applyProtection="1">
      <alignment shrinkToFit="1"/>
      <protection locked="0"/>
    </xf>
    <xf numFmtId="39" fontId="26" fillId="0" borderId="56" xfId="0" applyNumberFormat="1" applyFont="1" applyBorder="1" applyAlignment="1" applyProtection="1">
      <alignment shrinkToFit="1"/>
      <protection locked="0"/>
    </xf>
    <xf numFmtId="39" fontId="26" fillId="0" borderId="57" xfId="0" applyNumberFormat="1" applyFont="1" applyBorder="1" applyAlignment="1" applyProtection="1">
      <alignment shrinkToFit="1"/>
      <protection locked="0"/>
    </xf>
    <xf numFmtId="39" fontId="26" fillId="6" borderId="56" xfId="0" applyNumberFormat="1" applyFont="1" applyFill="1" applyBorder="1" applyAlignment="1" applyProtection="1">
      <alignment shrinkToFit="1"/>
      <protection locked="0"/>
    </xf>
    <xf numFmtId="39" fontId="25" fillId="6" borderId="58" xfId="0" applyNumberFormat="1" applyFont="1" applyFill="1" applyBorder="1" applyAlignment="1" applyProtection="1">
      <alignment shrinkToFit="1"/>
      <protection locked="0"/>
    </xf>
    <xf numFmtId="39" fontId="26" fillId="6" borderId="58" xfId="0" applyNumberFormat="1" applyFont="1" applyFill="1" applyBorder="1" applyAlignment="1" applyProtection="1">
      <alignment shrinkToFit="1"/>
      <protection locked="0"/>
    </xf>
    <xf numFmtId="39" fontId="26" fillId="5" borderId="58" xfId="0" applyNumberFormat="1" applyFont="1" applyFill="1" applyBorder="1" applyAlignment="1" applyProtection="1">
      <alignment shrinkToFit="1"/>
      <protection locked="0"/>
    </xf>
    <xf numFmtId="39" fontId="25" fillId="0" borderId="46" xfId="0" applyNumberFormat="1" applyFont="1" applyBorder="1" applyAlignment="1" applyProtection="1">
      <alignment shrinkToFit="1"/>
      <protection locked="0"/>
    </xf>
    <xf numFmtId="39" fontId="25" fillId="0" borderId="62" xfId="0" applyNumberFormat="1" applyFont="1" applyBorder="1" applyAlignment="1" applyProtection="1">
      <alignment shrinkToFit="1"/>
      <protection locked="0"/>
    </xf>
    <xf numFmtId="0" fontId="23" fillId="0" borderId="22" xfId="0" applyFont="1" applyBorder="1"/>
    <xf numFmtId="0" fontId="23" fillId="0" borderId="23" xfId="0" applyFont="1" applyBorder="1"/>
    <xf numFmtId="0" fontId="0" fillId="0" borderId="0" xfId="0" applyAlignment="1">
      <alignment horizontal="center"/>
    </xf>
    <xf numFmtId="0" fontId="0" fillId="7" borderId="1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" xfId="0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0" fillId="0" borderId="8" xfId="0" applyBorder="1" applyAlignment="1">
      <alignment horizontal="center"/>
    </xf>
    <xf numFmtId="44" fontId="21" fillId="0" borderId="0" xfId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wrapText="1"/>
    </xf>
    <xf numFmtId="165" fontId="0" fillId="0" borderId="1" xfId="0" applyNumberFormat="1" applyBorder="1" applyAlignment="1">
      <alignment horizontal="left"/>
    </xf>
    <xf numFmtId="165" fontId="2" fillId="0" borderId="1" xfId="0" applyNumberFormat="1" applyFont="1" applyBorder="1" applyAlignment="1">
      <alignment horizontal="left"/>
    </xf>
    <xf numFmtId="0" fontId="21" fillId="0" borderId="0" xfId="0" applyFont="1" applyAlignment="1">
      <alignment vertical="center"/>
    </xf>
    <xf numFmtId="0" fontId="30" fillId="0" borderId="1" xfId="0" applyFont="1" applyBorder="1" applyAlignment="1">
      <alignment horizontal="center" vertical="center"/>
    </xf>
    <xf numFmtId="165" fontId="30" fillId="0" borderId="1" xfId="0" applyNumberFormat="1" applyFont="1" applyBorder="1" applyAlignment="1">
      <alignment horizontal="center" vertical="center"/>
    </xf>
    <xf numFmtId="165" fontId="0" fillId="0" borderId="1" xfId="0" applyNumberFormat="1" applyBorder="1"/>
    <xf numFmtId="0" fontId="30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9" xfId="0" applyFont="1" applyBorder="1" applyAlignment="1">
      <alignment vertical="center"/>
    </xf>
    <xf numFmtId="0" fontId="13" fillId="0" borderId="11" xfId="0" applyFont="1" applyBorder="1" applyAlignment="1">
      <alignment horizontal="left"/>
    </xf>
    <xf numFmtId="44" fontId="12" fillId="0" borderId="11" xfId="1" applyFont="1" applyBorder="1" applyAlignment="1">
      <alignment horizontal="center" vertical="center"/>
    </xf>
    <xf numFmtId="0" fontId="0" fillId="7" borderId="0" xfId="0" applyFill="1" applyAlignment="1">
      <alignment horizontal="center"/>
    </xf>
    <xf numFmtId="0" fontId="22" fillId="5" borderId="7" xfId="0" applyFont="1" applyFill="1" applyBorder="1" applyAlignment="1">
      <alignment horizontal="center"/>
    </xf>
    <xf numFmtId="0" fontId="22" fillId="5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22" fillId="0" borderId="1" xfId="0" applyFont="1" applyBorder="1" applyAlignment="1">
      <alignment wrapText="1"/>
    </xf>
    <xf numFmtId="0" fontId="2" fillId="0" borderId="1" xfId="0" applyFont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0" fillId="0" borderId="1" xfId="0" applyBorder="1" applyAlignment="1">
      <alignment wrapText="1"/>
    </xf>
    <xf numFmtId="165" fontId="2" fillId="0" borderId="0" xfId="0" applyNumberFormat="1" applyFont="1" applyAlignment="1">
      <alignment horizontal="left"/>
    </xf>
    <xf numFmtId="44" fontId="13" fillId="0" borderId="20" xfId="0" applyNumberFormat="1" applyFont="1" applyBorder="1"/>
    <xf numFmtId="44" fontId="17" fillId="0" borderId="0" xfId="1" applyFont="1" applyBorder="1" applyAlignment="1">
      <alignment horizontal="left" vertical="center"/>
    </xf>
    <xf numFmtId="0" fontId="8" fillId="0" borderId="7" xfId="4" applyNumberFormat="1" applyFont="1" applyFill="1" applyBorder="1" applyAlignment="1" applyProtection="1">
      <alignment horizontal="left" wrapText="1"/>
    </xf>
    <xf numFmtId="0" fontId="6" fillId="0" borderId="2" xfId="3" applyFont="1" applyBorder="1" applyAlignment="1">
      <alignment horizontal="left" vertical="top"/>
    </xf>
    <xf numFmtId="0" fontId="6" fillId="0" borderId="3" xfId="3" applyFont="1" applyBorder="1" applyAlignment="1">
      <alignment horizontal="left" vertical="top"/>
    </xf>
    <xf numFmtId="0" fontId="6" fillId="0" borderId="0" xfId="3" applyFont="1" applyAlignment="1">
      <alignment horizontal="left" vertical="top"/>
    </xf>
    <xf numFmtId="0" fontId="5" fillId="0" borderId="4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49" fontId="5" fillId="0" borderId="4" xfId="2" applyNumberFormat="1" applyFont="1" applyBorder="1" applyAlignment="1">
      <alignment horizontal="left" vertical="top" wrapText="1"/>
    </xf>
    <xf numFmtId="0" fontId="5" fillId="0" borderId="6" xfId="2" applyFont="1" applyBorder="1" applyAlignment="1">
      <alignment horizontal="left" vertical="top" wrapText="1"/>
    </xf>
    <xf numFmtId="164" fontId="8" fillId="3" borderId="4" xfId="4" applyFont="1" applyFill="1" applyBorder="1" applyAlignment="1" applyProtection="1">
      <alignment horizontal="left"/>
      <protection locked="0"/>
    </xf>
    <xf numFmtId="164" fontId="8" fillId="3" borderId="6" xfId="4" applyFont="1" applyFill="1" applyBorder="1" applyAlignment="1" applyProtection="1">
      <alignment horizontal="left"/>
      <protection locked="0"/>
    </xf>
    <xf numFmtId="164" fontId="8" fillId="3" borderId="5" xfId="4" applyFont="1" applyFill="1" applyBorder="1" applyAlignment="1" applyProtection="1">
      <alignment horizontal="left"/>
      <protection locked="0"/>
    </xf>
    <xf numFmtId="0" fontId="5" fillId="0" borderId="4" xfId="2" applyFont="1" applyBorder="1" applyAlignment="1">
      <alignment horizontal="center" vertical="top" wrapText="1"/>
    </xf>
    <xf numFmtId="0" fontId="5" fillId="0" borderId="5" xfId="2" applyFont="1" applyBorder="1" applyAlignment="1">
      <alignment horizontal="center" vertical="top" wrapText="1"/>
    </xf>
    <xf numFmtId="0" fontId="8" fillId="0" borderId="1" xfId="2" applyFont="1" applyBorder="1" applyAlignment="1">
      <alignment horizontal="left" wrapText="1"/>
    </xf>
    <xf numFmtId="10" fontId="8" fillId="3" borderId="1" xfId="2" applyNumberFormat="1" applyFont="1" applyFill="1" applyBorder="1" applyAlignment="1" applyProtection="1">
      <alignment horizontal="center"/>
      <protection locked="0"/>
    </xf>
    <xf numFmtId="0" fontId="8" fillId="0" borderId="1" xfId="2" applyFont="1" applyBorder="1" applyAlignment="1">
      <alignment horizontal="left"/>
    </xf>
    <xf numFmtId="0" fontId="9" fillId="0" borderId="1" xfId="2" applyFont="1" applyBorder="1" applyAlignment="1">
      <alignment horizontal="center" vertical="center"/>
    </xf>
    <xf numFmtId="4" fontId="9" fillId="0" borderId="1" xfId="2" applyNumberFormat="1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/>
    </xf>
    <xf numFmtId="0" fontId="5" fillId="0" borderId="1" xfId="2" applyFont="1" applyBorder="1" applyAlignment="1">
      <alignment horizontal="left" vertical="center" wrapText="1"/>
    </xf>
    <xf numFmtId="0" fontId="5" fillId="0" borderId="1" xfId="2" applyFont="1" applyBorder="1" applyAlignment="1">
      <alignment horizontal="left" vertical="center"/>
    </xf>
    <xf numFmtId="44" fontId="21" fillId="0" borderId="0" xfId="1" applyFont="1" applyBorder="1" applyAlignment="1">
      <alignment horizontal="center" vertical="center"/>
    </xf>
    <xf numFmtId="0" fontId="16" fillId="0" borderId="29" xfId="0" applyFont="1" applyBorder="1" applyAlignment="1">
      <alignment horizontal="right"/>
    </xf>
    <xf numFmtId="0" fontId="16" fillId="0" borderId="9" xfId="0" applyFont="1" applyBorder="1" applyAlignment="1">
      <alignment horizontal="right"/>
    </xf>
    <xf numFmtId="0" fontId="16" fillId="0" borderId="10" xfId="0" applyFont="1" applyBorder="1" applyAlignment="1">
      <alignment horizontal="right"/>
    </xf>
    <xf numFmtId="0" fontId="16" fillId="4" borderId="30" xfId="0" applyFont="1" applyFill="1" applyBorder="1" applyAlignment="1">
      <alignment horizontal="right"/>
    </xf>
    <xf numFmtId="0" fontId="16" fillId="4" borderId="31" xfId="0" applyFont="1" applyFill="1" applyBorder="1" applyAlignment="1">
      <alignment horizontal="right"/>
    </xf>
    <xf numFmtId="0" fontId="16" fillId="4" borderId="21" xfId="0" applyFont="1" applyFill="1" applyBorder="1" applyAlignment="1">
      <alignment horizontal="right"/>
    </xf>
    <xf numFmtId="0" fontId="21" fillId="0" borderId="0" xfId="0" applyFont="1" applyAlignment="1">
      <alignment horizontal="center" vertical="center"/>
    </xf>
    <xf numFmtId="44" fontId="21" fillId="0" borderId="9" xfId="1" applyFont="1" applyBorder="1" applyAlignment="1">
      <alignment horizontal="center" vertical="center"/>
    </xf>
    <xf numFmtId="0" fontId="11" fillId="0" borderId="13" xfId="0" applyFont="1" applyBorder="1" applyAlignment="1">
      <alignment horizontal="left" wrapText="1"/>
    </xf>
    <xf numFmtId="0" fontId="11" fillId="0" borderId="11" xfId="0" applyFont="1" applyBorder="1" applyAlignment="1">
      <alignment horizontal="left" wrapText="1"/>
    </xf>
    <xf numFmtId="0" fontId="11" fillId="0" borderId="27" xfId="0" applyFont="1" applyBorder="1" applyAlignment="1">
      <alignment horizontal="left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19" fillId="4" borderId="30" xfId="0" applyFont="1" applyFill="1" applyBorder="1" applyAlignment="1">
      <alignment horizontal="center" vertical="center"/>
    </xf>
    <xf numFmtId="0" fontId="19" fillId="4" borderId="31" xfId="0" applyFont="1" applyFill="1" applyBorder="1" applyAlignment="1">
      <alignment horizontal="center" vertical="center"/>
    </xf>
    <xf numFmtId="0" fontId="19" fillId="4" borderId="21" xfId="0" applyFont="1" applyFill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horizontal="left" vertical="center"/>
    </xf>
    <xf numFmtId="0" fontId="12" fillId="0" borderId="33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12" fillId="0" borderId="20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26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5" xfId="0" applyBorder="1" applyAlignment="1">
      <alignment horizontal="center"/>
    </xf>
    <xf numFmtId="0" fontId="20" fillId="0" borderId="1" xfId="2" applyFont="1" applyBorder="1" applyAlignment="1">
      <alignment horizontal="left" vertical="center"/>
    </xf>
    <xf numFmtId="0" fontId="20" fillId="0" borderId="20" xfId="2" applyFont="1" applyBorder="1" applyAlignment="1">
      <alignment horizontal="left" vertical="center"/>
    </xf>
    <xf numFmtId="0" fontId="16" fillId="0" borderId="28" xfId="0" applyFont="1" applyBorder="1" applyAlignment="1">
      <alignment horizontal="right"/>
    </xf>
    <xf numFmtId="0" fontId="16" fillId="0" borderId="11" xfId="0" applyFont="1" applyBorder="1" applyAlignment="1">
      <alignment horizontal="right"/>
    </xf>
    <xf numFmtId="0" fontId="22" fillId="0" borderId="1" xfId="0" applyFont="1" applyBorder="1" applyAlignment="1">
      <alignment horizontal="center" wrapText="1"/>
    </xf>
    <xf numFmtId="0" fontId="0" fillId="0" borderId="3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67" fontId="25" fillId="0" borderId="49" xfId="0" applyNumberFormat="1" applyFont="1" applyBorder="1" applyAlignment="1" applyProtection="1">
      <alignment horizontal="left" wrapText="1" shrinkToFit="1"/>
      <protection locked="0"/>
    </xf>
    <xf numFmtId="0" fontId="26" fillId="0" borderId="54" xfId="0" applyFont="1" applyBorder="1" applyAlignment="1" applyProtection="1">
      <alignment horizontal="left" wrapText="1" shrinkToFit="1"/>
      <protection locked="0"/>
    </xf>
    <xf numFmtId="43" fontId="25" fillId="0" borderId="52" xfId="5" applyFont="1" applyFill="1" applyBorder="1" applyAlignment="1" applyProtection="1">
      <alignment vertical="center" shrinkToFit="1"/>
      <protection locked="0"/>
    </xf>
    <xf numFmtId="43" fontId="26" fillId="0" borderId="55" xfId="5" applyFont="1" applyFill="1" applyBorder="1" applyAlignment="1" applyProtection="1">
      <alignment vertical="center" shrinkToFit="1"/>
      <protection locked="0"/>
    </xf>
    <xf numFmtId="0" fontId="19" fillId="5" borderId="17" xfId="0" applyFont="1" applyFill="1" applyBorder="1" applyAlignment="1">
      <alignment horizontal="center" vertical="center"/>
    </xf>
    <xf numFmtId="0" fontId="19" fillId="5" borderId="0" xfId="0" applyFont="1" applyFill="1" applyAlignment="1">
      <alignment horizontal="center" vertical="center"/>
    </xf>
    <xf numFmtId="0" fontId="19" fillId="5" borderId="18" xfId="0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2" fillId="0" borderId="15" xfId="0" applyFont="1" applyBorder="1" applyAlignment="1">
      <alignment horizontal="left" vertical="center"/>
    </xf>
    <xf numFmtId="0" fontId="12" fillId="0" borderId="16" xfId="0" applyFont="1" applyBorder="1" applyAlignment="1">
      <alignment horizontal="left" vertical="center"/>
    </xf>
    <xf numFmtId="0" fontId="11" fillId="0" borderId="17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0" fontId="12" fillId="0" borderId="36" xfId="6" applyNumberFormat="1" applyFont="1" applyBorder="1" applyAlignment="1">
      <alignment horizontal="center" vertical="center" wrapText="1"/>
    </xf>
    <xf numFmtId="10" fontId="12" fillId="0" borderId="37" xfId="6" applyNumberFormat="1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44" fontId="21" fillId="0" borderId="18" xfId="1" applyFont="1" applyBorder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2" fillId="0" borderId="18" xfId="0" applyFont="1" applyBorder="1" applyAlignment="1">
      <alignment horizontal="left" vertical="center" wrapText="1"/>
    </xf>
    <xf numFmtId="167" fontId="25" fillId="0" borderId="60" xfId="0" applyNumberFormat="1" applyFont="1" applyBorder="1" applyAlignment="1" applyProtection="1">
      <alignment shrinkToFit="1"/>
      <protection locked="0"/>
    </xf>
    <xf numFmtId="0" fontId="26" fillId="0" borderId="61" xfId="0" applyFont="1" applyBorder="1" applyAlignment="1" applyProtection="1">
      <alignment shrinkToFit="1"/>
      <protection locked="0"/>
    </xf>
    <xf numFmtId="0" fontId="28" fillId="0" borderId="17" xfId="0" applyFont="1" applyBorder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28" fillId="0" borderId="18" xfId="0" applyFont="1" applyBorder="1" applyAlignment="1">
      <alignment horizontal="left" vertical="center"/>
    </xf>
    <xf numFmtId="0" fontId="21" fillId="0" borderId="0" xfId="0" applyFont="1" applyAlignment="1">
      <alignment horizontal="right" vertical="center"/>
    </xf>
    <xf numFmtId="0" fontId="21" fillId="0" borderId="18" xfId="0" applyFont="1" applyBorder="1" applyAlignment="1">
      <alignment horizontal="right" vertical="center"/>
    </xf>
    <xf numFmtId="0" fontId="25" fillId="0" borderId="53" xfId="0" applyFont="1" applyBorder="1" applyAlignment="1" applyProtection="1">
      <alignment horizontal="center" shrinkToFit="1"/>
      <protection locked="0"/>
    </xf>
    <xf numFmtId="0" fontId="26" fillId="0" borderId="53" xfId="0" applyFont="1" applyBorder="1" applyAlignment="1" applyProtection="1">
      <alignment horizontal="center" shrinkToFit="1"/>
      <protection locked="0"/>
    </xf>
    <xf numFmtId="39" fontId="25" fillId="0" borderId="52" xfId="0" applyNumberFormat="1" applyFont="1" applyBorder="1" applyAlignment="1" applyProtection="1">
      <alignment vertical="center" shrinkToFit="1"/>
      <protection locked="0"/>
    </xf>
    <xf numFmtId="39" fontId="26" fillId="0" borderId="59" xfId="0" applyNumberFormat="1" applyFont="1" applyBorder="1" applyAlignment="1" applyProtection="1">
      <alignment vertical="center" shrinkToFit="1"/>
      <protection locked="0"/>
    </xf>
    <xf numFmtId="0" fontId="24" fillId="0" borderId="30" xfId="0" applyFont="1" applyBorder="1" applyAlignment="1">
      <alignment horizontal="center" shrinkToFit="1"/>
    </xf>
    <xf numFmtId="0" fontId="24" fillId="0" borderId="31" xfId="0" applyFont="1" applyBorder="1" applyAlignment="1">
      <alignment horizontal="center" shrinkToFit="1"/>
    </xf>
    <xf numFmtId="0" fontId="24" fillId="0" borderId="21" xfId="0" applyFont="1" applyBorder="1" applyAlignment="1">
      <alignment horizontal="center" shrinkToFit="1"/>
    </xf>
    <xf numFmtId="166" fontId="25" fillId="0" borderId="38" xfId="0" applyNumberFormat="1" applyFont="1" applyBorder="1" applyAlignment="1" applyProtection="1">
      <alignment vertical="center" shrinkToFit="1"/>
      <protection locked="0"/>
    </xf>
    <xf numFmtId="0" fontId="26" fillId="0" borderId="44" xfId="0" applyFont="1" applyBorder="1" applyAlignment="1">
      <alignment vertical="center" shrinkToFit="1"/>
    </xf>
    <xf numFmtId="0" fontId="25" fillId="0" borderId="40" xfId="0" applyFont="1" applyBorder="1" applyAlignment="1" applyProtection="1">
      <alignment horizontal="center" vertical="center" wrapText="1"/>
      <protection locked="0"/>
    </xf>
    <xf numFmtId="0" fontId="25" fillId="0" borderId="41" xfId="0" applyFont="1" applyBorder="1" applyAlignment="1" applyProtection="1">
      <alignment horizontal="center" vertical="center" wrapText="1"/>
      <protection locked="0"/>
    </xf>
    <xf numFmtId="0" fontId="25" fillId="0" borderId="42" xfId="0" applyFont="1" applyBorder="1" applyAlignment="1" applyProtection="1">
      <alignment horizontal="center" vertical="center" wrapText="1"/>
      <protection locked="0"/>
    </xf>
    <xf numFmtId="0" fontId="25" fillId="0" borderId="43" xfId="0" applyFont="1" applyBorder="1" applyAlignment="1" applyProtection="1">
      <alignment horizontal="center" vertical="center" shrinkToFit="1"/>
      <protection locked="0"/>
    </xf>
    <xf numFmtId="0" fontId="26" fillId="0" borderId="47" xfId="0" applyFont="1" applyBorder="1" applyAlignment="1">
      <alignment horizontal="center" vertical="center" shrinkToFit="1"/>
    </xf>
    <xf numFmtId="0" fontId="25" fillId="0" borderId="48" xfId="0" applyFont="1" applyBorder="1" applyAlignment="1" applyProtection="1">
      <alignment horizontal="center" shrinkToFit="1"/>
      <protection locked="0"/>
    </xf>
    <xf numFmtId="0" fontId="29" fillId="0" borderId="0" xfId="0" applyFont="1" applyAlignment="1">
      <alignment horizontal="center"/>
    </xf>
  </cellXfs>
  <cellStyles count="7">
    <cellStyle name="Moeda" xfId="1" builtinId="4"/>
    <cellStyle name="Moeda_Composicao BDI v2.1" xfId="4" xr:uid="{00000000-0005-0000-0000-000001000000}"/>
    <cellStyle name="Normal" xfId="0" builtinId="0"/>
    <cellStyle name="Normal 2" xfId="2" xr:uid="{00000000-0005-0000-0000-000003000000}"/>
    <cellStyle name="Normal_FICHA DE VERIFICAÇÃO PRELIMINAR - Plano R" xfId="3" xr:uid="{00000000-0005-0000-0000-000004000000}"/>
    <cellStyle name="Porcentagem" xfId="6" builtinId="5"/>
    <cellStyle name="Vírgula" xfId="5" builtinId="3"/>
  </cellStyles>
  <dxfs count="4"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17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1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28575</xdr:colOff>
      <xdr:row>0</xdr:row>
      <xdr:rowOff>19050</xdr:rowOff>
    </xdr:from>
    <xdr:to>
      <xdr:col>10</xdr:col>
      <xdr:colOff>390525</xdr:colOff>
      <xdr:row>2</xdr:row>
      <xdr:rowOff>38100</xdr:rowOff>
    </xdr:to>
    <xdr:sp macro="" textlink="">
      <xdr:nvSpPr>
        <xdr:cNvPr id="2" name="Object 1" hidden="1">
          <a:extLst>
            <a:ext uri="{63B3BB69-23CF-44E3-9099-C40C66FF867C}">
              <a14:compatExt xmlns:a14="http://schemas.microsoft.com/office/drawing/2010/main" spid="_x0000_s3073"/>
            </a:ex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314325</xdr:colOff>
          <xdr:row>0</xdr:row>
          <xdr:rowOff>28575</xdr:rowOff>
        </xdr:from>
        <xdr:to>
          <xdr:col>18</xdr:col>
          <xdr:colOff>19050</xdr:colOff>
          <xdr:row>2</xdr:row>
          <xdr:rowOff>57150</xdr:rowOff>
        </xdr:to>
        <xdr:pic>
          <xdr:nvPicPr>
            <xdr:cNvPr id="3" name="SigiloPic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PicPr>
              <a:picLocks noChangeArrowheads="1"/>
              <a:extLst>
                <a:ext uri="{84589F7E-364E-4C9E-8A38-B11213B215E9}">
                  <a14:cameraTool cellRange="[1]PO!$T$1:$T$2" spid="_x0000_s331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172200" y="28575"/>
              <a:ext cx="1133475" cy="3810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xdr:twoCellAnchor editAs="oneCell">
    <xdr:from>
      <xdr:col>8</xdr:col>
      <xdr:colOff>28575</xdr:colOff>
      <xdr:row>0</xdr:row>
      <xdr:rowOff>19050</xdr:rowOff>
    </xdr:from>
    <xdr:to>
      <xdr:col>10</xdr:col>
      <xdr:colOff>390525</xdr:colOff>
      <xdr:row>2</xdr:row>
      <xdr:rowOff>38100</xdr:rowOff>
    </xdr:to>
    <xdr:pic>
      <xdr:nvPicPr>
        <xdr:cNvPr id="3073" name="Picture 1">
          <a:extLs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9050"/>
          <a:ext cx="1581150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342900</xdr:colOff>
      <xdr:row>0</xdr:row>
      <xdr:rowOff>114300</xdr:rowOff>
    </xdr:from>
    <xdr:to>
      <xdr:col>6</xdr:col>
      <xdr:colOff>666751</xdr:colOff>
      <xdr:row>3</xdr:row>
      <xdr:rowOff>371299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24050" y="114300"/>
          <a:ext cx="5133976" cy="82849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447675</xdr:colOff>
      <xdr:row>0</xdr:row>
      <xdr:rowOff>76200</xdr:rowOff>
    </xdr:from>
    <xdr:to>
      <xdr:col>8</xdr:col>
      <xdr:colOff>298843</xdr:colOff>
      <xdr:row>0</xdr:row>
      <xdr:rowOff>857250</xdr:rowOff>
    </xdr:to>
    <xdr:pic>
      <xdr:nvPicPr>
        <xdr:cNvPr id="2" name="Imagem 3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7275" y="76200"/>
          <a:ext cx="5642368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209550</xdr:colOff>
      <xdr:row>0</xdr:row>
      <xdr:rowOff>190500</xdr:rowOff>
    </xdr:from>
    <xdr:to>
      <xdr:col>25</xdr:col>
      <xdr:colOff>514350</xdr:colOff>
      <xdr:row>5</xdr:row>
      <xdr:rowOff>247651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445" t="32686" r="8554" b="30460"/>
        <a:stretch/>
      </xdr:blipFill>
      <xdr:spPr>
        <a:xfrm>
          <a:off x="8629650" y="190500"/>
          <a:ext cx="10668000" cy="269557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MO274760082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sheetDataSet>
      <sheetData sheetId="0">
        <row r="38">
          <cell r="C38" t="str">
            <v>Não</v>
          </cell>
        </row>
      </sheetData>
      <sheetData sheetId="1" refreshError="1"/>
      <sheetData sheetId="2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6"/>
  <sheetViews>
    <sheetView topLeftCell="I1" workbookViewId="0">
      <selection activeCell="N26" sqref="N26"/>
    </sheetView>
  </sheetViews>
  <sheetFormatPr defaultRowHeight="15" x14ac:dyDescent="0.25"/>
  <cols>
    <col min="1" max="8" width="0" hidden="1" customWidth="1"/>
    <col min="14" max="14" width="11.7109375" bestFit="1" customWidth="1"/>
  </cols>
  <sheetData>
    <row r="1" spans="1:18" ht="15.75" x14ac:dyDescent="0.25">
      <c r="A1" s="1"/>
      <c r="B1" s="1"/>
      <c r="C1" s="1"/>
      <c r="D1" s="1"/>
      <c r="E1" s="2" t="s">
        <v>8</v>
      </c>
      <c r="F1" s="2" t="s">
        <v>9</v>
      </c>
      <c r="G1" s="2" t="s">
        <v>10</v>
      </c>
      <c r="H1" s="1"/>
      <c r="I1" s="1"/>
      <c r="J1" s="1"/>
      <c r="K1" s="1"/>
      <c r="L1" s="1"/>
      <c r="M1" s="1"/>
      <c r="N1" s="3" t="e">
        <f ca="1">"Quadro de Composição do BDI "&amp;MID(CELL("nome.arquivo",N1),5+FIND("BDI (",CELL("nome.arquivo",N1)),1)</f>
        <v>#VALUE!</v>
      </c>
      <c r="O1" s="1"/>
      <c r="P1" s="1"/>
    </row>
    <row r="2" spans="1:18" x14ac:dyDescent="0.25">
      <c r="A2" s="1" t="s">
        <v>11</v>
      </c>
      <c r="B2" s="4" t="s">
        <v>12</v>
      </c>
      <c r="C2" s="1" t="str">
        <f t="shared" ref="C2:C26" si="0">CONCATENATE(A2,"-",B2)</f>
        <v>Construção e Reforma de Edifícios-AC</v>
      </c>
      <c r="D2" s="1"/>
      <c r="E2" s="5">
        <v>0.03</v>
      </c>
      <c r="F2" s="5">
        <v>0.04</v>
      </c>
      <c r="G2" s="5">
        <v>5.5E-2</v>
      </c>
      <c r="H2" s="1"/>
      <c r="I2" s="1"/>
      <c r="J2" s="1"/>
      <c r="K2" s="1"/>
      <c r="L2" s="1"/>
      <c r="M2" s="1"/>
      <c r="N2" s="1"/>
      <c r="O2" s="1"/>
      <c r="P2" s="1"/>
    </row>
    <row r="3" spans="1:18" x14ac:dyDescent="0.25">
      <c r="A3" s="1" t="str">
        <f>A2</f>
        <v>Construção e Reforma de Edifícios</v>
      </c>
      <c r="B3" s="4" t="s">
        <v>13</v>
      </c>
      <c r="C3" s="1" t="str">
        <f t="shared" si="0"/>
        <v>Construção e Reforma de Edifícios-SG</v>
      </c>
      <c r="D3" s="1"/>
      <c r="E3" s="5">
        <v>8.0000000000000002E-3</v>
      </c>
      <c r="F3" s="5">
        <v>8.0000000000000002E-3</v>
      </c>
      <c r="G3" s="5">
        <v>0.01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x14ac:dyDescent="0.25">
      <c r="A4" s="1" t="str">
        <f>A3</f>
        <v>Construção e Reforma de Edifícios</v>
      </c>
      <c r="B4" s="4" t="s">
        <v>14</v>
      </c>
      <c r="C4" s="1" t="str">
        <f t="shared" si="0"/>
        <v>Construção e Reforma de Edifícios-R</v>
      </c>
      <c r="D4" s="1"/>
      <c r="E4" s="5">
        <v>9.7000000000000003E-3</v>
      </c>
      <c r="F4" s="5">
        <v>1.2699999999999999E-2</v>
      </c>
      <c r="G4" s="5">
        <v>1.2699999999999999E-2</v>
      </c>
      <c r="H4" s="1"/>
      <c r="I4" s="122" t="s">
        <v>15</v>
      </c>
      <c r="J4" s="123"/>
      <c r="K4" s="122" t="s">
        <v>16</v>
      </c>
      <c r="L4" s="124"/>
      <c r="M4" s="124"/>
      <c r="N4" s="124"/>
      <c r="O4" s="124"/>
      <c r="P4" s="124"/>
      <c r="Q4" s="124"/>
      <c r="R4" s="123"/>
    </row>
    <row r="5" spans="1:18" x14ac:dyDescent="0.25">
      <c r="A5" s="1" t="str">
        <f>A4</f>
        <v>Construção e Reforma de Edifícios</v>
      </c>
      <c r="B5" s="4" t="s">
        <v>17</v>
      </c>
      <c r="C5" s="1" t="str">
        <f t="shared" si="0"/>
        <v>Construção e Reforma de Edifícios-DF</v>
      </c>
      <c r="D5" s="1"/>
      <c r="E5" s="5">
        <v>5.8999999999999999E-3</v>
      </c>
      <c r="F5" s="5">
        <v>1.23E-2</v>
      </c>
      <c r="G5" s="5">
        <v>1.3899999999999999E-2</v>
      </c>
      <c r="H5" s="1"/>
      <c r="I5" s="125">
        <f>[1]DADOS!A29</f>
        <v>0</v>
      </c>
      <c r="J5" s="126"/>
      <c r="K5" s="127">
        <f>[1]DADOS!A32</f>
        <v>0</v>
      </c>
      <c r="L5" s="128"/>
      <c r="M5" s="128"/>
      <c r="N5" s="128"/>
      <c r="O5" s="128"/>
      <c r="P5" s="128"/>
      <c r="Q5" s="128"/>
      <c r="R5" s="126"/>
    </row>
    <row r="6" spans="1:18" x14ac:dyDescent="0.25">
      <c r="A6" s="1" t="str">
        <f>A5</f>
        <v>Construção e Reforma de Edifícios</v>
      </c>
      <c r="B6" s="4" t="s">
        <v>18</v>
      </c>
      <c r="C6" s="1" t="str">
        <f t="shared" si="0"/>
        <v>Construção e Reforma de Edifícios-L</v>
      </c>
      <c r="D6" s="1"/>
      <c r="E6" s="5">
        <v>6.1600000000000002E-2</v>
      </c>
      <c r="F6" s="5">
        <v>7.400000000000001E-2</v>
      </c>
      <c r="G6" s="5">
        <v>8.9600000000000013E-2</v>
      </c>
      <c r="H6" s="1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x14ac:dyDescent="0.25">
      <c r="A7" s="1" t="str">
        <f>A6</f>
        <v>Construção e Reforma de Edifícios</v>
      </c>
      <c r="B7" s="7" t="s">
        <v>19</v>
      </c>
      <c r="C7" s="1" t="str">
        <f t="shared" si="0"/>
        <v>Construção e Reforma de Edifícios-BDI PAD</v>
      </c>
      <c r="D7" s="1"/>
      <c r="E7" s="5">
        <v>0.2034</v>
      </c>
      <c r="F7" s="5">
        <v>0.22120000000000001</v>
      </c>
      <c r="G7" s="5">
        <v>0.25</v>
      </c>
      <c r="H7" s="1"/>
      <c r="I7" s="122" t="s">
        <v>20</v>
      </c>
      <c r="J7" s="124"/>
      <c r="K7" s="124"/>
      <c r="L7" s="124"/>
      <c r="M7" s="124"/>
      <c r="N7" s="124"/>
      <c r="O7" s="124"/>
      <c r="P7" s="124"/>
      <c r="Q7" s="124"/>
      <c r="R7" s="123"/>
    </row>
    <row r="8" spans="1:18" x14ac:dyDescent="0.25">
      <c r="A8" s="1" t="s">
        <v>21</v>
      </c>
      <c r="B8" s="4" t="s">
        <v>12</v>
      </c>
      <c r="C8" s="1" t="str">
        <f t="shared" si="0"/>
        <v>Construção de Praças Urbanas, Rodovias, Ferrovias e recapeamento e pavimentação de vias urbanas-AC</v>
      </c>
      <c r="D8" s="1"/>
      <c r="E8" s="5">
        <v>3.7999999999999999E-2</v>
      </c>
      <c r="F8" s="5">
        <v>4.0099999999999997E-2</v>
      </c>
      <c r="G8" s="5">
        <v>4.6699999999999998E-2</v>
      </c>
      <c r="H8" s="1"/>
      <c r="I8" s="121">
        <f>[1]DADOS!P29</f>
        <v>0</v>
      </c>
      <c r="J8" s="121"/>
      <c r="K8" s="121"/>
      <c r="L8" s="121"/>
      <c r="M8" s="121"/>
      <c r="N8" s="121"/>
      <c r="O8" s="121"/>
      <c r="P8" s="121"/>
      <c r="Q8" s="121"/>
      <c r="R8" s="121"/>
    </row>
    <row r="9" spans="1:18" x14ac:dyDescent="0.25">
      <c r="A9" s="1" t="s">
        <v>21</v>
      </c>
      <c r="B9" s="4" t="s">
        <v>13</v>
      </c>
      <c r="C9" s="1" t="str">
        <f t="shared" si="0"/>
        <v>Construção de Praças Urbanas, Rodovias, Ferrovias e recapeamento e pavimentação de vias urbanas-SG</v>
      </c>
      <c r="D9" s="1"/>
      <c r="E9" s="5">
        <v>3.2000000000000002E-3</v>
      </c>
      <c r="F9" s="5">
        <v>4.0000000000000001E-3</v>
      </c>
      <c r="G9" s="5">
        <v>7.4000000000000003E-3</v>
      </c>
      <c r="H9" s="1"/>
      <c r="I9" s="6"/>
      <c r="J9" s="6"/>
      <c r="K9" s="6"/>
      <c r="L9" s="6"/>
      <c r="M9" s="6"/>
      <c r="N9" s="6"/>
      <c r="O9" s="6"/>
      <c r="P9" s="6"/>
      <c r="Q9" s="6"/>
      <c r="R9" s="6"/>
    </row>
    <row r="10" spans="1:18" x14ac:dyDescent="0.25">
      <c r="A10" s="1" t="s">
        <v>21</v>
      </c>
      <c r="B10" s="4" t="s">
        <v>14</v>
      </c>
      <c r="C10" s="1" t="str">
        <f t="shared" si="0"/>
        <v>Construção de Praças Urbanas, Rodovias, Ferrovias e recapeamento e pavimentação de vias urbanas-R</v>
      </c>
      <c r="D10" s="1"/>
      <c r="E10" s="5">
        <v>5.0000000000000001E-3</v>
      </c>
      <c r="F10" s="5">
        <v>5.6000000000000008E-3</v>
      </c>
      <c r="G10" s="5">
        <v>9.7000000000000003E-3</v>
      </c>
      <c r="H10" s="1"/>
      <c r="I10" s="122" t="s">
        <v>22</v>
      </c>
      <c r="J10" s="124"/>
      <c r="K10" s="124"/>
      <c r="L10" s="124"/>
      <c r="M10" s="124"/>
      <c r="N10" s="124"/>
      <c r="O10" s="124"/>
      <c r="P10" s="124"/>
      <c r="Q10" s="122" t="s">
        <v>23</v>
      </c>
      <c r="R10" s="123"/>
    </row>
    <row r="11" spans="1:18" x14ac:dyDescent="0.25">
      <c r="A11" s="1" t="s">
        <v>21</v>
      </c>
      <c r="B11" s="4" t="s">
        <v>17</v>
      </c>
      <c r="C11" s="1" t="str">
        <f t="shared" si="0"/>
        <v>Construção de Praças Urbanas, Rodovias, Ferrovias e recapeamento e pavimentação de vias urbanas-DF</v>
      </c>
      <c r="D11" s="1"/>
      <c r="E11" s="5">
        <v>1.0200000000000001E-2</v>
      </c>
      <c r="F11" s="5">
        <v>1.11E-2</v>
      </c>
      <c r="G11" s="5">
        <v>1.21E-2</v>
      </c>
      <c r="H11" s="1"/>
      <c r="I11" s="129" t="s">
        <v>24</v>
      </c>
      <c r="J11" s="130"/>
      <c r="K11" s="130"/>
      <c r="L11" s="130"/>
      <c r="M11" s="130"/>
      <c r="N11" s="130"/>
      <c r="O11" s="130"/>
      <c r="P11" s="131"/>
      <c r="Q11" s="132" t="str">
        <f>[1]DADOS!$C$38</f>
        <v>Não</v>
      </c>
      <c r="R11" s="133"/>
    </row>
    <row r="12" spans="1:18" x14ac:dyDescent="0.25">
      <c r="A12" s="1" t="s">
        <v>21</v>
      </c>
      <c r="B12" s="4" t="s">
        <v>18</v>
      </c>
      <c r="C12" s="1" t="str">
        <f t="shared" si="0"/>
        <v>Construção de Praças Urbanas, Rodovias, Ferrovias e recapeamento e pavimentação de vias urbanas-L</v>
      </c>
      <c r="D12" s="1"/>
      <c r="E12" s="5">
        <v>6.6400000000000001E-2</v>
      </c>
      <c r="F12" s="5">
        <v>7.2999999999999995E-2</v>
      </c>
      <c r="G12" s="5">
        <v>8.6899999999999991E-2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x14ac:dyDescent="0.25">
      <c r="A13" s="1" t="s">
        <v>21</v>
      </c>
      <c r="B13" s="7" t="s">
        <v>19</v>
      </c>
      <c r="C13" s="1" t="str">
        <f t="shared" si="0"/>
        <v>Construção de Praças Urbanas, Rodovias, Ferrovias e recapeamento e pavimentação de vias urbanas-BDI PAD</v>
      </c>
      <c r="D13" s="1"/>
      <c r="E13" s="5">
        <v>0.19600000000000001</v>
      </c>
      <c r="F13" s="5">
        <v>0.2097</v>
      </c>
      <c r="G13" s="5">
        <v>0.24230000000000002</v>
      </c>
      <c r="H13" s="1"/>
      <c r="I13" s="134" t="s">
        <v>25</v>
      </c>
      <c r="J13" s="134"/>
      <c r="K13" s="134"/>
      <c r="L13" s="134"/>
      <c r="M13" s="134"/>
      <c r="N13" s="134"/>
      <c r="O13" s="134"/>
      <c r="P13" s="134"/>
      <c r="Q13" s="135">
        <v>1</v>
      </c>
      <c r="R13" s="135"/>
    </row>
    <row r="14" spans="1:18" x14ac:dyDescent="0.25">
      <c r="A14" s="1" t="s">
        <v>26</v>
      </c>
      <c r="B14" s="4" t="s">
        <v>12</v>
      </c>
      <c r="C14" s="1" t="str">
        <f t="shared" si="0"/>
        <v>Construção de Redes de Abastecimento de Água, Coleta de Esgoto-AC</v>
      </c>
      <c r="D14" s="1"/>
      <c r="E14" s="5">
        <v>3.4300000000000004E-2</v>
      </c>
      <c r="F14" s="5">
        <v>4.9299999999999997E-2</v>
      </c>
      <c r="G14" s="5">
        <v>6.7099999999999993E-2</v>
      </c>
      <c r="H14" s="1"/>
      <c r="I14" s="136" t="s">
        <v>27</v>
      </c>
      <c r="J14" s="136"/>
      <c r="K14" s="136"/>
      <c r="L14" s="136"/>
      <c r="M14" s="136"/>
      <c r="N14" s="136"/>
      <c r="O14" s="136"/>
      <c r="P14" s="136"/>
      <c r="Q14" s="135">
        <v>0.02</v>
      </c>
      <c r="R14" s="135"/>
    </row>
    <row r="15" spans="1:18" x14ac:dyDescent="0.25">
      <c r="A15" s="1" t="str">
        <f>A14</f>
        <v>Construção de Redes de Abastecimento de Água, Coleta de Esgoto</v>
      </c>
      <c r="B15" s="4" t="s">
        <v>13</v>
      </c>
      <c r="C15" s="1" t="str">
        <f t="shared" si="0"/>
        <v>Construção de Redes de Abastecimento de Água, Coleta de Esgoto-SG</v>
      </c>
      <c r="D15" s="1"/>
      <c r="E15" s="5">
        <v>2.8000000000000004E-3</v>
      </c>
      <c r="F15" s="5">
        <v>4.8999999999999998E-3</v>
      </c>
      <c r="G15" s="5">
        <v>7.4999999999999997E-3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x14ac:dyDescent="0.25">
      <c r="A16" s="1"/>
      <c r="B16" s="4"/>
      <c r="C16" s="1"/>
      <c r="D16" s="1"/>
      <c r="E16" s="5"/>
      <c r="F16" s="5"/>
      <c r="G16" s="5"/>
      <c r="H16" s="1"/>
      <c r="I16" s="137" t="s">
        <v>28</v>
      </c>
      <c r="J16" s="137"/>
      <c r="K16" s="137"/>
      <c r="L16" s="137"/>
      <c r="M16" s="137" t="s">
        <v>29</v>
      </c>
      <c r="N16" s="138" t="s">
        <v>30</v>
      </c>
      <c r="O16" s="138" t="s">
        <v>31</v>
      </c>
      <c r="P16" s="137" t="s">
        <v>32</v>
      </c>
      <c r="Q16" s="137" t="s">
        <v>33</v>
      </c>
      <c r="R16" s="139" t="s">
        <v>34</v>
      </c>
    </row>
    <row r="17" spans="1:18" x14ac:dyDescent="0.25">
      <c r="A17" s="1" t="str">
        <f>A15</f>
        <v>Construção de Redes de Abastecimento de Água, Coleta de Esgoto</v>
      </c>
      <c r="B17" s="4" t="s">
        <v>14</v>
      </c>
      <c r="C17" s="1" t="str">
        <f t="shared" si="0"/>
        <v>Construção de Redes de Abastecimento de Água, Coleta de Esgoto-R</v>
      </c>
      <c r="D17" s="1"/>
      <c r="E17" s="5">
        <v>0.01</v>
      </c>
      <c r="F17" s="5">
        <v>1.3899999999999999E-2</v>
      </c>
      <c r="G17" s="5">
        <v>1.7399999999999999E-2</v>
      </c>
      <c r="H17" s="1"/>
      <c r="I17" s="137"/>
      <c r="J17" s="137"/>
      <c r="K17" s="137"/>
      <c r="L17" s="137"/>
      <c r="M17" s="137"/>
      <c r="N17" s="138"/>
      <c r="O17" s="138"/>
      <c r="P17" s="137"/>
      <c r="Q17" s="137"/>
      <c r="R17" s="139"/>
    </row>
    <row r="18" spans="1:18" x14ac:dyDescent="0.25">
      <c r="A18" s="1" t="str">
        <f>A17</f>
        <v>Construção de Redes de Abastecimento de Água, Coleta de Esgoto</v>
      </c>
      <c r="B18" s="4" t="s">
        <v>17</v>
      </c>
      <c r="C18" s="1" t="str">
        <f t="shared" si="0"/>
        <v>Construção de Redes de Abastecimento de Água, Coleta de Esgoto-DF</v>
      </c>
      <c r="D18" s="1"/>
      <c r="E18" s="5">
        <v>9.3999999999999986E-3</v>
      </c>
      <c r="F18" s="5">
        <v>9.8999999999999991E-3</v>
      </c>
      <c r="G18" s="5">
        <v>1.1699999999999999E-2</v>
      </c>
      <c r="H18" s="1"/>
      <c r="I18" s="140" t="str">
        <f>IF($I$11=$A$59,"Encargos Sociais incidentes sobre a mão de obra","Administração Central")</f>
        <v>Administração Central</v>
      </c>
      <c r="J18" s="140"/>
      <c r="K18" s="140"/>
      <c r="L18" s="140"/>
      <c r="M18" s="8" t="str">
        <f>IF($I$11=$A$59,"K1","AC")</f>
        <v>AC</v>
      </c>
      <c r="N18" s="9">
        <v>5.9200000000000003E-2</v>
      </c>
      <c r="O18" s="10" t="s">
        <v>35</v>
      </c>
      <c r="P18" s="11">
        <f>VLOOKUP(CONCATENATE(I$11,"-",M18),$C$2:$G$49,3,FALSE)</f>
        <v>5.2900000000000003E-2</v>
      </c>
      <c r="Q18" s="11">
        <f>VLOOKUP(CONCATENATE(I$11,"-",M18),$C$2:$G$49,4,FALSE)</f>
        <v>5.9200000000000003E-2</v>
      </c>
      <c r="R18" s="11">
        <f>VLOOKUP(CONCATENATE(I$11,"-",M18),$C$2:$G$49,5,FALSE)</f>
        <v>7.9299999999999995E-2</v>
      </c>
    </row>
    <row r="19" spans="1:18" x14ac:dyDescent="0.25">
      <c r="A19" s="1" t="str">
        <f>A18</f>
        <v>Construção de Redes de Abastecimento de Água, Coleta de Esgoto</v>
      </c>
      <c r="B19" s="4" t="s">
        <v>18</v>
      </c>
      <c r="C19" s="1" t="str">
        <f t="shared" si="0"/>
        <v>Construção de Redes de Abastecimento de Água, Coleta de Esgoto-L</v>
      </c>
      <c r="D19" s="1"/>
      <c r="E19" s="5">
        <v>6.7400000000000002E-2</v>
      </c>
      <c r="F19" s="5">
        <v>8.0399999999999985E-2</v>
      </c>
      <c r="G19" s="5">
        <v>9.4E-2</v>
      </c>
      <c r="H19" s="1"/>
      <c r="I19" s="140" t="str">
        <f>IF($I$11=$A$59,"Administração Central da empresa ou consultoria - overhead","Seguro e Garantia")</f>
        <v>Seguro e Garantia</v>
      </c>
      <c r="J19" s="140"/>
      <c r="K19" s="140"/>
      <c r="L19" s="140"/>
      <c r="M19" s="8" t="str">
        <f>IF($I$11=$A$59,"K2","SG")</f>
        <v>SG</v>
      </c>
      <c r="N19" s="9">
        <v>5.1000000000000004E-3</v>
      </c>
      <c r="O19" s="10" t="s">
        <v>35</v>
      </c>
      <c r="P19" s="11">
        <f>VLOOKUP(CONCATENATE(I$11,"-",M19),$C$2:$G$49,3,FALSE)</f>
        <v>2.5000000000000001E-3</v>
      </c>
      <c r="Q19" s="11">
        <f>VLOOKUP(CONCATENATE(I$11,"-",M19),$C$2:$G$49,4,FALSE)</f>
        <v>5.1000000000000004E-3</v>
      </c>
      <c r="R19" s="11">
        <f>VLOOKUP(CONCATENATE(I$11,"-",M19),$C$2:$G$49,5,FALSE)</f>
        <v>5.6000000000000008E-3</v>
      </c>
    </row>
    <row r="20" spans="1:18" x14ac:dyDescent="0.25">
      <c r="A20" s="1" t="str">
        <f>A19</f>
        <v>Construção de Redes de Abastecimento de Água, Coleta de Esgoto</v>
      </c>
      <c r="B20" s="7" t="s">
        <v>19</v>
      </c>
      <c r="C20" s="1" t="str">
        <f t="shared" si="0"/>
        <v>Construção de Redes de Abastecimento de Água, Coleta de Esgoto-BDI PAD</v>
      </c>
      <c r="D20" s="1"/>
      <c r="E20" s="5">
        <v>0.20760000000000001</v>
      </c>
      <c r="F20" s="5">
        <v>0.24179999999999999</v>
      </c>
      <c r="G20" s="5">
        <v>0.26440000000000002</v>
      </c>
      <c r="H20" s="1"/>
      <c r="I20" s="140" t="str">
        <f>IF($I$11=$A$59,"","Risco")</f>
        <v>Risco</v>
      </c>
      <c r="J20" s="140"/>
      <c r="K20" s="140"/>
      <c r="L20" s="140"/>
      <c r="M20" s="8" t="str">
        <f>IF($I$11=$A$59,"","R")</f>
        <v>R</v>
      </c>
      <c r="N20" s="9">
        <v>1.4800000000000001E-2</v>
      </c>
      <c r="O20" s="10" t="s">
        <v>35</v>
      </c>
      <c r="P20" s="11">
        <f>VLOOKUP(CONCATENATE(I$11,"-",M20),$C$2:$G$49,3,FALSE)</f>
        <v>0.01</v>
      </c>
      <c r="Q20" s="11">
        <f>VLOOKUP(CONCATENATE(I$11,"-",M20),$C$2:$G$49,4,FALSE)</f>
        <v>1.4800000000000001E-2</v>
      </c>
      <c r="R20" s="11">
        <f>VLOOKUP(CONCATENATE(I$11,"-",M20),$C$2:$G$49,5,FALSE)</f>
        <v>1.9699999999999999E-2</v>
      </c>
    </row>
    <row r="21" spans="1:18" x14ac:dyDescent="0.25">
      <c r="A21" s="1" t="s">
        <v>24</v>
      </c>
      <c r="B21" s="4" t="s">
        <v>12</v>
      </c>
      <c r="C21" s="1" t="str">
        <f t="shared" si="0"/>
        <v>Construção e Manutenção de Estações e Redes de Distribuição de Energia Elétrica-AC</v>
      </c>
      <c r="D21" s="1"/>
      <c r="E21" s="5">
        <v>5.2900000000000003E-2</v>
      </c>
      <c r="F21" s="5">
        <v>5.9200000000000003E-2</v>
      </c>
      <c r="G21" s="5">
        <v>7.9299999999999995E-2</v>
      </c>
      <c r="H21" s="1"/>
      <c r="I21" s="140" t="str">
        <f>IF($I$11=$A$59,"","Despesas Financeiras")</f>
        <v>Despesas Financeiras</v>
      </c>
      <c r="J21" s="140"/>
      <c r="K21" s="140"/>
      <c r="L21" s="140"/>
      <c r="M21" s="8" t="str">
        <f>IF($I$11=$A$59,"","DF")</f>
        <v>DF</v>
      </c>
      <c r="N21" s="9">
        <v>1.0699999999999999E-2</v>
      </c>
      <c r="O21" s="10" t="s">
        <v>35</v>
      </c>
      <c r="P21" s="11">
        <f>VLOOKUP(CONCATENATE(I$11,"-",M21),$C$2:$G$49,3,FALSE)</f>
        <v>1.01E-2</v>
      </c>
      <c r="Q21" s="11">
        <f>VLOOKUP(CONCATENATE(I$11,"-",M21),$C$2:$G$49,4,FALSE)</f>
        <v>1.0700000000000001E-2</v>
      </c>
      <c r="R21" s="11">
        <f>VLOOKUP(CONCATENATE(I$11,"-",M21),$C$2:$G$49,5,FALSE)</f>
        <v>1.11E-2</v>
      </c>
    </row>
    <row r="22" spans="1:18" x14ac:dyDescent="0.25">
      <c r="A22" s="1" t="str">
        <f>A21</f>
        <v>Construção e Manutenção de Estações e Redes de Distribuição de Energia Elétrica</v>
      </c>
      <c r="B22" s="4" t="s">
        <v>13</v>
      </c>
      <c r="C22" s="1" t="str">
        <f t="shared" si="0"/>
        <v>Construção e Manutenção de Estações e Redes de Distribuição de Energia Elétrica-SG</v>
      </c>
      <c r="D22" s="1"/>
      <c r="E22" s="5">
        <v>2.5000000000000001E-3</v>
      </c>
      <c r="F22" s="5">
        <v>5.1000000000000004E-3</v>
      </c>
      <c r="G22" s="5">
        <v>5.6000000000000008E-3</v>
      </c>
      <c r="H22" s="1"/>
      <c r="I22" s="140" t="str">
        <f>IF($I$11=$A$59,"Margem bruta da empresa de consultoria","Lucro")</f>
        <v>Lucro</v>
      </c>
      <c r="J22" s="140"/>
      <c r="K22" s="140"/>
      <c r="L22" s="140"/>
      <c r="M22" s="8" t="str">
        <f>IF($I$11=$A$59,"K3","L")</f>
        <v>L</v>
      </c>
      <c r="N22" s="9">
        <v>8.3099999999999993E-2</v>
      </c>
      <c r="O22" s="10" t="s">
        <v>35</v>
      </c>
      <c r="P22" s="11">
        <f>VLOOKUP(CONCATENATE(I$11,"-",M22),$C$2:$G$49,3,FALSE)</f>
        <v>0.08</v>
      </c>
      <c r="Q22" s="11">
        <f>VLOOKUP(CONCATENATE(I$11,"-",M22),$C$2:$G$49,4,FALSE)</f>
        <v>8.3100000000000007E-2</v>
      </c>
      <c r="R22" s="11">
        <f>VLOOKUP(CONCATENATE(I$11,"-",M22),$C$2:$G$49,5,FALSE)</f>
        <v>9.5100000000000004E-2</v>
      </c>
    </row>
    <row r="23" spans="1:18" x14ac:dyDescent="0.25">
      <c r="A23" s="1" t="str">
        <f>A22</f>
        <v>Construção e Manutenção de Estações e Redes de Distribuição de Energia Elétrica</v>
      </c>
      <c r="B23" s="4" t="s">
        <v>14</v>
      </c>
      <c r="C23" s="1" t="str">
        <f t="shared" si="0"/>
        <v>Construção e Manutenção de Estações e Redes de Distribuição de Energia Elétrica-R</v>
      </c>
      <c r="D23" s="1"/>
      <c r="E23" s="5">
        <v>0.01</v>
      </c>
      <c r="F23" s="5">
        <v>1.4800000000000001E-2</v>
      </c>
      <c r="G23" s="5">
        <v>1.9699999999999999E-2</v>
      </c>
      <c r="H23" s="1"/>
      <c r="I23" s="141" t="s">
        <v>36</v>
      </c>
      <c r="J23" s="141"/>
      <c r="K23" s="141"/>
      <c r="L23" s="141"/>
      <c r="M23" s="8" t="s">
        <v>37</v>
      </c>
      <c r="N23" s="9">
        <v>3.6499999999999998E-2</v>
      </c>
      <c r="O23" s="10" t="s">
        <v>35</v>
      </c>
      <c r="P23" s="11">
        <v>3.6499999999999998E-2</v>
      </c>
      <c r="Q23" s="11">
        <v>3.6499999999999998E-2</v>
      </c>
      <c r="R23" s="11">
        <v>3.6499999999999998E-2</v>
      </c>
    </row>
    <row r="24" spans="1:18" ht="30.75" customHeight="1" x14ac:dyDescent="0.25">
      <c r="A24" s="1" t="str">
        <f>A23</f>
        <v>Construção e Manutenção de Estações e Redes de Distribuição de Energia Elétrica</v>
      </c>
      <c r="B24" s="4" t="s">
        <v>17</v>
      </c>
      <c r="C24" s="1" t="str">
        <f t="shared" si="0"/>
        <v>Construção e Manutenção de Estações e Redes de Distribuição de Energia Elétrica-DF</v>
      </c>
      <c r="D24" s="1"/>
      <c r="E24" s="5">
        <v>1.01E-2</v>
      </c>
      <c r="F24" s="5">
        <v>1.0700000000000001E-2</v>
      </c>
      <c r="G24" s="5">
        <v>1.11E-2</v>
      </c>
      <c r="H24" s="1"/>
      <c r="I24" s="140" t="s">
        <v>38</v>
      </c>
      <c r="J24" s="140"/>
      <c r="K24" s="140"/>
      <c r="L24" s="140"/>
      <c r="M24" s="8" t="s">
        <v>39</v>
      </c>
      <c r="N24" s="11">
        <f>IF($I$11&lt;&gt;$A$58,Q14*Q13,0)</f>
        <v>0.02</v>
      </c>
      <c r="O24" s="10" t="s">
        <v>35</v>
      </c>
      <c r="P24" s="11">
        <v>0</v>
      </c>
      <c r="Q24" s="11">
        <v>2.5000000000000001E-2</v>
      </c>
      <c r="R24" s="11">
        <v>0.05</v>
      </c>
    </row>
    <row r="25" spans="1:18" ht="35.25" customHeight="1" x14ac:dyDescent="0.25">
      <c r="A25" s="1" t="str">
        <f>A24</f>
        <v>Construção e Manutenção de Estações e Redes de Distribuição de Energia Elétrica</v>
      </c>
      <c r="B25" s="4" t="s">
        <v>18</v>
      </c>
      <c r="C25" s="1" t="str">
        <f t="shared" si="0"/>
        <v>Construção e Manutenção de Estações e Redes de Distribuição de Energia Elétrica-L</v>
      </c>
      <c r="D25" s="1"/>
      <c r="E25" s="5">
        <v>0.08</v>
      </c>
      <c r="F25" s="5">
        <v>8.3100000000000007E-2</v>
      </c>
      <c r="G25" s="5">
        <v>9.5100000000000004E-2</v>
      </c>
      <c r="H25" s="1"/>
      <c r="I25" s="140" t="s">
        <v>40</v>
      </c>
      <c r="J25" s="140"/>
      <c r="K25" s="140"/>
      <c r="L25" s="140"/>
      <c r="M25" s="8" t="s">
        <v>41</v>
      </c>
      <c r="N25" s="11">
        <f>IF(AND($I$11&lt;&gt;$A$58,Q11="Sim"),4.5%,0%)</f>
        <v>0</v>
      </c>
      <c r="O25" s="10" t="str">
        <f>IF(AND(N25&gt;=P25, N25&lt;=R25), "OK", "Não OK")</f>
        <v>OK</v>
      </c>
      <c r="P25" s="12">
        <v>0</v>
      </c>
      <c r="Q25" s="12">
        <v>4.4999999999999998E-2</v>
      </c>
      <c r="R25" s="12">
        <v>4.4999999999999998E-2</v>
      </c>
    </row>
    <row r="26" spans="1:18" ht="30" x14ac:dyDescent="0.25">
      <c r="A26" s="1" t="str">
        <f>A25</f>
        <v>Construção e Manutenção de Estações e Redes de Distribuição de Energia Elétrica</v>
      </c>
      <c r="B26" s="7" t="s">
        <v>19</v>
      </c>
      <c r="C26" s="1" t="str">
        <f t="shared" si="0"/>
        <v>Construção e Manutenção de Estações e Redes de Distribuição de Energia Elétrica-BDI PAD</v>
      </c>
      <c r="D26" s="1"/>
      <c r="E26" s="5">
        <v>0.24</v>
      </c>
      <c r="F26" s="5">
        <v>0.25840000000000002</v>
      </c>
      <c r="G26" s="5">
        <v>0.27860000000000001</v>
      </c>
      <c r="H26" s="1"/>
      <c r="I26" s="140" t="s">
        <v>42</v>
      </c>
      <c r="J26" s="140"/>
      <c r="K26" s="140"/>
      <c r="L26" s="140"/>
      <c r="M26" s="13" t="s">
        <v>19</v>
      </c>
      <c r="N26" s="11">
        <f>IF($I$11=$A$58,0,ROUND((((1+N18+N19+N20)*(1+N21)*(1+N22)/(1-(N23+N24)))-1),4))</f>
        <v>0.252</v>
      </c>
      <c r="O26" s="14" t="str">
        <f>IF(OR($I$11=$A$59,$I$11=$A$58,AND(N26&gt;=P26, N26&lt;=R26)), "OK", "FORA DO INTERVALO")</f>
        <v>OK</v>
      </c>
      <c r="P26" s="11">
        <f>IF($I$11=$A$58,0,VLOOKUP(CONCATENATE($I$11,"-",$M26),$C$2:$G$49,3,FALSE))</f>
        <v>0.24</v>
      </c>
      <c r="Q26" s="11">
        <f>IF($I$11=$A$58,0,VLOOKUP(CONCATENATE($I$11,"-",$M26),$C$2:$G$49,4,FALSE))</f>
        <v>0.25840000000000002</v>
      </c>
      <c r="R26" s="11">
        <f>IF($I$11=$A$58,0,VLOOKUP(CONCATENATE($I$11,"-",$M26),$C$2:$G$49,5,FALSE))</f>
        <v>0.27860000000000001</v>
      </c>
    </row>
  </sheetData>
  <mergeCells count="30">
    <mergeCell ref="I24:L24"/>
    <mergeCell ref="I25:L25"/>
    <mergeCell ref="I26:L26"/>
    <mergeCell ref="I18:L18"/>
    <mergeCell ref="I19:L19"/>
    <mergeCell ref="I20:L20"/>
    <mergeCell ref="I21:L21"/>
    <mergeCell ref="I22:L22"/>
    <mergeCell ref="I23:L23"/>
    <mergeCell ref="I14:P14"/>
    <mergeCell ref="Q14:R14"/>
    <mergeCell ref="I16:L17"/>
    <mergeCell ref="M16:M17"/>
    <mergeCell ref="N16:N17"/>
    <mergeCell ref="O16:O17"/>
    <mergeCell ref="P16:P17"/>
    <mergeCell ref="Q16:Q17"/>
    <mergeCell ref="R16:R17"/>
    <mergeCell ref="I10:P10"/>
    <mergeCell ref="Q10:R10"/>
    <mergeCell ref="I11:P11"/>
    <mergeCell ref="Q11:R11"/>
    <mergeCell ref="I13:P13"/>
    <mergeCell ref="Q13:R13"/>
    <mergeCell ref="I8:R8"/>
    <mergeCell ref="I4:J4"/>
    <mergeCell ref="K4:R4"/>
    <mergeCell ref="I5:J5"/>
    <mergeCell ref="K5:R5"/>
    <mergeCell ref="I7:R7"/>
  </mergeCells>
  <conditionalFormatting sqref="I26:N26">
    <cfRule type="expression" dxfId="3" priority="2" stopIfTrue="1">
      <formula>$Q$11="Não"</formula>
    </cfRule>
  </conditionalFormatting>
  <conditionalFormatting sqref="O18:O26">
    <cfRule type="expression" dxfId="2" priority="3" stopIfTrue="1">
      <formula>AND(O18&lt;&gt;"OK",O18&lt;&gt;"-",O18&lt;&gt;"")</formula>
    </cfRule>
    <cfRule type="cellIs" dxfId="1" priority="4" stopIfTrue="1" operator="equal">
      <formula>"OK"</formula>
    </cfRule>
  </conditionalFormatting>
  <conditionalFormatting sqref="P18:R26">
    <cfRule type="expression" dxfId="0" priority="1" stopIfTrue="1">
      <formula>$I$11=$A$58</formula>
    </cfRule>
  </conditionalFormatting>
  <dataValidations count="6">
    <dataValidation type="decimal" allowBlank="1" showInputMessage="1" showErrorMessage="1" errorTitle="Erro de valores" error="Digite um valor entre 0% e 100%" sqref="N18:N23" xr:uid="{00000000-0002-0000-0000-000000000000}">
      <formula1>0</formula1>
      <formula2>1</formula2>
    </dataValidation>
    <dataValidation type="decimal" operator="greaterThanOrEqual" allowBlank="1" showInputMessage="1" showErrorMessage="1" errorTitle="Valor não permitido" error="Digite um percentual entre 0% e 100%." promptTitle="Valores comuns:" prompt="Normalmente entre 2 e 5%." sqref="Q14:R14" xr:uid="{00000000-0002-0000-0000-000001000000}">
      <formula1>0</formula1>
    </dataValidation>
    <dataValidation type="decimal" allowBlank="1" showInputMessage="1" showErrorMessage="1" errorTitle="Valor não permitido" error="Digite um percentual entre 0% e 100%." promptTitle="Valores admissíveis:" prompt="Insira valores entre 0 e 100%." sqref="Q13:R13" xr:uid="{00000000-0002-0000-0000-000002000000}">
      <formula1>0</formula1>
      <formula2>1</formula2>
    </dataValidation>
    <dataValidation type="decimal" allowBlank="1" showInputMessage="1" showErrorMessage="1" errorTitle="Erro de valores" error="Digite um valor maior do que 0." sqref="N24" xr:uid="{00000000-0002-0000-0000-000003000000}">
      <formula1>0</formula1>
      <formula2>1</formula2>
    </dataValidation>
    <dataValidation operator="greaterThanOrEqual" allowBlank="1" showInputMessage="1" showErrorMessage="1" errorTitle="Erro de valores" error="Digite um valor igual a 0% ou 2%." sqref="N25" xr:uid="{00000000-0002-0000-0000-000004000000}"/>
    <dataValidation type="list" allowBlank="1" showInputMessage="1" showErrorMessage="1" sqref="I11:P11" xr:uid="{00000000-0002-0000-0000-000005000000}">
      <formula1>$A$52:$A$59</formula1>
    </dataValidation>
  </dataValidations>
  <pageMargins left="0.17" right="0.17" top="0.46" bottom="0.78740157499999996" header="0.31496062000000002" footer="0.31496062000000002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40"/>
  <sheetViews>
    <sheetView tabSelected="1" topLeftCell="A5" zoomScale="70" zoomScaleNormal="70" workbookViewId="0">
      <selection activeCell="C27" sqref="C27"/>
    </sheetView>
  </sheetViews>
  <sheetFormatPr defaultRowHeight="15" x14ac:dyDescent="0.25"/>
  <cols>
    <col min="2" max="2" width="14.5703125" customWidth="1"/>
    <col min="4" max="4" width="44.7109375" customWidth="1"/>
    <col min="7" max="7" width="14.28515625" bestFit="1" customWidth="1"/>
    <col min="8" max="8" width="14.7109375" customWidth="1"/>
    <col min="9" max="9" width="21.140625" bestFit="1" customWidth="1"/>
  </cols>
  <sheetData>
    <row r="1" spans="1:10" x14ac:dyDescent="0.25">
      <c r="A1" s="154"/>
      <c r="B1" s="155"/>
      <c r="C1" s="155"/>
      <c r="D1" s="155"/>
      <c r="E1" s="155"/>
      <c r="F1" s="155"/>
      <c r="G1" s="155"/>
      <c r="H1" s="155"/>
      <c r="I1" s="156"/>
    </row>
    <row r="2" spans="1:10" x14ac:dyDescent="0.25">
      <c r="A2" s="157"/>
      <c r="B2" s="158"/>
      <c r="C2" s="158"/>
      <c r="D2" s="158"/>
      <c r="E2" s="158"/>
      <c r="F2" s="158"/>
      <c r="G2" s="158"/>
      <c r="H2" s="158"/>
      <c r="I2" s="159"/>
    </row>
    <row r="3" spans="1:10" x14ac:dyDescent="0.25">
      <c r="A3" s="157"/>
      <c r="B3" s="158"/>
      <c r="C3" s="158"/>
      <c r="D3" s="158"/>
      <c r="E3" s="158"/>
      <c r="F3" s="158"/>
      <c r="G3" s="158"/>
      <c r="H3" s="158"/>
      <c r="I3" s="159"/>
    </row>
    <row r="4" spans="1:10" ht="40.5" customHeight="1" thickBot="1" x14ac:dyDescent="0.3">
      <c r="A4" s="160"/>
      <c r="B4" s="161"/>
      <c r="C4" s="161"/>
      <c r="D4" s="161"/>
      <c r="E4" s="161"/>
      <c r="F4" s="161"/>
      <c r="G4" s="161"/>
      <c r="H4" s="161"/>
      <c r="I4" s="162"/>
    </row>
    <row r="5" spans="1:10" ht="19.5" thickBot="1" x14ac:dyDescent="0.3">
      <c r="A5" s="163" t="s">
        <v>0</v>
      </c>
      <c r="B5" s="164"/>
      <c r="C5" s="164"/>
      <c r="D5" s="164"/>
      <c r="E5" s="164"/>
      <c r="F5" s="164"/>
      <c r="G5" s="164"/>
      <c r="H5" s="164"/>
      <c r="I5" s="165"/>
    </row>
    <row r="6" spans="1:10" x14ac:dyDescent="0.25">
      <c r="A6" s="166" t="s">
        <v>1</v>
      </c>
      <c r="B6" s="167"/>
      <c r="C6" s="168"/>
      <c r="D6" s="169" t="s">
        <v>107</v>
      </c>
      <c r="E6" s="169"/>
      <c r="F6" s="169"/>
      <c r="G6" s="169"/>
      <c r="H6" s="169"/>
      <c r="I6" s="170"/>
    </row>
    <row r="7" spans="1:10" x14ac:dyDescent="0.25">
      <c r="A7" s="171" t="s">
        <v>2</v>
      </c>
      <c r="B7" s="172"/>
      <c r="C7" s="173"/>
      <c r="D7" s="174" t="s">
        <v>109</v>
      </c>
      <c r="E7" s="174"/>
      <c r="F7" s="174"/>
      <c r="G7" s="174"/>
      <c r="H7" s="174"/>
      <c r="I7" s="175"/>
    </row>
    <row r="8" spans="1:10" x14ac:dyDescent="0.25">
      <c r="A8" s="176" t="s">
        <v>3</v>
      </c>
      <c r="B8" s="177"/>
      <c r="C8" s="178"/>
      <c r="D8" s="174" t="s">
        <v>60</v>
      </c>
      <c r="E8" s="174"/>
      <c r="F8" s="174"/>
      <c r="G8" s="174"/>
      <c r="H8" s="174"/>
      <c r="I8" s="175"/>
      <c r="J8">
        <v>1.24</v>
      </c>
    </row>
    <row r="9" spans="1:10" x14ac:dyDescent="0.25">
      <c r="A9" s="179"/>
      <c r="B9" s="180"/>
      <c r="C9" s="180"/>
      <c r="D9" s="180"/>
      <c r="E9" s="180"/>
      <c r="F9" s="180"/>
      <c r="G9" s="180"/>
      <c r="H9" s="180"/>
      <c r="I9" s="181"/>
    </row>
    <row r="10" spans="1:10" ht="25.5" x14ac:dyDescent="0.25">
      <c r="A10" s="35" t="s">
        <v>57</v>
      </c>
      <c r="B10" s="46" t="s">
        <v>63</v>
      </c>
      <c r="C10" s="36" t="s">
        <v>7</v>
      </c>
      <c r="D10" s="36" t="s">
        <v>4</v>
      </c>
      <c r="E10" s="36" t="s">
        <v>5</v>
      </c>
      <c r="F10" s="37" t="s">
        <v>6</v>
      </c>
      <c r="G10" s="38" t="s">
        <v>48</v>
      </c>
      <c r="H10" s="39" t="s">
        <v>49</v>
      </c>
      <c r="I10" s="48" t="s">
        <v>50</v>
      </c>
    </row>
    <row r="11" spans="1:10" x14ac:dyDescent="0.25">
      <c r="A11" s="45">
        <v>1</v>
      </c>
      <c r="B11" s="47"/>
      <c r="C11" s="22"/>
      <c r="D11" s="182" t="s">
        <v>56</v>
      </c>
      <c r="E11" s="182"/>
      <c r="F11" s="182"/>
      <c r="G11" s="182"/>
      <c r="H11" s="182"/>
      <c r="I11" s="183"/>
    </row>
    <row r="12" spans="1:10" x14ac:dyDescent="0.25">
      <c r="A12" s="45" t="s">
        <v>58</v>
      </c>
      <c r="B12" s="47" t="s">
        <v>65</v>
      </c>
      <c r="C12" s="15" t="s">
        <v>45</v>
      </c>
      <c r="D12" s="16" t="s">
        <v>44</v>
      </c>
      <c r="E12" s="15" t="s">
        <v>64</v>
      </c>
      <c r="F12" s="17">
        <f>(3+1)*1.5</f>
        <v>6</v>
      </c>
      <c r="G12" s="18">
        <v>891.72</v>
      </c>
      <c r="H12" s="19">
        <f>ROUND(G12*$J$8,2)</f>
        <v>1105.73</v>
      </c>
      <c r="I12" s="20">
        <f>H12*F12</f>
        <v>6634.38</v>
      </c>
    </row>
    <row r="13" spans="1:10" x14ac:dyDescent="0.25">
      <c r="A13" s="54" t="s">
        <v>101</v>
      </c>
      <c r="B13" s="47" t="s">
        <v>65</v>
      </c>
      <c r="C13" s="55" t="s">
        <v>99</v>
      </c>
      <c r="D13" s="56" t="s">
        <v>100</v>
      </c>
      <c r="E13" s="55" t="s">
        <v>5</v>
      </c>
      <c r="F13" s="57">
        <v>18</v>
      </c>
      <c r="G13" s="58">
        <v>275.82</v>
      </c>
      <c r="H13" s="19">
        <f>ROUND(G13*$J$8,2)</f>
        <v>342.02</v>
      </c>
      <c r="I13" s="20">
        <f>H13*F13</f>
        <v>6156.36</v>
      </c>
    </row>
    <row r="14" spans="1:10" x14ac:dyDescent="0.25">
      <c r="A14" s="54"/>
      <c r="B14" s="108"/>
      <c r="C14" s="55"/>
      <c r="D14" s="56"/>
      <c r="E14" s="55"/>
      <c r="F14" s="57"/>
      <c r="G14" s="58"/>
      <c r="H14" s="109"/>
      <c r="I14" s="20"/>
    </row>
    <row r="15" spans="1:10" x14ac:dyDescent="0.25">
      <c r="A15" s="184" t="s">
        <v>59</v>
      </c>
      <c r="B15" s="185"/>
      <c r="C15" s="185"/>
      <c r="D15" s="185"/>
      <c r="E15" s="185"/>
      <c r="F15" s="185"/>
      <c r="G15" s="185"/>
      <c r="H15" s="185"/>
      <c r="I15" s="119">
        <f>SUM(I12:I13)</f>
        <v>12790.74</v>
      </c>
    </row>
    <row r="16" spans="1:10" x14ac:dyDescent="0.25">
      <c r="A16" s="45">
        <v>2</v>
      </c>
      <c r="B16" s="47"/>
      <c r="C16" s="23"/>
      <c r="D16" s="151" t="s">
        <v>55</v>
      </c>
      <c r="E16" s="152"/>
      <c r="F16" s="152"/>
      <c r="G16" s="152"/>
      <c r="H16" s="152"/>
      <c r="I16" s="153"/>
    </row>
    <row r="17" spans="1:9" ht="78" customHeight="1" x14ac:dyDescent="0.25">
      <c r="A17" s="107" t="s">
        <v>51</v>
      </c>
      <c r="B17" s="50" t="s">
        <v>149</v>
      </c>
      <c r="C17" s="40" t="str">
        <f>'Composiçao 001'!A3</f>
        <v>C-01</v>
      </c>
      <c r="D17" s="41" t="str">
        <f>'Composiçao 001'!B3</f>
        <v>ASSENTAMENTO DE POSTE DE CONCRETO COM COMPRIMENTO NOMINAL DE 9 M, CARGA NOMINAL MENOR OU IGUAL A 1000 DAN, ENGASTAMENTO SIMPLES COM 1,5 M DE SOLO (Ref. SINAPI 100578)</v>
      </c>
      <c r="E17" s="40" t="s">
        <v>5</v>
      </c>
      <c r="F17" s="49">
        <v>2</v>
      </c>
      <c r="G17" s="43">
        <f>'Composiçao 001'!F14</f>
        <v>1095.51</v>
      </c>
      <c r="H17" s="42">
        <f t="shared" ref="H17:H28" si="0">ROUND(G17*$J$8,2)</f>
        <v>1358.43</v>
      </c>
      <c r="I17" s="44">
        <f>H17*F17</f>
        <v>2716.86</v>
      </c>
    </row>
    <row r="18" spans="1:9" ht="78" customHeight="1" x14ac:dyDescent="0.25">
      <c r="A18" s="107" t="s">
        <v>52</v>
      </c>
      <c r="B18" s="50" t="s">
        <v>152</v>
      </c>
      <c r="C18" s="105">
        <v>101501</v>
      </c>
      <c r="D18" s="106" t="s">
        <v>153</v>
      </c>
      <c r="E18" s="40" t="s">
        <v>5</v>
      </c>
      <c r="F18" s="49">
        <v>2</v>
      </c>
      <c r="G18" s="43">
        <v>1710.79</v>
      </c>
      <c r="H18" s="42">
        <f t="shared" si="0"/>
        <v>2121.38</v>
      </c>
      <c r="I18" s="44">
        <f t="shared" ref="I18" si="1">H18*F18</f>
        <v>4242.76</v>
      </c>
    </row>
    <row r="19" spans="1:9" ht="36.75" customHeight="1" x14ac:dyDescent="0.25">
      <c r="A19" s="107" t="s">
        <v>53</v>
      </c>
      <c r="B19" s="50" t="s">
        <v>65</v>
      </c>
      <c r="C19" s="105" t="s">
        <v>155</v>
      </c>
      <c r="D19" s="106" t="s">
        <v>156</v>
      </c>
      <c r="E19" s="40" t="s">
        <v>157</v>
      </c>
      <c r="F19" s="49">
        <f>Quantitativo!E15*0.3*0.3</f>
        <v>171.74699999999999</v>
      </c>
      <c r="G19" s="43">
        <v>61.08</v>
      </c>
      <c r="H19" s="42">
        <f t="shared" ref="H19" si="2">ROUND(G19*$J$8,2)</f>
        <v>75.739999999999995</v>
      </c>
      <c r="I19" s="44">
        <f t="shared" ref="I19" si="3">H19*F19</f>
        <v>13008.117779999999</v>
      </c>
    </row>
    <row r="20" spans="1:9" ht="34.5" customHeight="1" x14ac:dyDescent="0.25">
      <c r="A20" s="107" t="s">
        <v>54</v>
      </c>
      <c r="B20" s="50" t="s">
        <v>65</v>
      </c>
      <c r="C20" s="105" t="s">
        <v>159</v>
      </c>
      <c r="D20" s="106" t="s">
        <v>160</v>
      </c>
      <c r="E20" s="40" t="s">
        <v>157</v>
      </c>
      <c r="F20" s="49">
        <f>F19</f>
        <v>171.74699999999999</v>
      </c>
      <c r="G20" s="43">
        <v>8.75</v>
      </c>
      <c r="H20" s="42">
        <f t="shared" ref="H20" si="4">ROUND(G20*$J$8,2)</f>
        <v>10.85</v>
      </c>
      <c r="I20" s="44">
        <f t="shared" ref="I20" si="5">H20*F20</f>
        <v>1863.4549499999998</v>
      </c>
    </row>
    <row r="21" spans="1:9" ht="30" customHeight="1" x14ac:dyDescent="0.25">
      <c r="A21" s="107" t="s">
        <v>102</v>
      </c>
      <c r="B21" s="50" t="s">
        <v>65</v>
      </c>
      <c r="C21" s="40" t="s">
        <v>68</v>
      </c>
      <c r="D21" s="41" t="s">
        <v>158</v>
      </c>
      <c r="E21" s="40" t="s">
        <v>67</v>
      </c>
      <c r="F21" s="49">
        <f>Quantitativo!E15+4*F27</f>
        <v>2288.3000000000002</v>
      </c>
      <c r="G21" s="43">
        <v>10.43</v>
      </c>
      <c r="H21" s="42">
        <f t="shared" si="0"/>
        <v>12.93</v>
      </c>
      <c r="I21" s="44">
        <f t="shared" ref="I21:I28" si="6">H21*F21</f>
        <v>29587.719000000001</v>
      </c>
    </row>
    <row r="22" spans="1:9" ht="42" customHeight="1" x14ac:dyDescent="0.25">
      <c r="A22" s="107" t="s">
        <v>103</v>
      </c>
      <c r="B22" s="50" t="s">
        <v>65</v>
      </c>
      <c r="C22" s="40" t="s">
        <v>108</v>
      </c>
      <c r="D22" s="41" t="s">
        <v>128</v>
      </c>
      <c r="E22" s="40" t="s">
        <v>69</v>
      </c>
      <c r="F22" s="49">
        <f>F21*2</f>
        <v>4576.6000000000004</v>
      </c>
      <c r="G22" s="43">
        <v>6</v>
      </c>
      <c r="H22" s="42">
        <f t="shared" si="0"/>
        <v>7.44</v>
      </c>
      <c r="I22" s="44">
        <f t="shared" ref="I22:I27" si="7">H22*F22</f>
        <v>34049.904000000002</v>
      </c>
    </row>
    <row r="23" spans="1:9" ht="42" customHeight="1" x14ac:dyDescent="0.25">
      <c r="A23" s="107" t="s">
        <v>104</v>
      </c>
      <c r="B23" s="50" t="s">
        <v>65</v>
      </c>
      <c r="C23" s="40" t="s">
        <v>164</v>
      </c>
      <c r="D23" s="41" t="s">
        <v>165</v>
      </c>
      <c r="E23" s="40" t="s">
        <v>5</v>
      </c>
      <c r="F23" s="49">
        <f>Quantitativo!F15+Quantitativo!D15</f>
        <v>98</v>
      </c>
      <c r="G23" s="43">
        <v>37.06</v>
      </c>
      <c r="H23" s="42">
        <f t="shared" si="0"/>
        <v>45.95</v>
      </c>
      <c r="I23" s="44">
        <f t="shared" si="7"/>
        <v>4503.1000000000004</v>
      </c>
    </row>
    <row r="24" spans="1:9" ht="30" customHeight="1" x14ac:dyDescent="0.25">
      <c r="A24" s="107" t="s">
        <v>154</v>
      </c>
      <c r="B24" s="50" t="s">
        <v>65</v>
      </c>
      <c r="C24" s="40" t="s">
        <v>70</v>
      </c>
      <c r="D24" s="59" t="s">
        <v>74</v>
      </c>
      <c r="E24" s="40" t="s">
        <v>5</v>
      </c>
      <c r="F24" s="49">
        <f>Quantitativo!D15</f>
        <v>95</v>
      </c>
      <c r="G24" s="43">
        <v>200.42</v>
      </c>
      <c r="H24" s="42">
        <f t="shared" si="0"/>
        <v>248.52</v>
      </c>
      <c r="I24" s="44">
        <f t="shared" si="7"/>
        <v>23609.4</v>
      </c>
    </row>
    <row r="25" spans="1:9" ht="30" customHeight="1" x14ac:dyDescent="0.25">
      <c r="A25" s="107" t="s">
        <v>167</v>
      </c>
      <c r="B25" s="50" t="s">
        <v>65</v>
      </c>
      <c r="C25" s="40" t="s">
        <v>71</v>
      </c>
      <c r="D25" s="59" t="s">
        <v>75</v>
      </c>
      <c r="E25" s="40" t="s">
        <v>5</v>
      </c>
      <c r="F25" s="49">
        <f>Quantitativo!D15</f>
        <v>95</v>
      </c>
      <c r="G25" s="43">
        <v>9.2100000000000009</v>
      </c>
      <c r="H25" s="42">
        <f t="shared" si="0"/>
        <v>11.42</v>
      </c>
      <c r="I25" s="44">
        <f t="shared" si="7"/>
        <v>1084.9000000000001</v>
      </c>
    </row>
    <row r="26" spans="1:9" ht="30" customHeight="1" x14ac:dyDescent="0.25">
      <c r="A26" s="107" t="s">
        <v>168</v>
      </c>
      <c r="B26" s="50" t="s">
        <v>65</v>
      </c>
      <c r="C26" s="40" t="s">
        <v>161</v>
      </c>
      <c r="D26" s="59" t="s">
        <v>162</v>
      </c>
      <c r="E26" s="40" t="s">
        <v>142</v>
      </c>
      <c r="F26" s="49">
        <f>1.4*F25</f>
        <v>133</v>
      </c>
      <c r="G26" s="43">
        <v>10.49</v>
      </c>
      <c r="H26" s="42">
        <f t="shared" si="0"/>
        <v>13.01</v>
      </c>
      <c r="I26" s="44">
        <f t="shared" si="7"/>
        <v>1730.33</v>
      </c>
    </row>
    <row r="27" spans="1:9" ht="30" customHeight="1" x14ac:dyDescent="0.25">
      <c r="A27" s="107" t="s">
        <v>169</v>
      </c>
      <c r="B27" s="50" t="s">
        <v>65</v>
      </c>
      <c r="C27" s="40" t="s">
        <v>72</v>
      </c>
      <c r="D27" s="41" t="s">
        <v>129</v>
      </c>
      <c r="E27" s="40" t="s">
        <v>5</v>
      </c>
      <c r="F27" s="49">
        <f>Quantitativo!D15</f>
        <v>95</v>
      </c>
      <c r="G27" s="43">
        <v>1149.73</v>
      </c>
      <c r="H27" s="42">
        <f t="shared" si="0"/>
        <v>1425.67</v>
      </c>
      <c r="I27" s="44">
        <f t="shared" si="7"/>
        <v>135438.65</v>
      </c>
    </row>
    <row r="28" spans="1:9" ht="45" customHeight="1" x14ac:dyDescent="0.25">
      <c r="A28" s="107" t="s">
        <v>170</v>
      </c>
      <c r="B28" s="50" t="s">
        <v>65</v>
      </c>
      <c r="C28" s="40" t="s">
        <v>73</v>
      </c>
      <c r="D28" s="41" t="s">
        <v>76</v>
      </c>
      <c r="E28" s="40" t="s">
        <v>5</v>
      </c>
      <c r="F28" s="49">
        <f>Quantitativo!C15*2+Quantitativo!B15</f>
        <v>130</v>
      </c>
      <c r="G28" s="43">
        <v>534.82000000000005</v>
      </c>
      <c r="H28" s="42">
        <f t="shared" si="0"/>
        <v>663.18</v>
      </c>
      <c r="I28" s="44">
        <f t="shared" si="6"/>
        <v>86213.4</v>
      </c>
    </row>
    <row r="29" spans="1:9" ht="15.75" thickBot="1" x14ac:dyDescent="0.3">
      <c r="A29" s="143" t="s">
        <v>59</v>
      </c>
      <c r="B29" s="144"/>
      <c r="C29" s="144"/>
      <c r="D29" s="144"/>
      <c r="E29" s="144"/>
      <c r="F29" s="144"/>
      <c r="G29" s="144"/>
      <c r="H29" s="145"/>
      <c r="I29" s="32">
        <f>SUM(I17:I28)</f>
        <v>338048.59572999994</v>
      </c>
    </row>
    <row r="30" spans="1:9" ht="15.75" thickBot="1" x14ac:dyDescent="0.3">
      <c r="A30" s="146" t="s">
        <v>43</v>
      </c>
      <c r="B30" s="147"/>
      <c r="C30" s="147"/>
      <c r="D30" s="147"/>
      <c r="E30" s="147"/>
      <c r="F30" s="147"/>
      <c r="G30" s="147"/>
      <c r="H30" s="148"/>
      <c r="I30" s="21">
        <f>I29+I15</f>
        <v>350839.33572999993</v>
      </c>
    </row>
    <row r="31" spans="1:9" x14ac:dyDescent="0.25">
      <c r="A31" s="24"/>
    </row>
    <row r="32" spans="1:9" x14ac:dyDescent="0.25">
      <c r="A32" s="24"/>
    </row>
    <row r="33" spans="1:9" x14ac:dyDescent="0.25">
      <c r="A33" s="24"/>
      <c r="C33" s="149" t="s">
        <v>163</v>
      </c>
      <c r="D33" s="149"/>
      <c r="E33" s="149"/>
      <c r="F33" s="149"/>
      <c r="G33" s="149"/>
      <c r="H33" s="149"/>
      <c r="I33" s="149"/>
    </row>
    <row r="34" spans="1:9" x14ac:dyDescent="0.25">
      <c r="A34" s="24"/>
      <c r="E34" s="26"/>
      <c r="F34" s="27"/>
      <c r="G34" s="28"/>
      <c r="H34" s="29"/>
      <c r="I34" s="29"/>
    </row>
    <row r="35" spans="1:9" x14ac:dyDescent="0.25">
      <c r="A35" s="24"/>
      <c r="E35" s="26"/>
      <c r="F35" s="27"/>
      <c r="G35" s="28"/>
      <c r="H35" s="29"/>
      <c r="I35" s="29"/>
    </row>
    <row r="36" spans="1:9" x14ac:dyDescent="0.25">
      <c r="A36" s="24"/>
      <c r="E36" s="26"/>
      <c r="F36" s="27"/>
      <c r="G36" s="34"/>
      <c r="H36" s="29"/>
      <c r="I36" s="120"/>
    </row>
    <row r="37" spans="1:9" x14ac:dyDescent="0.25">
      <c r="A37" s="24"/>
      <c r="E37" s="26"/>
      <c r="F37" s="27"/>
      <c r="G37" s="33"/>
      <c r="H37" s="150" t="s">
        <v>61</v>
      </c>
      <c r="I37" s="150"/>
    </row>
    <row r="38" spans="1:9" x14ac:dyDescent="0.25">
      <c r="A38" s="24"/>
      <c r="E38" s="26"/>
      <c r="F38" s="27"/>
      <c r="G38" s="33"/>
      <c r="H38" s="142" t="s">
        <v>46</v>
      </c>
      <c r="I38" s="142"/>
    </row>
    <row r="39" spans="1:9" x14ac:dyDescent="0.25">
      <c r="A39" s="24"/>
      <c r="E39" s="26"/>
      <c r="F39" s="27"/>
      <c r="G39" s="33"/>
      <c r="H39" s="142" t="s">
        <v>62</v>
      </c>
      <c r="I39" s="142"/>
    </row>
    <row r="40" spans="1:9" x14ac:dyDescent="0.25">
      <c r="A40" s="24"/>
      <c r="E40" s="26"/>
      <c r="F40" s="27"/>
      <c r="G40" s="33"/>
      <c r="H40" s="142" t="s">
        <v>47</v>
      </c>
      <c r="I40" s="142"/>
    </row>
  </sheetData>
  <mergeCells count="19">
    <mergeCell ref="D16:I16"/>
    <mergeCell ref="A1:I4"/>
    <mergeCell ref="A5:I5"/>
    <mergeCell ref="A6:C6"/>
    <mergeCell ref="D6:I6"/>
    <mergeCell ref="A7:C7"/>
    <mergeCell ref="D7:I7"/>
    <mergeCell ref="A8:C8"/>
    <mergeCell ref="D8:I8"/>
    <mergeCell ref="A9:I9"/>
    <mergeCell ref="D11:I11"/>
    <mergeCell ref="A15:H15"/>
    <mergeCell ref="H40:I40"/>
    <mergeCell ref="A29:H29"/>
    <mergeCell ref="A30:H30"/>
    <mergeCell ref="C33:I33"/>
    <mergeCell ref="H37:I37"/>
    <mergeCell ref="H38:I38"/>
    <mergeCell ref="H39:I39"/>
  </mergeCells>
  <pageMargins left="0.17" right="0.18" top="0.39" bottom="0.78740157499999996" header="0.31496062000000002" footer="0.31496062000000002"/>
  <pageSetup paperSize="9" scale="6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9"/>
  <sheetViews>
    <sheetView workbookViewId="0">
      <selection activeCell="C20" sqref="C20"/>
    </sheetView>
  </sheetViews>
  <sheetFormatPr defaultRowHeight="15" x14ac:dyDescent="0.25"/>
  <cols>
    <col min="2" max="2" width="12.42578125" customWidth="1"/>
    <col min="3" max="3" width="11.140625" customWidth="1"/>
    <col min="4" max="4" width="14.140625" customWidth="1"/>
    <col min="5" max="5" width="13.7109375" customWidth="1"/>
    <col min="6" max="6" width="0.28515625" hidden="1" customWidth="1"/>
    <col min="7" max="7" width="35.5703125" customWidth="1"/>
    <col min="8" max="8" width="20" hidden="1" customWidth="1"/>
  </cols>
  <sheetData>
    <row r="1" spans="1:8" x14ac:dyDescent="0.25">
      <c r="A1" s="86"/>
      <c r="B1" s="87" t="s">
        <v>77</v>
      </c>
      <c r="C1" s="87" t="s">
        <v>78</v>
      </c>
      <c r="D1" s="87" t="s">
        <v>79</v>
      </c>
      <c r="E1" s="110" t="s">
        <v>171</v>
      </c>
      <c r="F1" s="110" t="s">
        <v>166</v>
      </c>
      <c r="G1" s="110" t="s">
        <v>173</v>
      </c>
      <c r="H1" t="s">
        <v>97</v>
      </c>
    </row>
    <row r="2" spans="1:8" x14ac:dyDescent="0.25">
      <c r="A2" s="88" t="s">
        <v>80</v>
      </c>
      <c r="B2" s="89">
        <v>10</v>
      </c>
      <c r="C2" s="89">
        <v>0</v>
      </c>
      <c r="D2" s="89">
        <f t="shared" ref="D2:D14" si="0">B2+C2</f>
        <v>10</v>
      </c>
      <c r="E2" s="113">
        <f>9*20+6.2</f>
        <v>186.2</v>
      </c>
      <c r="F2" s="113"/>
      <c r="G2" s="187" t="s">
        <v>105</v>
      </c>
      <c r="H2" s="189" t="s">
        <v>98</v>
      </c>
    </row>
    <row r="3" spans="1:8" x14ac:dyDescent="0.25">
      <c r="A3" s="88" t="s">
        <v>81</v>
      </c>
      <c r="B3" s="89">
        <v>4</v>
      </c>
      <c r="C3" s="89">
        <v>9</v>
      </c>
      <c r="D3" s="89">
        <f t="shared" si="0"/>
        <v>13</v>
      </c>
      <c r="E3" s="113">
        <f>(20-6.2)+3*20+21.4+20+19.9+20*2+19.9+14.9+5+20.1+19.9+7.6</f>
        <v>262.5</v>
      </c>
      <c r="F3" s="113"/>
      <c r="G3" s="188"/>
      <c r="H3" s="190"/>
    </row>
    <row r="4" spans="1:8" x14ac:dyDescent="0.25">
      <c r="A4" s="88" t="s">
        <v>82</v>
      </c>
      <c r="B4" s="89">
        <v>0</v>
      </c>
      <c r="C4" s="89">
        <v>8</v>
      </c>
      <c r="D4" s="89">
        <f t="shared" si="0"/>
        <v>8</v>
      </c>
      <c r="E4" s="113">
        <f>(20-7.6)+19.8+20+20.3+19.7+19.8+20*2+7.4</f>
        <v>159.4</v>
      </c>
      <c r="F4" s="113"/>
      <c r="G4" s="188"/>
      <c r="H4" s="190"/>
    </row>
    <row r="5" spans="1:8" x14ac:dyDescent="0.25">
      <c r="A5" s="88" t="s">
        <v>83</v>
      </c>
      <c r="B5" s="89">
        <v>9</v>
      </c>
      <c r="C5" s="89">
        <v>6</v>
      </c>
      <c r="D5" s="89">
        <f t="shared" si="0"/>
        <v>15</v>
      </c>
      <c r="E5" s="113">
        <f>(19.9-7.4)+20*4+19.3+17+17.2+14.1+25.6+18+33.4+4.6</f>
        <v>241.7</v>
      </c>
      <c r="F5" s="113"/>
      <c r="G5" s="188"/>
      <c r="H5" s="190"/>
    </row>
    <row r="6" spans="1:8" x14ac:dyDescent="0.25">
      <c r="A6" s="88" t="s">
        <v>84</v>
      </c>
      <c r="B6" s="89">
        <v>11</v>
      </c>
      <c r="C6" s="89">
        <v>0</v>
      </c>
      <c r="D6" s="89">
        <f t="shared" si="0"/>
        <v>11</v>
      </c>
      <c r="E6" s="113">
        <f>(20.2-4.6)+17.8+28.4+19.6+21.7+19.5+22.4+9.9+7.5+20.5+18.7+16.3+17.3+3.9</f>
        <v>239.10000000000002</v>
      </c>
      <c r="F6" s="113"/>
      <c r="G6" s="188"/>
      <c r="H6" s="190"/>
    </row>
    <row r="7" spans="1:8" ht="17.25" customHeight="1" x14ac:dyDescent="0.25">
      <c r="A7" s="88" t="s">
        <v>85</v>
      </c>
      <c r="B7" s="89">
        <v>11</v>
      </c>
      <c r="C7" s="89">
        <v>2</v>
      </c>
      <c r="D7" s="89">
        <f>B7+C7</f>
        <v>13</v>
      </c>
      <c r="E7" s="113">
        <f>(19.9+3.9)+23+22.9+22.9+22.8+22.9+16.9+19.7+16.3+18.5+17.5+17.8</f>
        <v>245</v>
      </c>
      <c r="F7" s="113"/>
      <c r="G7" s="188"/>
      <c r="H7" s="190"/>
    </row>
    <row r="8" spans="1:8" ht="15" hidden="1" customHeight="1" x14ac:dyDescent="0.25">
      <c r="A8" s="90" t="s">
        <v>86</v>
      </c>
      <c r="B8" s="90">
        <v>0</v>
      </c>
      <c r="C8" s="90">
        <v>0</v>
      </c>
      <c r="D8" s="90">
        <f t="shared" si="0"/>
        <v>0</v>
      </c>
      <c r="E8" s="111"/>
      <c r="F8" s="111"/>
      <c r="G8" s="51" t="s">
        <v>92</v>
      </c>
      <c r="H8" s="51"/>
    </row>
    <row r="9" spans="1:8" ht="18" hidden="1" customHeight="1" x14ac:dyDescent="0.25">
      <c r="A9" s="90" t="s">
        <v>87</v>
      </c>
      <c r="B9" s="90">
        <v>0</v>
      </c>
      <c r="C9" s="90">
        <v>0</v>
      </c>
      <c r="D9" s="90">
        <f t="shared" si="0"/>
        <v>0</v>
      </c>
      <c r="E9" s="112"/>
      <c r="F9" s="112"/>
      <c r="G9" s="186" t="s">
        <v>93</v>
      </c>
      <c r="H9" s="186"/>
    </row>
    <row r="10" spans="1:8" hidden="1" x14ac:dyDescent="0.25">
      <c r="A10" s="90" t="s">
        <v>88</v>
      </c>
      <c r="B10" s="90">
        <v>0</v>
      </c>
      <c r="C10" s="90">
        <v>0</v>
      </c>
      <c r="D10" s="90">
        <f t="shared" si="0"/>
        <v>0</v>
      </c>
      <c r="E10" s="112"/>
      <c r="F10" s="112"/>
      <c r="G10" s="186"/>
      <c r="H10" s="186"/>
    </row>
    <row r="11" spans="1:8" hidden="1" x14ac:dyDescent="0.25">
      <c r="A11" s="90" t="s">
        <v>94</v>
      </c>
      <c r="B11" s="90">
        <v>0</v>
      </c>
      <c r="C11" s="90">
        <v>0</v>
      </c>
      <c r="D11" s="90">
        <v>0</v>
      </c>
      <c r="E11" s="112"/>
      <c r="F11" s="112"/>
      <c r="G11" s="114" t="s">
        <v>95</v>
      </c>
      <c r="H11" s="52"/>
    </row>
    <row r="12" spans="1:8" hidden="1" x14ac:dyDescent="0.25">
      <c r="A12" s="90" t="s">
        <v>89</v>
      </c>
      <c r="B12" s="90">
        <v>0</v>
      </c>
      <c r="C12" s="90">
        <v>0</v>
      </c>
      <c r="D12" s="90">
        <f t="shared" si="0"/>
        <v>0</v>
      </c>
      <c r="E12" s="112"/>
      <c r="F12" s="112"/>
      <c r="G12" s="114" t="s">
        <v>96</v>
      </c>
      <c r="H12" s="52"/>
    </row>
    <row r="13" spans="1:8" ht="18" customHeight="1" x14ac:dyDescent="0.25">
      <c r="A13" s="89" t="s">
        <v>90</v>
      </c>
      <c r="B13" s="89">
        <v>13</v>
      </c>
      <c r="C13" s="89">
        <v>1</v>
      </c>
      <c r="D13" s="89">
        <f t="shared" si="0"/>
        <v>14</v>
      </c>
      <c r="E13" s="113">
        <f>20*7+14.7+5.6+20*3+18.5+20+(19.6-3.5)</f>
        <v>274.89999999999998</v>
      </c>
      <c r="F13" s="113"/>
      <c r="G13" s="117" t="s">
        <v>96</v>
      </c>
      <c r="H13" s="53">
        <v>18520000</v>
      </c>
    </row>
    <row r="14" spans="1:8" x14ac:dyDescent="0.25">
      <c r="A14" s="89" t="s">
        <v>91</v>
      </c>
      <c r="B14" s="89">
        <v>2</v>
      </c>
      <c r="C14" s="89">
        <f>1+8</f>
        <v>9</v>
      </c>
      <c r="D14" s="89">
        <f t="shared" si="0"/>
        <v>11</v>
      </c>
      <c r="E14" s="113">
        <f>3.5+14.1+19.3+30*3+24.8+18.2+9.5+28.9+26.6+24.4+19.2+21</f>
        <v>299.5</v>
      </c>
      <c r="F14" s="113">
        <v>1</v>
      </c>
      <c r="G14" s="117" t="s">
        <v>172</v>
      </c>
      <c r="H14" s="53" t="s">
        <v>106</v>
      </c>
    </row>
    <row r="15" spans="1:8" x14ac:dyDescent="0.25">
      <c r="A15" s="91" t="s">
        <v>130</v>
      </c>
      <c r="B15" s="115">
        <f>SUM(B2:B14)</f>
        <v>60</v>
      </c>
      <c r="C15" s="115">
        <f>SUM(C2:C14)</f>
        <v>35</v>
      </c>
      <c r="D15" s="115">
        <f>SUM(D2:D14)</f>
        <v>95</v>
      </c>
      <c r="E15" s="116">
        <f>SUM(E2:E14)</f>
        <v>1908.3000000000002</v>
      </c>
      <c r="F15" s="113">
        <v>3</v>
      </c>
    </row>
    <row r="19" spans="3:3" x14ac:dyDescent="0.25">
      <c r="C19">
        <f>C15*2</f>
        <v>70</v>
      </c>
    </row>
  </sheetData>
  <mergeCells count="4">
    <mergeCell ref="G9:G10"/>
    <mergeCell ref="H9:H10"/>
    <mergeCell ref="G2:G7"/>
    <mergeCell ref="H2:H7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31"/>
  <sheetViews>
    <sheetView workbookViewId="0">
      <selection activeCell="M25" sqref="M25"/>
    </sheetView>
  </sheetViews>
  <sheetFormatPr defaultRowHeight="15" x14ac:dyDescent="0.25"/>
  <cols>
    <col min="2" max="2" width="21.28515625" customWidth="1"/>
    <col min="3" max="3" width="12.140625" customWidth="1"/>
    <col min="4" max="4" width="10.5703125" customWidth="1"/>
    <col min="5" max="5" width="10.7109375" customWidth="1"/>
    <col min="6" max="6" width="13.85546875" customWidth="1"/>
    <col min="9" max="9" width="20" customWidth="1"/>
  </cols>
  <sheetData>
    <row r="1" spans="1:9" ht="83.25" customHeight="1" x14ac:dyDescent="0.25">
      <c r="A1" s="60"/>
      <c r="B1" s="61"/>
      <c r="C1" s="61"/>
      <c r="D1" s="61"/>
      <c r="E1" s="61"/>
      <c r="F1" s="61"/>
      <c r="G1" s="61"/>
      <c r="H1" s="61"/>
      <c r="I1" s="62"/>
    </row>
    <row r="2" spans="1:9" ht="18.75" x14ac:dyDescent="0.25">
      <c r="A2" s="195" t="s">
        <v>174</v>
      </c>
      <c r="B2" s="196"/>
      <c r="C2" s="196"/>
      <c r="D2" s="196"/>
      <c r="E2" s="196"/>
      <c r="F2" s="196"/>
      <c r="G2" s="196"/>
      <c r="H2" s="196"/>
      <c r="I2" s="197"/>
    </row>
    <row r="3" spans="1:9" ht="18.75" x14ac:dyDescent="0.25">
      <c r="A3" s="195" t="s">
        <v>110</v>
      </c>
      <c r="B3" s="196"/>
      <c r="C3" s="196"/>
      <c r="D3" s="196"/>
      <c r="E3" s="196"/>
      <c r="F3" s="196"/>
      <c r="G3" s="196"/>
      <c r="H3" s="196"/>
      <c r="I3" s="197"/>
    </row>
    <row r="4" spans="1:9" ht="19.5" thickBot="1" x14ac:dyDescent="0.3">
      <c r="A4" s="195"/>
      <c r="B4" s="196"/>
      <c r="C4" s="196"/>
      <c r="D4" s="196"/>
      <c r="E4" s="196"/>
      <c r="F4" s="196"/>
      <c r="G4" s="196"/>
      <c r="H4" s="196"/>
      <c r="I4" s="197"/>
    </row>
    <row r="5" spans="1:9" ht="15.75" thickBot="1" x14ac:dyDescent="0.3">
      <c r="A5" s="198" t="s">
        <v>111</v>
      </c>
      <c r="B5" s="199"/>
      <c r="C5" s="200" t="s">
        <v>107</v>
      </c>
      <c r="D5" s="200"/>
      <c r="E5" s="200"/>
      <c r="F5" s="200"/>
      <c r="G5" s="200"/>
      <c r="H5" s="201"/>
      <c r="I5" s="63" t="s">
        <v>112</v>
      </c>
    </row>
    <row r="6" spans="1:9" ht="15" customHeight="1" x14ac:dyDescent="0.25">
      <c r="A6" s="202" t="s">
        <v>113</v>
      </c>
      <c r="B6" s="203"/>
      <c r="C6" s="210" t="s">
        <v>126</v>
      </c>
      <c r="D6" s="210"/>
      <c r="E6" s="210"/>
      <c r="F6" s="210"/>
      <c r="G6" s="210"/>
      <c r="H6" s="211"/>
      <c r="I6" s="204">
        <v>0.24</v>
      </c>
    </row>
    <row r="7" spans="1:9" ht="25.5" customHeight="1" thickBot="1" x14ac:dyDescent="0.3">
      <c r="A7" s="206" t="s">
        <v>114</v>
      </c>
      <c r="B7" s="207"/>
      <c r="C7" s="208" t="s">
        <v>127</v>
      </c>
      <c r="D7" s="208"/>
      <c r="E7" s="65"/>
      <c r="F7" s="65"/>
      <c r="G7" s="65"/>
      <c r="H7" s="66"/>
      <c r="I7" s="205"/>
    </row>
    <row r="8" spans="1:9" ht="15.75" thickBot="1" x14ac:dyDescent="0.3">
      <c r="A8" s="67"/>
      <c r="B8" s="68"/>
      <c r="C8" s="68"/>
      <c r="D8" s="68"/>
      <c r="E8" s="68"/>
      <c r="F8" s="68"/>
      <c r="G8" s="68"/>
      <c r="H8" s="68"/>
      <c r="I8" s="64"/>
    </row>
    <row r="9" spans="1:9" ht="17.25" thickBot="1" x14ac:dyDescent="0.3">
      <c r="A9" s="223" t="s">
        <v>115</v>
      </c>
      <c r="B9" s="224"/>
      <c r="C9" s="224"/>
      <c r="D9" s="224"/>
      <c r="E9" s="224"/>
      <c r="F9" s="224"/>
      <c r="G9" s="224"/>
      <c r="H9" s="224"/>
      <c r="I9" s="225"/>
    </row>
    <row r="10" spans="1:9" ht="16.5" thickBot="1" x14ac:dyDescent="0.3">
      <c r="A10" s="226" t="s">
        <v>116</v>
      </c>
      <c r="B10" s="69" t="s">
        <v>117</v>
      </c>
      <c r="C10" s="228" t="s">
        <v>118</v>
      </c>
      <c r="D10" s="229"/>
      <c r="E10" s="229"/>
      <c r="F10" s="229"/>
      <c r="G10" s="229"/>
      <c r="H10" s="230"/>
      <c r="I10" s="231" t="s">
        <v>119</v>
      </c>
    </row>
    <row r="11" spans="1:9" ht="16.5" thickBot="1" x14ac:dyDescent="0.3">
      <c r="A11" s="227"/>
      <c r="B11" s="70" t="s">
        <v>120</v>
      </c>
      <c r="C11" s="71">
        <v>1</v>
      </c>
      <c r="D11" s="71">
        <v>2</v>
      </c>
      <c r="E11" s="71">
        <v>3</v>
      </c>
      <c r="F11" s="71">
        <v>4</v>
      </c>
      <c r="G11" s="71">
        <v>5</v>
      </c>
      <c r="H11" s="71">
        <v>6</v>
      </c>
      <c r="I11" s="232"/>
    </row>
    <row r="12" spans="1:9" ht="15.75" x14ac:dyDescent="0.25">
      <c r="A12" s="233">
        <v>1</v>
      </c>
      <c r="B12" s="191" t="s">
        <v>121</v>
      </c>
      <c r="C12" s="72">
        <f>I12</f>
        <v>12790.74</v>
      </c>
      <c r="D12" s="73"/>
      <c r="E12" s="73"/>
      <c r="F12" s="73"/>
      <c r="G12" s="73"/>
      <c r="H12" s="73"/>
      <c r="I12" s="193">
        <f>'Planilha Orçamentária'!I15</f>
        <v>12790.74</v>
      </c>
    </row>
    <row r="13" spans="1:9" ht="16.5" thickBot="1" x14ac:dyDescent="0.3">
      <c r="A13" s="220"/>
      <c r="B13" s="192"/>
      <c r="C13" s="74"/>
      <c r="D13" s="75"/>
      <c r="E13" s="75"/>
      <c r="F13" s="75"/>
      <c r="G13" s="75"/>
      <c r="H13" s="75"/>
      <c r="I13" s="194"/>
    </row>
    <row r="14" spans="1:9" ht="15.75" x14ac:dyDescent="0.25">
      <c r="A14" s="219">
        <v>2</v>
      </c>
      <c r="B14" s="191" t="s">
        <v>125</v>
      </c>
      <c r="C14" s="76">
        <v>65000</v>
      </c>
      <c r="D14" s="76">
        <v>78000</v>
      </c>
      <c r="E14" s="76">
        <v>78000</v>
      </c>
      <c r="F14" s="76">
        <f>I14-C14-D14-E14</f>
        <v>117048.59572999994</v>
      </c>
      <c r="G14" s="76"/>
      <c r="H14" s="77"/>
      <c r="I14" s="221">
        <f>'Planilha Orçamentária'!I29</f>
        <v>338048.59572999994</v>
      </c>
    </row>
    <row r="15" spans="1:9" ht="16.5" thickBot="1" x14ac:dyDescent="0.3">
      <c r="A15" s="220"/>
      <c r="B15" s="192"/>
      <c r="C15" s="78"/>
      <c r="D15" s="79"/>
      <c r="E15" s="80"/>
      <c r="F15" s="80"/>
      <c r="G15" s="81"/>
      <c r="H15" s="81"/>
      <c r="I15" s="222"/>
    </row>
    <row r="16" spans="1:9" ht="16.5" thickBot="1" x14ac:dyDescent="0.3">
      <c r="A16" s="212" t="s">
        <v>122</v>
      </c>
      <c r="B16" s="213"/>
      <c r="C16" s="82">
        <f t="shared" ref="C16:H16" si="0">SUM(C12:C15)</f>
        <v>77790.740000000005</v>
      </c>
      <c r="D16" s="82">
        <f t="shared" si="0"/>
        <v>78000</v>
      </c>
      <c r="E16" s="82">
        <f t="shared" si="0"/>
        <v>78000</v>
      </c>
      <c r="F16" s="82">
        <f t="shared" si="0"/>
        <v>117048.59572999994</v>
      </c>
      <c r="G16" s="82">
        <f t="shared" si="0"/>
        <v>0</v>
      </c>
      <c r="H16" s="82">
        <f t="shared" si="0"/>
        <v>0</v>
      </c>
      <c r="I16" s="83">
        <f>SUM(C16:H16)</f>
        <v>350839.33572999993</v>
      </c>
    </row>
    <row r="17" spans="1:9" x14ac:dyDescent="0.25">
      <c r="A17" s="214"/>
      <c r="B17" s="215"/>
      <c r="C17" s="215"/>
      <c r="D17" s="215"/>
      <c r="E17" s="215"/>
      <c r="F17" s="215"/>
      <c r="G17" s="215"/>
      <c r="H17" s="215"/>
      <c r="I17" s="216"/>
    </row>
    <row r="18" spans="1:9" x14ac:dyDescent="0.25">
      <c r="A18" s="214"/>
      <c r="B18" s="215"/>
      <c r="C18" s="215"/>
      <c r="D18" s="215"/>
      <c r="E18" s="215"/>
      <c r="F18" s="215"/>
      <c r="G18" s="215"/>
      <c r="H18" s="215"/>
      <c r="I18" s="216"/>
    </row>
    <row r="19" spans="1:9" x14ac:dyDescent="0.25">
      <c r="A19" s="24"/>
      <c r="B19" t="s">
        <v>123</v>
      </c>
      <c r="C19" t="s">
        <v>124</v>
      </c>
      <c r="I19" s="25"/>
    </row>
    <row r="20" spans="1:9" x14ac:dyDescent="0.25">
      <c r="A20" s="24"/>
      <c r="I20" s="25"/>
    </row>
    <row r="21" spans="1:9" x14ac:dyDescent="0.25">
      <c r="A21" s="24"/>
      <c r="I21" s="25"/>
    </row>
    <row r="22" spans="1:9" x14ac:dyDescent="0.25">
      <c r="A22" s="24"/>
      <c r="C22" s="217" t="s">
        <v>175</v>
      </c>
      <c r="D22" s="217"/>
      <c r="E22" s="217"/>
      <c r="F22" s="217"/>
      <c r="G22" s="217"/>
      <c r="H22" s="217"/>
      <c r="I22" s="218"/>
    </row>
    <row r="23" spans="1:9" x14ac:dyDescent="0.25">
      <c r="A23" s="24"/>
      <c r="E23" s="26"/>
      <c r="F23" s="27"/>
      <c r="G23" s="28"/>
      <c r="H23" s="29"/>
      <c r="I23" s="30"/>
    </row>
    <row r="24" spans="1:9" x14ac:dyDescent="0.25">
      <c r="A24" s="24"/>
      <c r="E24" s="26"/>
      <c r="F24" s="27"/>
      <c r="G24" s="28"/>
      <c r="H24" s="29"/>
      <c r="I24" s="30"/>
    </row>
    <row r="25" spans="1:9" x14ac:dyDescent="0.25">
      <c r="A25" s="24"/>
      <c r="E25" s="26"/>
      <c r="F25" s="27"/>
      <c r="G25" s="34"/>
      <c r="H25" s="29"/>
      <c r="I25" s="31"/>
    </row>
    <row r="26" spans="1:9" x14ac:dyDescent="0.25">
      <c r="A26" s="24"/>
      <c r="E26" s="26"/>
      <c r="F26" s="27"/>
      <c r="G26" s="33"/>
      <c r="H26" s="142" t="s">
        <v>61</v>
      </c>
      <c r="I26" s="209"/>
    </row>
    <row r="27" spans="1:9" x14ac:dyDescent="0.25">
      <c r="A27" s="24"/>
      <c r="E27" s="26"/>
      <c r="F27" s="27"/>
      <c r="G27" s="33"/>
      <c r="H27" s="142" t="s">
        <v>46</v>
      </c>
      <c r="I27" s="209"/>
    </row>
    <row r="28" spans="1:9" x14ac:dyDescent="0.25">
      <c r="A28" s="24"/>
      <c r="E28" s="26"/>
      <c r="F28" s="27"/>
      <c r="G28" s="33"/>
      <c r="H28" s="142" t="s">
        <v>62</v>
      </c>
      <c r="I28" s="209"/>
    </row>
    <row r="29" spans="1:9" x14ac:dyDescent="0.25">
      <c r="A29" s="24"/>
      <c r="E29" s="26"/>
      <c r="F29" s="27"/>
      <c r="G29" s="33"/>
      <c r="H29" s="142" t="s">
        <v>47</v>
      </c>
      <c r="I29" s="209"/>
    </row>
    <row r="30" spans="1:9" x14ac:dyDescent="0.25">
      <c r="A30" s="67"/>
      <c r="B30" s="68"/>
      <c r="C30" s="68"/>
      <c r="D30" s="68"/>
      <c r="E30" s="68"/>
      <c r="F30" s="68"/>
      <c r="G30" s="68"/>
      <c r="H30" s="68"/>
      <c r="I30" s="64"/>
    </row>
    <row r="31" spans="1:9" ht="15.75" thickBot="1" x14ac:dyDescent="0.3">
      <c r="A31" s="84"/>
      <c r="B31" s="85"/>
      <c r="C31" s="85"/>
      <c r="D31" s="85"/>
      <c r="E31" s="85"/>
      <c r="F31" s="85"/>
      <c r="G31" s="85"/>
      <c r="H31" s="85"/>
      <c r="I31" s="66"/>
    </row>
  </sheetData>
  <mergeCells count="27">
    <mergeCell ref="H29:I29"/>
    <mergeCell ref="C6:H6"/>
    <mergeCell ref="A16:B16"/>
    <mergeCell ref="A17:I18"/>
    <mergeCell ref="C22:I22"/>
    <mergeCell ref="H26:I26"/>
    <mergeCell ref="H27:I27"/>
    <mergeCell ref="H28:I28"/>
    <mergeCell ref="A14:A15"/>
    <mergeCell ref="B14:B15"/>
    <mergeCell ref="I14:I15"/>
    <mergeCell ref="A9:I9"/>
    <mergeCell ref="A10:A11"/>
    <mergeCell ref="C10:H10"/>
    <mergeCell ref="I10:I11"/>
    <mergeCell ref="A12:A13"/>
    <mergeCell ref="B12:B13"/>
    <mergeCell ref="I12:I13"/>
    <mergeCell ref="A2:I2"/>
    <mergeCell ref="A3:I3"/>
    <mergeCell ref="A4:I4"/>
    <mergeCell ref="A5:B5"/>
    <mergeCell ref="C5:H5"/>
    <mergeCell ref="A6:B6"/>
    <mergeCell ref="I6:I7"/>
    <mergeCell ref="A7:B7"/>
    <mergeCell ref="C7:D7"/>
  </mergeCells>
  <pageMargins left="0.511811024" right="0.511811024" top="0.39" bottom="0.21" header="0.31496062000000002" footer="0.17"/>
  <pageSetup paperSize="9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24"/>
  <sheetViews>
    <sheetView workbookViewId="0">
      <selection activeCell="G3" sqref="G3"/>
    </sheetView>
  </sheetViews>
  <sheetFormatPr defaultRowHeight="15" x14ac:dyDescent="0.25"/>
  <cols>
    <col min="1" max="1" width="8.140625" customWidth="1"/>
    <col min="2" max="2" width="47.28515625" customWidth="1"/>
    <col min="5" max="5" width="14.7109375" customWidth="1"/>
    <col min="6" max="6" width="15.140625" customWidth="1"/>
  </cols>
  <sheetData>
    <row r="1" spans="1:6" ht="18.75" x14ac:dyDescent="0.3">
      <c r="A1" s="234" t="s">
        <v>131</v>
      </c>
      <c r="B1" s="234"/>
      <c r="C1" s="234"/>
      <c r="D1" s="234"/>
      <c r="E1" s="234"/>
      <c r="F1" s="234"/>
    </row>
    <row r="3" spans="1:6" ht="75" customHeight="1" x14ac:dyDescent="0.25">
      <c r="A3" s="93" t="s">
        <v>151</v>
      </c>
      <c r="B3" s="96" t="s">
        <v>150</v>
      </c>
      <c r="C3" s="93" t="s">
        <v>132</v>
      </c>
      <c r="D3" s="94" t="s">
        <v>133</v>
      </c>
      <c r="E3" s="93" t="s">
        <v>134</v>
      </c>
      <c r="F3" s="93" t="s">
        <v>135</v>
      </c>
    </row>
    <row r="4" spans="1:6" ht="15" customHeight="1" x14ac:dyDescent="0.25">
      <c r="A4" s="101">
        <v>863</v>
      </c>
      <c r="B4" s="104" t="s">
        <v>141</v>
      </c>
      <c r="C4" s="101" t="s">
        <v>142</v>
      </c>
      <c r="D4" s="101">
        <v>9</v>
      </c>
      <c r="E4" s="102">
        <v>29.13</v>
      </c>
      <c r="F4" s="102">
        <f>D4*E4</f>
        <v>262.17</v>
      </c>
    </row>
    <row r="5" spans="1:6" ht="84" customHeight="1" x14ac:dyDescent="0.25">
      <c r="A5" s="101">
        <v>5928</v>
      </c>
      <c r="B5" s="104" t="s">
        <v>143</v>
      </c>
      <c r="C5" s="101" t="s">
        <v>144</v>
      </c>
      <c r="D5" s="101">
        <v>7.6999999999999999E-2</v>
      </c>
      <c r="E5" s="102">
        <v>280.2</v>
      </c>
      <c r="F5" s="102">
        <v>21.57</v>
      </c>
    </row>
    <row r="6" spans="1:6" ht="30.75" customHeight="1" x14ac:dyDescent="0.25">
      <c r="A6" s="101">
        <v>88247</v>
      </c>
      <c r="B6" s="104" t="s">
        <v>145</v>
      </c>
      <c r="C6" s="101" t="s">
        <v>136</v>
      </c>
      <c r="D6" s="101">
        <v>1.2330000000000001</v>
      </c>
      <c r="E6" s="102">
        <v>30.93</v>
      </c>
      <c r="F6" s="102">
        <v>38.130000000000003</v>
      </c>
    </row>
    <row r="7" spans="1:6" ht="21" customHeight="1" x14ac:dyDescent="0.25">
      <c r="A7" s="101">
        <v>88264</v>
      </c>
      <c r="B7" s="104" t="s">
        <v>146</v>
      </c>
      <c r="C7" s="101" t="s">
        <v>136</v>
      </c>
      <c r="D7" s="101">
        <v>4.008</v>
      </c>
      <c r="E7" s="102">
        <v>40.659999999999997</v>
      </c>
      <c r="F7" s="102">
        <f t="shared" ref="F7:F8" si="0">D7*E7</f>
        <v>162.96527999999998</v>
      </c>
    </row>
    <row r="8" spans="1:6" ht="44.25" customHeight="1" x14ac:dyDescent="0.25">
      <c r="A8" s="101">
        <v>41196</v>
      </c>
      <c r="B8" s="104" t="s">
        <v>66</v>
      </c>
      <c r="C8" s="101" t="s">
        <v>5</v>
      </c>
      <c r="D8" s="101">
        <v>1</v>
      </c>
      <c r="E8" s="102">
        <v>610.65</v>
      </c>
      <c r="F8" s="102">
        <f t="shared" si="0"/>
        <v>610.65</v>
      </c>
    </row>
    <row r="10" spans="1:6" x14ac:dyDescent="0.25">
      <c r="E10" t="s">
        <v>137</v>
      </c>
    </row>
    <row r="11" spans="1:6" ht="11.25" customHeight="1" x14ac:dyDescent="0.25">
      <c r="E11" s="95" t="s">
        <v>147</v>
      </c>
      <c r="F11" s="103">
        <v>6.66</v>
      </c>
    </row>
    <row r="12" spans="1:6" ht="20.25" customHeight="1" x14ac:dyDescent="0.25">
      <c r="A12" s="97"/>
      <c r="B12" s="97" t="s">
        <v>148</v>
      </c>
      <c r="E12" s="89" t="s">
        <v>138</v>
      </c>
      <c r="F12" s="98">
        <v>159.22</v>
      </c>
    </row>
    <row r="13" spans="1:6" ht="28.5" customHeight="1" x14ac:dyDescent="0.25">
      <c r="A13" s="97"/>
      <c r="B13" s="97"/>
      <c r="E13" s="89" t="s">
        <v>139</v>
      </c>
      <c r="F13" s="98">
        <f>318.98+F8</f>
        <v>929.63</v>
      </c>
    </row>
    <row r="14" spans="1:6" x14ac:dyDescent="0.25">
      <c r="E14" s="86" t="s">
        <v>140</v>
      </c>
      <c r="F14" s="99">
        <f>F13+F12+F11</f>
        <v>1095.51</v>
      </c>
    </row>
    <row r="15" spans="1:6" x14ac:dyDescent="0.25">
      <c r="E15" s="86"/>
      <c r="F15" s="118"/>
    </row>
    <row r="17" spans="2:6" x14ac:dyDescent="0.25">
      <c r="B17" s="100"/>
      <c r="C17" s="100"/>
      <c r="D17" s="100" t="s">
        <v>163</v>
      </c>
      <c r="E17" s="100"/>
      <c r="F17" s="100"/>
    </row>
    <row r="18" spans="2:6" x14ac:dyDescent="0.25">
      <c r="C18" s="26"/>
      <c r="D18" s="27"/>
      <c r="E18" s="28"/>
      <c r="F18" s="29"/>
    </row>
    <row r="19" spans="2:6" x14ac:dyDescent="0.25">
      <c r="C19" s="26"/>
      <c r="D19" s="27"/>
      <c r="E19" s="28"/>
      <c r="F19" s="29"/>
    </row>
    <row r="20" spans="2:6" x14ac:dyDescent="0.25">
      <c r="C20" s="26"/>
      <c r="D20" s="27"/>
      <c r="E20" s="34"/>
      <c r="F20" s="29"/>
    </row>
    <row r="21" spans="2:6" x14ac:dyDescent="0.25">
      <c r="C21" s="26"/>
      <c r="D21" s="27"/>
      <c r="E21" s="92" t="s">
        <v>61</v>
      </c>
      <c r="F21" s="92"/>
    </row>
    <row r="22" spans="2:6" x14ac:dyDescent="0.25">
      <c r="C22" s="26"/>
      <c r="D22" s="27"/>
      <c r="E22" s="92" t="s">
        <v>46</v>
      </c>
      <c r="F22" s="92"/>
    </row>
    <row r="23" spans="2:6" x14ac:dyDescent="0.25">
      <c r="C23" s="26"/>
      <c r="D23" s="27"/>
      <c r="E23" s="92" t="s">
        <v>62</v>
      </c>
      <c r="F23" s="92"/>
    </row>
    <row r="24" spans="2:6" x14ac:dyDescent="0.25">
      <c r="C24" s="26"/>
      <c r="D24" s="27"/>
      <c r="E24" s="92" t="s">
        <v>47</v>
      </c>
      <c r="F24" s="92"/>
    </row>
  </sheetData>
  <mergeCells count="1">
    <mergeCell ref="A1:F1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BDI</vt:lpstr>
      <vt:lpstr>Planilha Orçamentária</vt:lpstr>
      <vt:lpstr>Quantitativo</vt:lpstr>
      <vt:lpstr>Cronograma</vt:lpstr>
      <vt:lpstr>Composiçao 001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Fernanda Grando</dc:creator>
  <cp:lastModifiedBy>PCPMC002 - Paço Municipal</cp:lastModifiedBy>
  <cp:lastPrinted>2024-07-18T13:45:11Z</cp:lastPrinted>
  <dcterms:created xsi:type="dcterms:W3CDTF">2022-03-21T19:26:00Z</dcterms:created>
  <dcterms:modified xsi:type="dcterms:W3CDTF">2024-07-19T13:05:15Z</dcterms:modified>
</cp:coreProperties>
</file>