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8" Type="http://schemas.openxmlformats.org/officeDocument/2006/relationships/custom-properties" Target="docProps/custom.xml"/><Relationship Id="rId7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6" Type="http://schemas.openxmlformats.org/package/2006/relationships/metadata/core-properties" Target="docProps/core.xml"/><Relationship Id="rId5" Type="http://schemas.microsoft.com/office/2006/relationships/ui/userCustomization" Target="userCustomization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Z:\SAAB 7.1.2.1 COMPRAS DIRETAS\PROCESSOS\2025\E_165289-2025 - Limpeza Prédios Administrativos Capital LILIAN\Minuta\"/>
    </mc:Choice>
  </mc:AlternateContent>
  <xr:revisionPtr revIDLastSave="0" documentId="8_{62E4475B-AE94-423C-910C-6314683DC1DA}" xr6:coauthVersionLast="47" xr6:coauthVersionMax="47" xr10:uidLastSave="{00000000-0000-0000-0000-000000000000}"/>
  <bookViews>
    <workbookView xWindow="28680" yWindow="-120" windowWidth="29040" windowHeight="15720" tabRatio="900" firstSheet="1" activeTab="7" xr2:uid="{00000000-000D-0000-FFFF-FFFF00000000}"/>
  </bookViews>
  <sheets>
    <sheet name="Home" sheetId="34" r:id="rId1"/>
    <sheet name="Dados Cadastrais" sheetId="14" r:id="rId2"/>
    <sheet name="Indicadores Financeiros" sheetId="20" r:id="rId3"/>
    <sheet name="Relatório Custo" sheetId="7" r:id="rId4"/>
    <sheet name="Custo  Resumido" sheetId="24" r:id="rId5"/>
    <sheet name="Custo  Resumido por local" sheetId="28" r:id="rId6"/>
    <sheet name="Custo por Função" sheetId="26" r:id="rId7"/>
    <sheet name="Tabela de Códigos e Valores" sheetId="27" r:id="rId8"/>
    <sheet name="BIP" sheetId="35" state="hidden" r:id="rId9"/>
  </sheets>
  <definedNames>
    <definedName name="_xlnm._FilterDatabase" localSheetId="4" hidden="1">'Custo  Resumido'!$A$2:$K$14</definedName>
    <definedName name="_xlnm._FilterDatabase" localSheetId="5" hidden="1">'Custo  Resumido por local'!$A$4:$K$16</definedName>
    <definedName name="_xlnm._FilterDatabase" localSheetId="3" hidden="1">'Relatório Custo'!$A$2:$MI$8</definedName>
    <definedName name="_xlnm._FilterDatabase" localSheetId="7" hidden="1">'Tabela de Códigos e Valores'!$A$4:$AJ$14</definedName>
    <definedName name="_xlnm.Print_Area" localSheetId="4">'Custo  Resumido'!$A$1:$K$39</definedName>
    <definedName name="_xlnm.Print_Area" localSheetId="5">'Custo  Resumido por local'!$A$1:$K$41</definedName>
    <definedName name="_xlnm.Print_Area" localSheetId="6">'Custo por Função'!$A$1:$H$127</definedName>
    <definedName name="_xlnm.Print_Area" localSheetId="1">'Dados Cadastrais'!$A$1:$H$20</definedName>
    <definedName name="_xlnm.Print_Area" localSheetId="2">'Indicadores Financeiros'!$A$1:$J$147</definedName>
    <definedName name="_xlnm.Print_Area" localSheetId="3">'Relatório Custo'!$A$1:$AE$57</definedName>
    <definedName name="_xlnm.Print_Area" localSheetId="7">'Tabela de Códigos e Valores'!$A$1:$AJ$15</definedName>
    <definedName name="_xlnm.Print_Titles" localSheetId="3">'Relatório Custo'!$1:$2</definedName>
    <definedName name="_xlnm.Print_Titles" localSheetId="7">'Tabela de Códigos e Valores'!$A:$B,'Tabela de Códigos e Valores'!$1:$4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5" i="7" l="1"/>
  <c r="L35" i="7"/>
  <c r="J35" i="7"/>
  <c r="H35" i="7"/>
  <c r="G35" i="7"/>
  <c r="F35" i="7"/>
  <c r="B35" i="7"/>
  <c r="D35" i="7" s="1"/>
  <c r="W34" i="7"/>
  <c r="L34" i="7"/>
  <c r="J34" i="7"/>
  <c r="H34" i="7"/>
  <c r="G34" i="7"/>
  <c r="F34" i="7"/>
  <c r="B34" i="7"/>
  <c r="D34" i="7" s="1"/>
  <c r="W33" i="7"/>
  <c r="L33" i="7"/>
  <c r="J33" i="7"/>
  <c r="H33" i="7"/>
  <c r="G33" i="7"/>
  <c r="F33" i="7"/>
  <c r="B33" i="7"/>
  <c r="D33" i="7" s="1"/>
  <c r="W32" i="7"/>
  <c r="L32" i="7"/>
  <c r="J32" i="7"/>
  <c r="H32" i="7"/>
  <c r="G32" i="7"/>
  <c r="AC32" i="7" s="1"/>
  <c r="F32" i="7"/>
  <c r="B32" i="7"/>
  <c r="D32" i="7" s="1"/>
  <c r="W31" i="7"/>
  <c r="L31" i="7"/>
  <c r="J31" i="7"/>
  <c r="H31" i="7"/>
  <c r="G31" i="7"/>
  <c r="AE31" i="7" s="1"/>
  <c r="F31" i="7"/>
  <c r="B31" i="7"/>
  <c r="D31" i="7" s="1"/>
  <c r="W30" i="7"/>
  <c r="L30" i="7"/>
  <c r="J30" i="7"/>
  <c r="H30" i="7"/>
  <c r="G30" i="7"/>
  <c r="Z30" i="7" s="1"/>
  <c r="F30" i="7"/>
  <c r="B30" i="7"/>
  <c r="D30" i="7" s="1"/>
  <c r="W29" i="7"/>
  <c r="L29" i="7"/>
  <c r="J29" i="7"/>
  <c r="H29" i="7"/>
  <c r="G29" i="7"/>
  <c r="F29" i="7"/>
  <c r="B29" i="7"/>
  <c r="D29" i="7" s="1"/>
  <c r="W28" i="7"/>
  <c r="L28" i="7"/>
  <c r="J28" i="7"/>
  <c r="H28" i="7"/>
  <c r="G28" i="7"/>
  <c r="F28" i="7"/>
  <c r="B28" i="7"/>
  <c r="D28" i="7" s="1"/>
  <c r="W27" i="7"/>
  <c r="L27" i="7"/>
  <c r="J27" i="7"/>
  <c r="H27" i="7"/>
  <c r="G27" i="7"/>
  <c r="F27" i="7"/>
  <c r="B27" i="7"/>
  <c r="D27" i="7" s="1"/>
  <c r="W26" i="7"/>
  <c r="L26" i="7"/>
  <c r="J26" i="7"/>
  <c r="H26" i="7"/>
  <c r="G26" i="7"/>
  <c r="F26" i="7"/>
  <c r="B26" i="7"/>
  <c r="D26" i="7" s="1"/>
  <c r="W25" i="7"/>
  <c r="L25" i="7"/>
  <c r="J25" i="7"/>
  <c r="H25" i="7"/>
  <c r="G25" i="7"/>
  <c r="F25" i="7"/>
  <c r="B25" i="7"/>
  <c r="D25" i="7" s="1"/>
  <c r="W24" i="7"/>
  <c r="L24" i="7"/>
  <c r="J24" i="7"/>
  <c r="H24" i="7"/>
  <c r="G24" i="7"/>
  <c r="P24" i="7" s="1"/>
  <c r="F24" i="7"/>
  <c r="B24" i="7"/>
  <c r="D24" i="7" s="1"/>
  <c r="W23" i="7"/>
  <c r="L23" i="7"/>
  <c r="J23" i="7"/>
  <c r="H23" i="7"/>
  <c r="G23" i="7"/>
  <c r="AE23" i="7" s="1"/>
  <c r="F23" i="7"/>
  <c r="B23" i="7"/>
  <c r="D23" i="7" s="1"/>
  <c r="W22" i="7"/>
  <c r="L22" i="7"/>
  <c r="J22" i="7"/>
  <c r="H22" i="7"/>
  <c r="G22" i="7"/>
  <c r="F22" i="7"/>
  <c r="B22" i="7"/>
  <c r="D22" i="7" s="1"/>
  <c r="W21" i="7"/>
  <c r="L21" i="7"/>
  <c r="J21" i="7"/>
  <c r="H21" i="7"/>
  <c r="G21" i="7"/>
  <c r="F21" i="7"/>
  <c r="B21" i="7"/>
  <c r="D21" i="7" s="1"/>
  <c r="W20" i="7"/>
  <c r="L20" i="7"/>
  <c r="J20" i="7"/>
  <c r="H20" i="7"/>
  <c r="G20" i="7"/>
  <c r="F20" i="7"/>
  <c r="B20" i="7"/>
  <c r="D20" i="7" s="1"/>
  <c r="W19" i="7"/>
  <c r="L19" i="7"/>
  <c r="J19" i="7"/>
  <c r="H19" i="7"/>
  <c r="G19" i="7"/>
  <c r="AE19" i="7" s="1"/>
  <c r="F19" i="7"/>
  <c r="B19" i="7"/>
  <c r="D19" i="7" s="1"/>
  <c r="W18" i="7"/>
  <c r="L18" i="7"/>
  <c r="J18" i="7"/>
  <c r="H18" i="7"/>
  <c r="G18" i="7"/>
  <c r="P18" i="7" s="1"/>
  <c r="F18" i="7"/>
  <c r="B18" i="7"/>
  <c r="D18" i="7" s="1"/>
  <c r="W17" i="7"/>
  <c r="L17" i="7"/>
  <c r="J17" i="7"/>
  <c r="H17" i="7"/>
  <c r="G17" i="7"/>
  <c r="AE17" i="7" s="1"/>
  <c r="F17" i="7"/>
  <c r="B17" i="7"/>
  <c r="D17" i="7" s="1"/>
  <c r="W16" i="7"/>
  <c r="L16" i="7"/>
  <c r="J16" i="7"/>
  <c r="H16" i="7"/>
  <c r="G16" i="7"/>
  <c r="F16" i="7"/>
  <c r="B16" i="7"/>
  <c r="D16" i="7" s="1"/>
  <c r="W15" i="7"/>
  <c r="L15" i="7"/>
  <c r="J15" i="7"/>
  <c r="H15" i="7"/>
  <c r="G15" i="7"/>
  <c r="F15" i="7"/>
  <c r="B15" i="7"/>
  <c r="D15" i="7" s="1"/>
  <c r="W14" i="7"/>
  <c r="L14" i="7"/>
  <c r="J14" i="7"/>
  <c r="H14" i="7"/>
  <c r="G14" i="7"/>
  <c r="F14" i="7"/>
  <c r="B14" i="7"/>
  <c r="D14" i="7" s="1"/>
  <c r="W13" i="7"/>
  <c r="L13" i="7"/>
  <c r="J13" i="7"/>
  <c r="H13" i="7"/>
  <c r="G13" i="7"/>
  <c r="F13" i="7"/>
  <c r="B13" i="7"/>
  <c r="D13" i="7" s="1"/>
  <c r="W12" i="7"/>
  <c r="L12" i="7"/>
  <c r="J12" i="7"/>
  <c r="H12" i="7"/>
  <c r="G12" i="7"/>
  <c r="F12" i="7"/>
  <c r="B12" i="7"/>
  <c r="D12" i="7" s="1"/>
  <c r="W11" i="7"/>
  <c r="L11" i="7"/>
  <c r="J11" i="7"/>
  <c r="H11" i="7"/>
  <c r="G11" i="7"/>
  <c r="AE11" i="7" s="1"/>
  <c r="F11" i="7"/>
  <c r="B11" i="7"/>
  <c r="D11" i="7" s="1"/>
  <c r="W10" i="7"/>
  <c r="L10" i="7"/>
  <c r="J10" i="7"/>
  <c r="H10" i="7"/>
  <c r="G10" i="7"/>
  <c r="P10" i="7" s="1"/>
  <c r="F10" i="7"/>
  <c r="B10" i="7"/>
  <c r="D10" i="7" s="1"/>
  <c r="W9" i="7"/>
  <c r="L9" i="7"/>
  <c r="J9" i="7"/>
  <c r="H9" i="7"/>
  <c r="G9" i="7"/>
  <c r="F9" i="7"/>
  <c r="B9" i="7"/>
  <c r="D9" i="7" s="1"/>
  <c r="J17" i="20"/>
  <c r="AA11" i="27"/>
  <c r="AA7" i="27"/>
  <c r="AA8" i="27"/>
  <c r="AA9" i="27"/>
  <c r="J115" i="20"/>
  <c r="G115" i="20"/>
  <c r="AD32" i="7" l="1"/>
  <c r="AD24" i="7"/>
  <c r="Z10" i="7"/>
  <c r="Z18" i="7"/>
  <c r="Z24" i="7"/>
  <c r="AC24" i="7"/>
  <c r="AC10" i="7"/>
  <c r="AC18" i="7"/>
  <c r="AE10" i="7"/>
  <c r="AD18" i="7"/>
  <c r="AE18" i="7"/>
  <c r="P31" i="7"/>
  <c r="AE29" i="7"/>
  <c r="AC30" i="7"/>
  <c r="Z31" i="7"/>
  <c r="AE32" i="7"/>
  <c r="AD30" i="7"/>
  <c r="AE30" i="7"/>
  <c r="AC31" i="7"/>
  <c r="AD31" i="7"/>
  <c r="P32" i="7"/>
  <c r="Z29" i="7"/>
  <c r="Z32" i="7"/>
  <c r="P30" i="7"/>
  <c r="Z19" i="7"/>
  <c r="Z23" i="7"/>
  <c r="AE24" i="7"/>
  <c r="P19" i="7"/>
  <c r="P23" i="7"/>
  <c r="Z17" i="7"/>
  <c r="AC19" i="7"/>
  <c r="AC23" i="7"/>
  <c r="P17" i="7"/>
  <c r="AD19" i="7"/>
  <c r="AD23" i="7"/>
  <c r="AC17" i="7"/>
  <c r="AD17" i="7"/>
  <c r="Z11" i="7"/>
  <c r="AD10" i="7"/>
  <c r="AC11" i="7"/>
  <c r="P11" i="7"/>
  <c r="AD11" i="7"/>
  <c r="H127" i="20"/>
  <c r="H131" i="20"/>
  <c r="H130" i="20"/>
  <c r="H129" i="20"/>
  <c r="H128" i="20"/>
  <c r="AC8" i="27"/>
  <c r="AC9" i="27"/>
  <c r="AC11" i="27"/>
  <c r="C131" i="20"/>
  <c r="C130" i="20"/>
  <c r="C129" i="20"/>
  <c r="C128" i="20"/>
  <c r="C127" i="20"/>
  <c r="C10" i="7" l="1"/>
  <c r="C9" i="7"/>
  <c r="C14" i="7"/>
  <c r="C13" i="7"/>
  <c r="C11" i="7"/>
  <c r="C12" i="7"/>
  <c r="T28" i="7"/>
  <c r="T33" i="7"/>
  <c r="T35" i="7"/>
  <c r="T27" i="7"/>
  <c r="T32" i="7"/>
  <c r="T34" i="7"/>
  <c r="T31" i="7"/>
  <c r="T30" i="7"/>
  <c r="T29" i="7"/>
  <c r="T12" i="7"/>
  <c r="T11" i="7"/>
  <c r="T10" i="7"/>
  <c r="T9" i="7"/>
  <c r="T14" i="7"/>
  <c r="T13" i="7"/>
  <c r="T20" i="7"/>
  <c r="T17" i="7"/>
  <c r="T19" i="7"/>
  <c r="T18" i="7"/>
  <c r="T15" i="7"/>
  <c r="T16" i="7"/>
  <c r="T24" i="7"/>
  <c r="T26" i="7"/>
  <c r="T25" i="7"/>
  <c r="T23" i="7"/>
  <c r="T21" i="7"/>
  <c r="T22" i="7"/>
  <c r="C34" i="7"/>
  <c r="C33" i="7"/>
  <c r="C31" i="7"/>
  <c r="C32" i="7"/>
  <c r="C29" i="7"/>
  <c r="C35" i="7"/>
  <c r="C27" i="7"/>
  <c r="C28" i="7"/>
  <c r="C30" i="7"/>
  <c r="C18" i="7"/>
  <c r="C16" i="7"/>
  <c r="C17" i="7"/>
  <c r="C15" i="7"/>
  <c r="C20" i="7"/>
  <c r="C19" i="7"/>
  <c r="C26" i="7"/>
  <c r="C25" i="7"/>
  <c r="C23" i="7"/>
  <c r="C24" i="7"/>
  <c r="C21" i="7"/>
  <c r="C22" i="7"/>
  <c r="C11" i="26"/>
  <c r="D81" i="26"/>
  <c r="AH6" i="27"/>
  <c r="AH7" i="27"/>
  <c r="AH8" i="27"/>
  <c r="AH9" i="27"/>
  <c r="AH10" i="27"/>
  <c r="AH11" i="27"/>
  <c r="AH12" i="27"/>
  <c r="AH13" i="27"/>
  <c r="AH14" i="27"/>
  <c r="AH5" i="27"/>
  <c r="C4" i="7"/>
  <c r="C5" i="7"/>
  <c r="F8" i="26"/>
  <c r="C7" i="7"/>
  <c r="C8" i="7"/>
  <c r="H14" i="28" s="1"/>
  <c r="C6" i="7"/>
  <c r="H12" i="28"/>
  <c r="C3" i="7"/>
  <c r="H6" i="28" l="1"/>
  <c r="H11" i="28"/>
  <c r="H13" i="28"/>
  <c r="H8" i="28"/>
  <c r="H7" i="28"/>
  <c r="H5" i="28"/>
  <c r="H15" i="26"/>
  <c r="H10" i="28"/>
  <c r="H9" i="28"/>
  <c r="J34" i="20"/>
  <c r="J35" i="20" s="1"/>
  <c r="D80" i="26"/>
  <c r="E80" i="26"/>
  <c r="J49" i="20"/>
  <c r="J38" i="20"/>
  <c r="J41" i="20"/>
  <c r="J44" i="20"/>
  <c r="Z11" i="27"/>
  <c r="Z8" i="27"/>
  <c r="Z9" i="27"/>
  <c r="Z6" i="27"/>
  <c r="J59" i="20"/>
  <c r="J57" i="20" l="1"/>
  <c r="J56" i="20"/>
  <c r="C10" i="26"/>
  <c r="E107" i="26" s="1"/>
  <c r="U7" i="27"/>
  <c r="U8" i="27"/>
  <c r="U9" i="27"/>
  <c r="U11" i="27"/>
  <c r="T7" i="27"/>
  <c r="T8" i="27"/>
  <c r="T9" i="27"/>
  <c r="T11" i="27"/>
  <c r="J45" i="20" l="1"/>
  <c r="F57" i="26" s="1"/>
  <c r="H96" i="20"/>
  <c r="J43" i="20"/>
  <c r="J39" i="20"/>
  <c r="J40" i="20" l="1"/>
  <c r="G11" i="27" l="1"/>
  <c r="G9" i="27"/>
  <c r="G8" i="27"/>
  <c r="G7" i="27"/>
  <c r="I29" i="7" s="1"/>
  <c r="I31" i="7" l="1"/>
  <c r="I23" i="7"/>
  <c r="I11" i="7"/>
  <c r="I18" i="7"/>
  <c r="I17" i="7"/>
  <c r="I30" i="7"/>
  <c r="I10" i="7"/>
  <c r="I24" i="7"/>
  <c r="I32" i="7"/>
  <c r="I19" i="7"/>
  <c r="E105" i="26" l="1"/>
  <c r="E104" i="26"/>
  <c r="I99" i="20"/>
  <c r="I98" i="20"/>
  <c r="J23" i="20"/>
  <c r="H100" i="20"/>
  <c r="H99" i="20" l="1"/>
  <c r="H3" i="24"/>
  <c r="W3" i="7"/>
  <c r="H23" i="26" l="1"/>
  <c r="H21" i="26"/>
  <c r="H20" i="26"/>
  <c r="B15" i="26"/>
  <c r="G14" i="28"/>
  <c r="F14" i="28"/>
  <c r="B14" i="28"/>
  <c r="G13" i="28"/>
  <c r="F13" i="28"/>
  <c r="B13" i="28"/>
  <c r="G12" i="28"/>
  <c r="F12" i="28"/>
  <c r="B12" i="28"/>
  <c r="G11" i="28"/>
  <c r="F11" i="28"/>
  <c r="I11" i="28" s="1"/>
  <c r="B11" i="28"/>
  <c r="G10" i="28"/>
  <c r="F10" i="28"/>
  <c r="B10" i="28"/>
  <c r="G9" i="28"/>
  <c r="F9" i="28"/>
  <c r="I9" i="28" s="1"/>
  <c r="B9" i="28"/>
  <c r="G8" i="28"/>
  <c r="F8" i="28"/>
  <c r="I8" i="28" s="1"/>
  <c r="B8" i="28"/>
  <c r="G7" i="28"/>
  <c r="F7" i="28"/>
  <c r="I7" i="28" s="1"/>
  <c r="B7" i="28"/>
  <c r="G6" i="28"/>
  <c r="F6" i="28"/>
  <c r="B6" i="28"/>
  <c r="G5" i="28"/>
  <c r="F5" i="28"/>
  <c r="B5" i="28"/>
  <c r="W4" i="7"/>
  <c r="W5" i="7"/>
  <c r="W6" i="7"/>
  <c r="W7" i="7"/>
  <c r="W8" i="7"/>
  <c r="G4" i="24"/>
  <c r="G5" i="24"/>
  <c r="G6" i="24"/>
  <c r="G7" i="24"/>
  <c r="G8" i="24"/>
  <c r="G9" i="24"/>
  <c r="G10" i="24"/>
  <c r="G11" i="24"/>
  <c r="G12" i="24"/>
  <c r="G3" i="24"/>
  <c r="F4" i="24"/>
  <c r="F5" i="24"/>
  <c r="I5" i="24" s="1"/>
  <c r="F6" i="24"/>
  <c r="I6" i="24" s="1"/>
  <c r="F7" i="24"/>
  <c r="I7" i="24" s="1"/>
  <c r="F8" i="24"/>
  <c r="F9" i="24"/>
  <c r="I9" i="24" s="1"/>
  <c r="F10" i="24"/>
  <c r="F11" i="24"/>
  <c r="F12" i="24"/>
  <c r="F3" i="24"/>
  <c r="H12" i="24"/>
  <c r="H11" i="24"/>
  <c r="H10" i="24"/>
  <c r="H9" i="24"/>
  <c r="H8" i="24"/>
  <c r="H7" i="24"/>
  <c r="H6" i="24"/>
  <c r="H5" i="24"/>
  <c r="H4" i="24"/>
  <c r="B4" i="24"/>
  <c r="B5" i="24"/>
  <c r="B6" i="24"/>
  <c r="B7" i="24"/>
  <c r="B8" i="24"/>
  <c r="B9" i="24"/>
  <c r="B10" i="24"/>
  <c r="B11" i="24"/>
  <c r="B12" i="24"/>
  <c r="B3" i="24"/>
  <c r="O7" i="27"/>
  <c r="O8" i="27"/>
  <c r="O9" i="27"/>
  <c r="O10" i="27"/>
  <c r="O11" i="27"/>
  <c r="O12" i="27"/>
  <c r="O13" i="27"/>
  <c r="O14" i="27"/>
  <c r="O6" i="27"/>
  <c r="O5" i="27"/>
  <c r="H24" i="26" l="1"/>
  <c r="L4" i="7"/>
  <c r="L5" i="7"/>
  <c r="L6" i="7"/>
  <c r="L7" i="7"/>
  <c r="L8" i="7"/>
  <c r="L3" i="7"/>
  <c r="AE6" i="27"/>
  <c r="AE7" i="27"/>
  <c r="AE8" i="27"/>
  <c r="AE9" i="27"/>
  <c r="AE10" i="27"/>
  <c r="AE11" i="27"/>
  <c r="AE12" i="27"/>
  <c r="AE13" i="27"/>
  <c r="AE14" i="27"/>
  <c r="AE5" i="27"/>
  <c r="I12" i="27"/>
  <c r="I13" i="27"/>
  <c r="I14" i="27"/>
  <c r="I11" i="27"/>
  <c r="I10" i="27"/>
  <c r="I8" i="27"/>
  <c r="I9" i="27"/>
  <c r="I6" i="27"/>
  <c r="I7" i="27"/>
  <c r="I5" i="27"/>
  <c r="AD6" i="27"/>
  <c r="AD7" i="27"/>
  <c r="Q29" i="7" s="1"/>
  <c r="AD8" i="27"/>
  <c r="AD9" i="27"/>
  <c r="AD10" i="27"/>
  <c r="Q12" i="7" s="1"/>
  <c r="AD11" i="27"/>
  <c r="AD12" i="27"/>
  <c r="Q33" i="7" s="1"/>
  <c r="AD13" i="27"/>
  <c r="AD14" i="27"/>
  <c r="AD5" i="27"/>
  <c r="Y7" i="27"/>
  <c r="Y8" i="27"/>
  <c r="Y9" i="27"/>
  <c r="Y11" i="27"/>
  <c r="S7" i="27"/>
  <c r="V7" i="27"/>
  <c r="W7" i="27"/>
  <c r="X7" i="27"/>
  <c r="S8" i="27"/>
  <c r="V8" i="27"/>
  <c r="W8" i="27"/>
  <c r="X8" i="27"/>
  <c r="S9" i="27"/>
  <c r="V9" i="27"/>
  <c r="W9" i="27"/>
  <c r="X9" i="27"/>
  <c r="S11" i="27"/>
  <c r="V11" i="27"/>
  <c r="W11" i="27"/>
  <c r="X11" i="27"/>
  <c r="R7" i="27"/>
  <c r="R8" i="27"/>
  <c r="R9" i="27"/>
  <c r="R11" i="27"/>
  <c r="P8" i="27"/>
  <c r="P9" i="27"/>
  <c r="P11" i="27"/>
  <c r="J6" i="27"/>
  <c r="J7" i="27"/>
  <c r="P29" i="7" s="1"/>
  <c r="J8" i="27"/>
  <c r="J9" i="27"/>
  <c r="J10" i="27"/>
  <c r="J11" i="27"/>
  <c r="J12" i="27"/>
  <c r="J13" i="27"/>
  <c r="J14" i="27"/>
  <c r="J5" i="27"/>
  <c r="P7" i="27"/>
  <c r="M29" i="7" s="1"/>
  <c r="Q35" i="7" l="1"/>
  <c r="Q14" i="7"/>
  <c r="Q26" i="7"/>
  <c r="M18" i="7"/>
  <c r="M31" i="7"/>
  <c r="M23" i="7"/>
  <c r="M11" i="7"/>
  <c r="Q31" i="7"/>
  <c r="Q23" i="7"/>
  <c r="Q11" i="7"/>
  <c r="Q18" i="7"/>
  <c r="Q16" i="7"/>
  <c r="Q28" i="7"/>
  <c r="Q22" i="7"/>
  <c r="M17" i="7"/>
  <c r="M30" i="7"/>
  <c r="M10" i="7"/>
  <c r="Q19" i="7"/>
  <c r="Q32" i="7"/>
  <c r="Q24" i="7"/>
  <c r="Q30" i="7"/>
  <c r="Q17" i="7"/>
  <c r="Q10" i="7"/>
  <c r="Q15" i="7"/>
  <c r="Q27" i="7"/>
  <c r="Q21" i="7"/>
  <c r="Q9" i="7"/>
  <c r="M19" i="7"/>
  <c r="M32" i="7"/>
  <c r="M24" i="7"/>
  <c r="Q34" i="7"/>
  <c r="Q20" i="7"/>
  <c r="Q13" i="7"/>
  <c r="Q25" i="7"/>
  <c r="AC7" i="27"/>
  <c r="E96" i="26"/>
  <c r="AB8" i="27"/>
  <c r="AB9" i="27"/>
  <c r="AB11" i="27"/>
  <c r="Q4" i="7"/>
  <c r="Q5" i="7"/>
  <c r="Q6" i="7"/>
  <c r="M4" i="7"/>
  <c r="P14" i="27"/>
  <c r="P6" i="27"/>
  <c r="P12" i="27"/>
  <c r="M33" i="7" s="1"/>
  <c r="M6" i="7"/>
  <c r="P5" i="27"/>
  <c r="H19" i="26"/>
  <c r="M5" i="7"/>
  <c r="J97" i="20"/>
  <c r="M13" i="27"/>
  <c r="P13" i="27" s="1"/>
  <c r="J96" i="20"/>
  <c r="O19" i="7" l="1"/>
  <c r="O32" i="7"/>
  <c r="O24" i="7"/>
  <c r="O18" i="7"/>
  <c r="O31" i="7"/>
  <c r="O23" i="7"/>
  <c r="O11" i="7"/>
  <c r="M21" i="7"/>
  <c r="M9" i="7"/>
  <c r="M27" i="7"/>
  <c r="M15" i="7"/>
  <c r="O30" i="7"/>
  <c r="O10" i="7"/>
  <c r="O17" i="7"/>
  <c r="Z33" i="7"/>
  <c r="M25" i="7"/>
  <c r="M13" i="7"/>
  <c r="M34" i="7"/>
  <c r="M20" i="7"/>
  <c r="Z20" i="7" s="1"/>
  <c r="M22" i="7"/>
  <c r="M28" i="7"/>
  <c r="M16" i="7"/>
  <c r="M26" i="7"/>
  <c r="M14" i="7"/>
  <c r="M35" i="7"/>
  <c r="H22" i="26"/>
  <c r="M8" i="7"/>
  <c r="M3" i="7"/>
  <c r="E81" i="26"/>
  <c r="M7" i="7"/>
  <c r="M10" i="27"/>
  <c r="P10" i="27" s="1"/>
  <c r="M12" i="7" s="1"/>
  <c r="Z12" i="7" s="1"/>
  <c r="Z35" i="7" l="1"/>
  <c r="Z22" i="7"/>
  <c r="Z14" i="7"/>
  <c r="Z15" i="7"/>
  <c r="Z25" i="7"/>
  <c r="Z26" i="7"/>
  <c r="Z9" i="7"/>
  <c r="Z16" i="7"/>
  <c r="Z28" i="7"/>
  <c r="Z27" i="7"/>
  <c r="Z34" i="7"/>
  <c r="Z13" i="7"/>
  <c r="Z21" i="7"/>
  <c r="G6" i="27"/>
  <c r="G10" i="27"/>
  <c r="I12" i="7" s="1"/>
  <c r="G12" i="27"/>
  <c r="I33" i="7" s="1"/>
  <c r="G13" i="27"/>
  <c r="G14" i="27"/>
  <c r="G5" i="27"/>
  <c r="AC5" i="27" l="1"/>
  <c r="I21" i="7"/>
  <c r="I9" i="7"/>
  <c r="P9" i="7" s="1"/>
  <c r="I27" i="7"/>
  <c r="I15" i="7"/>
  <c r="P15" i="7" s="1"/>
  <c r="I16" i="7"/>
  <c r="I28" i="7"/>
  <c r="P28" i="7" s="1"/>
  <c r="I22" i="7"/>
  <c r="P22" i="7" s="1"/>
  <c r="I20" i="7"/>
  <c r="I25" i="7"/>
  <c r="I13" i="7"/>
  <c r="P13" i="7" s="1"/>
  <c r="I34" i="7"/>
  <c r="P33" i="7"/>
  <c r="I35" i="7"/>
  <c r="I26" i="7"/>
  <c r="I14" i="7"/>
  <c r="P12" i="7"/>
  <c r="Q3" i="7"/>
  <c r="AC6" i="27"/>
  <c r="AC10" i="27"/>
  <c r="AC14" i="27"/>
  <c r="AC13" i="27"/>
  <c r="AC12" i="27"/>
  <c r="C9" i="26"/>
  <c r="C80" i="26" s="1"/>
  <c r="J4" i="7"/>
  <c r="J5" i="7"/>
  <c r="J6" i="7"/>
  <c r="J7" i="7"/>
  <c r="J8" i="7"/>
  <c r="J3" i="7"/>
  <c r="I4" i="7"/>
  <c r="I5" i="7"/>
  <c r="I6" i="7"/>
  <c r="I7" i="7"/>
  <c r="I8" i="7"/>
  <c r="I3" i="7"/>
  <c r="H4" i="7"/>
  <c r="H5" i="7"/>
  <c r="H6" i="7"/>
  <c r="H7" i="7"/>
  <c r="H8" i="7"/>
  <c r="H3" i="7"/>
  <c r="G4" i="7"/>
  <c r="G5" i="7"/>
  <c r="AE5" i="7" s="1"/>
  <c r="G6" i="7"/>
  <c r="AE6" i="7" s="1"/>
  <c r="G7" i="7"/>
  <c r="G8" i="7"/>
  <c r="G3" i="7"/>
  <c r="F4" i="7"/>
  <c r="F5" i="7"/>
  <c r="F6" i="7"/>
  <c r="F7" i="7"/>
  <c r="F8" i="7"/>
  <c r="F3" i="7"/>
  <c r="D11" i="27"/>
  <c r="D9" i="27"/>
  <c r="D8" i="27"/>
  <c r="D7" i="27"/>
  <c r="D6" i="27"/>
  <c r="D10" i="27"/>
  <c r="D12" i="27"/>
  <c r="D5" i="27"/>
  <c r="P25" i="7" l="1"/>
  <c r="P35" i="7"/>
  <c r="P16" i="7"/>
  <c r="P26" i="7"/>
  <c r="P34" i="7"/>
  <c r="P27" i="7"/>
  <c r="P21" i="7"/>
  <c r="P14" i="7"/>
  <c r="P20" i="7"/>
  <c r="P4" i="7"/>
  <c r="AE4" i="7"/>
  <c r="F91" i="26"/>
  <c r="Q7" i="7"/>
  <c r="Q8" i="7"/>
  <c r="P7" i="7"/>
  <c r="P8" i="7"/>
  <c r="P3" i="7"/>
  <c r="AD6" i="7"/>
  <c r="P6" i="7"/>
  <c r="AD5" i="7"/>
  <c r="P5" i="7"/>
  <c r="F81" i="26"/>
  <c r="F80" i="26"/>
  <c r="AD4" i="7"/>
  <c r="AC4" i="7"/>
  <c r="Z7" i="7"/>
  <c r="I13" i="28" s="1"/>
  <c r="Z4" i="7"/>
  <c r="Z8" i="7"/>
  <c r="I14" i="28" s="1"/>
  <c r="Z6" i="7"/>
  <c r="I10" i="28"/>
  <c r="I6" i="28"/>
  <c r="Z3" i="7"/>
  <c r="I12" i="28"/>
  <c r="Z5" i="7"/>
  <c r="AC5" i="7"/>
  <c r="AC6" i="7"/>
  <c r="A9" i="26"/>
  <c r="I5" i="28" l="1"/>
  <c r="I10" i="24"/>
  <c r="I4" i="24"/>
  <c r="I12" i="24"/>
  <c r="I11" i="24"/>
  <c r="I3" i="24"/>
  <c r="I8" i="24"/>
  <c r="C7" i="26"/>
  <c r="C6" i="26"/>
  <c r="C5" i="26"/>
  <c r="C4" i="26"/>
  <c r="J36" i="28" l="1"/>
  <c r="J34" i="28"/>
  <c r="J40" i="28"/>
  <c r="J38" i="28"/>
  <c r="J29" i="28"/>
  <c r="J32" i="28"/>
  <c r="J30" i="28"/>
  <c r="J35" i="28"/>
  <c r="J39" i="28"/>
  <c r="J37" i="28"/>
  <c r="J33" i="28"/>
  <c r="J31" i="28"/>
  <c r="J36" i="24"/>
  <c r="J27" i="24"/>
  <c r="J30" i="24"/>
  <c r="J38" i="24"/>
  <c r="J35" i="24"/>
  <c r="J32" i="24"/>
  <c r="J29" i="24"/>
  <c r="J33" i="24"/>
  <c r="J28" i="24"/>
  <c r="J34" i="24"/>
  <c r="J37" i="24"/>
  <c r="Z36" i="7"/>
  <c r="J31" i="24"/>
  <c r="F34" i="26"/>
  <c r="F29" i="26"/>
  <c r="G15" i="26"/>
  <c r="F15" i="26"/>
  <c r="F121" i="26" l="1"/>
  <c r="F120" i="26"/>
  <c r="A110" i="26"/>
  <c r="E106" i="26"/>
  <c r="E103" i="26"/>
  <c r="E102" i="26"/>
  <c r="E108" i="26" l="1"/>
  <c r="F112" i="26"/>
  <c r="A114" i="26"/>
  <c r="B8" i="7" l="1"/>
  <c r="D8" i="7" s="1"/>
  <c r="B7" i="7"/>
  <c r="D7" i="7" s="1"/>
  <c r="B6" i="7"/>
  <c r="D6" i="7" s="1"/>
  <c r="B5" i="7"/>
  <c r="D5" i="7" s="1"/>
  <c r="B4" i="7"/>
  <c r="D4" i="7" s="1"/>
  <c r="H25" i="26" l="1"/>
  <c r="J114" i="20"/>
  <c r="J112" i="20"/>
  <c r="J111" i="20"/>
  <c r="J110" i="20"/>
  <c r="J105" i="20"/>
  <c r="J108" i="20"/>
  <c r="J107" i="20"/>
  <c r="J106" i="20"/>
  <c r="J109" i="20"/>
  <c r="J113" i="20"/>
  <c r="G114" i="20"/>
  <c r="G112" i="20"/>
  <c r="G111" i="20"/>
  <c r="G110" i="20"/>
  <c r="G105" i="20"/>
  <c r="G108" i="20"/>
  <c r="G107" i="20"/>
  <c r="G106" i="20"/>
  <c r="G109" i="20"/>
  <c r="G113" i="20"/>
  <c r="AE28" i="7" l="1"/>
  <c r="AE14" i="7"/>
  <c r="AE12" i="7"/>
  <c r="AE33" i="7"/>
  <c r="AE26" i="7"/>
  <c r="AE13" i="7"/>
  <c r="AE35" i="7"/>
  <c r="AE20" i="7"/>
  <c r="AE22" i="7"/>
  <c r="AE9" i="7"/>
  <c r="AE15" i="7"/>
  <c r="AE34" i="7"/>
  <c r="AE16" i="7"/>
  <c r="AE21" i="7"/>
  <c r="AE27" i="7"/>
  <c r="AE25" i="7"/>
  <c r="AA5" i="27"/>
  <c r="F92" i="26" s="1"/>
  <c r="AA10" i="27"/>
  <c r="AA6" i="27"/>
  <c r="AA12" i="27"/>
  <c r="AA13" i="27"/>
  <c r="AA14" i="27"/>
  <c r="T13" i="27"/>
  <c r="T12" i="27"/>
  <c r="T6" i="27"/>
  <c r="T14" i="27"/>
  <c r="T5" i="27"/>
  <c r="T10" i="27"/>
  <c r="Z7" i="27"/>
  <c r="Z5" i="27"/>
  <c r="Z13" i="27"/>
  <c r="Z10" i="27"/>
  <c r="Z14" i="27"/>
  <c r="Z12" i="27"/>
  <c r="U6" i="27"/>
  <c r="U14" i="27"/>
  <c r="U12" i="27"/>
  <c r="U5" i="27"/>
  <c r="U10" i="27"/>
  <c r="U13" i="27"/>
  <c r="R14" i="27"/>
  <c r="R12" i="27"/>
  <c r="R10" i="27"/>
  <c r="R6" i="27"/>
  <c r="R13" i="27"/>
  <c r="R5" i="27"/>
  <c r="Y14" i="27"/>
  <c r="Y12" i="27"/>
  <c r="Y6" i="27"/>
  <c r="Y10" i="27"/>
  <c r="Y13" i="27"/>
  <c r="Y5" i="27"/>
  <c r="V6" i="27"/>
  <c r="V10" i="27"/>
  <c r="V5" i="27"/>
  <c r="V12" i="27"/>
  <c r="V13" i="27"/>
  <c r="V14" i="27"/>
  <c r="W5" i="27"/>
  <c r="W6" i="27"/>
  <c r="W10" i="27"/>
  <c r="W14" i="27"/>
  <c r="W12" i="27"/>
  <c r="W13" i="27"/>
  <c r="X5" i="27"/>
  <c r="X13" i="27"/>
  <c r="X6" i="27"/>
  <c r="X10" i="27"/>
  <c r="X12" i="27"/>
  <c r="X14" i="27"/>
  <c r="S12" i="27"/>
  <c r="S10" i="27"/>
  <c r="S13" i="27"/>
  <c r="S14" i="27"/>
  <c r="S5" i="27"/>
  <c r="S6" i="27"/>
  <c r="F89" i="26" l="1"/>
  <c r="F83" i="26"/>
  <c r="F84" i="26"/>
  <c r="F90" i="26"/>
  <c r="F85" i="26"/>
  <c r="F86" i="26"/>
  <c r="F88" i="26"/>
  <c r="AB13" i="27"/>
  <c r="AB12" i="27"/>
  <c r="O33" i="7" s="1"/>
  <c r="AB10" i="27"/>
  <c r="O12" i="7" s="1"/>
  <c r="AB14" i="27"/>
  <c r="AB7" i="27"/>
  <c r="O29" i="7" s="1"/>
  <c r="AB6" i="27"/>
  <c r="F87" i="26"/>
  <c r="AB5" i="27"/>
  <c r="O6" i="7"/>
  <c r="O4" i="7"/>
  <c r="O5" i="7"/>
  <c r="O34" i="7" l="1"/>
  <c r="O20" i="7"/>
  <c r="O25" i="7"/>
  <c r="O13" i="7"/>
  <c r="O22" i="7"/>
  <c r="O28" i="7"/>
  <c r="O16" i="7"/>
  <c r="O27" i="7"/>
  <c r="O15" i="7"/>
  <c r="O21" i="7"/>
  <c r="O9" i="7"/>
  <c r="O26" i="7"/>
  <c r="O14" i="7"/>
  <c r="O35" i="7"/>
  <c r="F93" i="26"/>
  <c r="O7" i="7"/>
  <c r="O3" i="7"/>
  <c r="O8" i="7"/>
  <c r="B3" i="7"/>
  <c r="D3" i="7" s="1"/>
  <c r="I15" i="28" l="1"/>
  <c r="J24" i="20"/>
  <c r="F36" i="26" s="1"/>
  <c r="F35" i="26"/>
  <c r="J21" i="20"/>
  <c r="F33" i="26" s="1"/>
  <c r="J20" i="20"/>
  <c r="F32" i="26" s="1"/>
  <c r="J19" i="20"/>
  <c r="F31" i="26" s="1"/>
  <c r="J18" i="20"/>
  <c r="F30" i="26" s="1"/>
  <c r="F3" i="20"/>
  <c r="F2" i="20"/>
  <c r="E125" i="26" l="1"/>
  <c r="K18" i="28"/>
  <c r="J41" i="28"/>
  <c r="F37" i="26"/>
  <c r="T6" i="7"/>
  <c r="T7" i="7"/>
  <c r="AE7" i="7" s="1"/>
  <c r="T4" i="7"/>
  <c r="T5" i="7"/>
  <c r="T3" i="7"/>
  <c r="AE3" i="7" s="1"/>
  <c r="T8" i="7"/>
  <c r="AE8" i="7" s="1"/>
  <c r="F71" i="26"/>
  <c r="F70" i="26"/>
  <c r="F69" i="26"/>
  <c r="F68" i="26"/>
  <c r="F61" i="26"/>
  <c r="F56" i="26"/>
  <c r="J28" i="20"/>
  <c r="J25" i="20"/>
  <c r="J51" i="20" l="1"/>
  <c r="F63" i="26" s="1"/>
  <c r="J19" i="28"/>
  <c r="J66" i="20"/>
  <c r="I22" i="28"/>
  <c r="J42" i="20"/>
  <c r="J46" i="20" s="1"/>
  <c r="F40" i="26"/>
  <c r="J17" i="24"/>
  <c r="F55" i="26"/>
  <c r="F53" i="26"/>
  <c r="I20" i="24"/>
  <c r="I69" i="20"/>
  <c r="F50" i="26"/>
  <c r="J29" i="20"/>
  <c r="J21" i="28" s="1"/>
  <c r="J55" i="20"/>
  <c r="J20" i="28" s="1"/>
  <c r="J50" i="20" l="1"/>
  <c r="J52" i="20" s="1"/>
  <c r="J22" i="28"/>
  <c r="J67" i="20"/>
  <c r="F67" i="26"/>
  <c r="J18" i="24"/>
  <c r="J68" i="20"/>
  <c r="F41" i="26"/>
  <c r="J19" i="24"/>
  <c r="F46" i="26"/>
  <c r="F47" i="26" s="1"/>
  <c r="F52" i="26"/>
  <c r="F51" i="26"/>
  <c r="F54" i="26"/>
  <c r="J30" i="20"/>
  <c r="J60" i="20"/>
  <c r="F58" i="26" l="1"/>
  <c r="J20" i="24"/>
  <c r="J69" i="20"/>
  <c r="J61" i="20"/>
  <c r="F72" i="26"/>
  <c r="F73" i="26" s="1"/>
  <c r="F123" i="26" s="1"/>
  <c r="J23" i="28"/>
  <c r="J24" i="28" s="1"/>
  <c r="K24" i="28" s="1"/>
  <c r="F62" i="26"/>
  <c r="F64" i="26" s="1"/>
  <c r="J31" i="20"/>
  <c r="F42" i="26"/>
  <c r="F43" i="26" s="1"/>
  <c r="J63" i="20" l="1"/>
  <c r="F75" i="26"/>
  <c r="H75" i="26" s="1"/>
  <c r="F96" i="26" s="1"/>
  <c r="F122" i="26" s="1"/>
  <c r="J70" i="20"/>
  <c r="J71" i="20" s="1"/>
  <c r="J21" i="24"/>
  <c r="AA30" i="7" l="1"/>
  <c r="AA31" i="7"/>
  <c r="AA10" i="7"/>
  <c r="AA11" i="7"/>
  <c r="AA17" i="7"/>
  <c r="AA32" i="7"/>
  <c r="AA23" i="7"/>
  <c r="AA24" i="7"/>
  <c r="AA18" i="7"/>
  <c r="AA29" i="7"/>
  <c r="AA19" i="7"/>
  <c r="AA12" i="7"/>
  <c r="AA33" i="7"/>
  <c r="AA20" i="7"/>
  <c r="AA15" i="7"/>
  <c r="AA9" i="7"/>
  <c r="AA21" i="7"/>
  <c r="AA13" i="7"/>
  <c r="AA14" i="7"/>
  <c r="AA34" i="7"/>
  <c r="AA25" i="7"/>
  <c r="AA28" i="7"/>
  <c r="AA27" i="7"/>
  <c r="AA35" i="7"/>
  <c r="AA26" i="7"/>
  <c r="AA22" i="7"/>
  <c r="AA16" i="7"/>
  <c r="AA5" i="7"/>
  <c r="AA4" i="7"/>
  <c r="AA7" i="7"/>
  <c r="AA8" i="7"/>
  <c r="AA3" i="7"/>
  <c r="AA6" i="7"/>
  <c r="Q8" i="27"/>
  <c r="Q9" i="27"/>
  <c r="Q11" i="27"/>
  <c r="Q14" i="27"/>
  <c r="Q7" i="27"/>
  <c r="N29" i="7" s="1"/>
  <c r="Q6" i="27"/>
  <c r="Q12" i="27"/>
  <c r="N33" i="7" s="1"/>
  <c r="Q5" i="27"/>
  <c r="Q13" i="27"/>
  <c r="Q10" i="27"/>
  <c r="N12" i="7" s="1"/>
  <c r="R12" i="7" s="1"/>
  <c r="J22" i="24"/>
  <c r="N22" i="7" l="1"/>
  <c r="N28" i="7"/>
  <c r="N16" i="7"/>
  <c r="N15" i="7"/>
  <c r="N27" i="7"/>
  <c r="R27" i="7" s="1"/>
  <c r="N21" i="7"/>
  <c r="N9" i="7"/>
  <c r="N19" i="7"/>
  <c r="N32" i="7"/>
  <c r="N24" i="7"/>
  <c r="R24" i="7" s="1"/>
  <c r="S24" i="7" s="1"/>
  <c r="U24" i="7" s="1"/>
  <c r="R33" i="7"/>
  <c r="AD33" i="7" s="1"/>
  <c r="N34" i="7"/>
  <c r="R34" i="7" s="1"/>
  <c r="N20" i="7"/>
  <c r="R20" i="7" s="1"/>
  <c r="N25" i="7"/>
  <c r="N13" i="7"/>
  <c r="R29" i="7"/>
  <c r="AD29" i="7" s="1"/>
  <c r="N26" i="7"/>
  <c r="R26" i="7" s="1"/>
  <c r="N14" i="7"/>
  <c r="N35" i="7"/>
  <c r="N30" i="7"/>
  <c r="N10" i="7"/>
  <c r="R10" i="7" s="1"/>
  <c r="S10" i="7" s="1"/>
  <c r="U10" i="7" s="1"/>
  <c r="N17" i="7"/>
  <c r="R17" i="7" s="1"/>
  <c r="S17" i="7" s="1"/>
  <c r="U17" i="7" s="1"/>
  <c r="S12" i="7"/>
  <c r="U12" i="7" s="1"/>
  <c r="AD12" i="7"/>
  <c r="N18" i="7"/>
  <c r="R18" i="7" s="1"/>
  <c r="S18" i="7" s="1"/>
  <c r="U18" i="7" s="1"/>
  <c r="N23" i="7"/>
  <c r="N31" i="7"/>
  <c r="N11" i="7"/>
  <c r="R11" i="7" s="1"/>
  <c r="S11" i="7" s="1"/>
  <c r="U11" i="7" s="1"/>
  <c r="K37" i="28"/>
  <c r="K30" i="28"/>
  <c r="K38" i="28"/>
  <c r="K31" i="28"/>
  <c r="K39" i="28"/>
  <c r="K32" i="28"/>
  <c r="K40" i="28"/>
  <c r="K33" i="28"/>
  <c r="K34" i="28"/>
  <c r="K35" i="28"/>
  <c r="K29" i="28"/>
  <c r="K36" i="28"/>
  <c r="K30" i="24"/>
  <c r="K31" i="24"/>
  <c r="K28" i="24"/>
  <c r="K36" i="24"/>
  <c r="K38" i="24"/>
  <c r="K27" i="24"/>
  <c r="K34" i="24"/>
  <c r="K32" i="24"/>
  <c r="K37" i="24"/>
  <c r="K29" i="24"/>
  <c r="K33" i="24"/>
  <c r="K35" i="24"/>
  <c r="AA36" i="7"/>
  <c r="AF5" i="27"/>
  <c r="AG5" i="27" s="1"/>
  <c r="N3" i="7"/>
  <c r="N8" i="7"/>
  <c r="AF14" i="27"/>
  <c r="AG14" i="27" s="1"/>
  <c r="N4" i="7"/>
  <c r="AF8" i="27"/>
  <c r="AF10" i="27"/>
  <c r="AF7" i="27"/>
  <c r="N5" i="7"/>
  <c r="AF9" i="27"/>
  <c r="N7" i="7"/>
  <c r="AF13" i="27"/>
  <c r="AF12" i="27"/>
  <c r="AG12" i="27" s="1"/>
  <c r="N6" i="7"/>
  <c r="AF11" i="27"/>
  <c r="AF6" i="27"/>
  <c r="AG6" i="27" s="1"/>
  <c r="X17" i="7" l="1"/>
  <c r="V17" i="7"/>
  <c r="R13" i="7"/>
  <c r="AD13" i="7" s="1"/>
  <c r="R19" i="7"/>
  <c r="S19" i="7" s="1"/>
  <c r="U19" i="7" s="1"/>
  <c r="X10" i="7"/>
  <c r="V10" i="7"/>
  <c r="R25" i="7"/>
  <c r="AD25" i="7" s="1"/>
  <c r="R9" i="7"/>
  <c r="AD9" i="7" s="1"/>
  <c r="V11" i="7"/>
  <c r="X11" i="7"/>
  <c r="R30" i="7"/>
  <c r="S30" i="7" s="1"/>
  <c r="U30" i="7" s="1"/>
  <c r="S20" i="7"/>
  <c r="U20" i="7" s="1"/>
  <c r="AD20" i="7"/>
  <c r="R21" i="7"/>
  <c r="AD21" i="7" s="1"/>
  <c r="R31" i="7"/>
  <c r="S31" i="7" s="1"/>
  <c r="U31" i="7" s="1"/>
  <c r="R35" i="7"/>
  <c r="AD35" i="7" s="1"/>
  <c r="S34" i="7"/>
  <c r="U34" i="7" s="1"/>
  <c r="AD34" i="7"/>
  <c r="S27" i="7"/>
  <c r="U27" i="7" s="1"/>
  <c r="AD27" i="7"/>
  <c r="R23" i="7"/>
  <c r="S23" i="7" s="1"/>
  <c r="U23" i="7" s="1"/>
  <c r="R14" i="7"/>
  <c r="AD14" i="7" s="1"/>
  <c r="R15" i="7"/>
  <c r="AD15" i="7" s="1"/>
  <c r="X18" i="7"/>
  <c r="V18" i="7"/>
  <c r="S26" i="7"/>
  <c r="U26" i="7" s="1"/>
  <c r="AD26" i="7"/>
  <c r="S33" i="7"/>
  <c r="U33" i="7" s="1"/>
  <c r="R16" i="7"/>
  <c r="AD16" i="7" s="1"/>
  <c r="S29" i="7"/>
  <c r="U29" i="7" s="1"/>
  <c r="V24" i="7"/>
  <c r="X24" i="7"/>
  <c r="R28" i="7"/>
  <c r="AD28" i="7" s="1"/>
  <c r="X12" i="7"/>
  <c r="AC12" i="7"/>
  <c r="V12" i="7"/>
  <c r="R32" i="7"/>
  <c r="S32" i="7" s="1"/>
  <c r="U32" i="7" s="1"/>
  <c r="R22" i="7"/>
  <c r="AD22" i="7" s="1"/>
  <c r="K39" i="24"/>
  <c r="R8" i="7"/>
  <c r="S8" i="7" s="1"/>
  <c r="R5" i="7"/>
  <c r="S5" i="7" s="1"/>
  <c r="R7" i="7"/>
  <c r="AD7" i="7" s="1"/>
  <c r="R4" i="7"/>
  <c r="S4" i="7" s="1"/>
  <c r="R3" i="7"/>
  <c r="AD3" i="7" s="1"/>
  <c r="R6" i="7"/>
  <c r="S6" i="7" s="1"/>
  <c r="AG13" i="27"/>
  <c r="AI13" i="27" s="1"/>
  <c r="AG11" i="27"/>
  <c r="AG7" i="27"/>
  <c r="AG10" i="27"/>
  <c r="AG8" i="27"/>
  <c r="AG9" i="27"/>
  <c r="AI12" i="27"/>
  <c r="AJ12" i="27" s="1"/>
  <c r="AI5" i="27"/>
  <c r="AJ5" i="27" s="1"/>
  <c r="AI6" i="27"/>
  <c r="AJ6" i="27" s="1"/>
  <c r="AI14" i="27"/>
  <c r="AJ14" i="27" s="1"/>
  <c r="S25" i="7" l="1"/>
  <c r="U25" i="7" s="1"/>
  <c r="V25" i="7" s="1"/>
  <c r="S9" i="7"/>
  <c r="U9" i="7" s="1"/>
  <c r="X9" i="7" s="1"/>
  <c r="S28" i="7"/>
  <c r="U28" i="7" s="1"/>
  <c r="AC28" i="7" s="1"/>
  <c r="S22" i="7"/>
  <c r="U22" i="7" s="1"/>
  <c r="AC22" i="7" s="1"/>
  <c r="S15" i="7"/>
  <c r="U15" i="7" s="1"/>
  <c r="V15" i="7" s="1"/>
  <c r="X23" i="7"/>
  <c r="V23" i="7"/>
  <c r="X30" i="7"/>
  <c r="V30" i="7"/>
  <c r="X32" i="7"/>
  <c r="V32" i="7"/>
  <c r="S16" i="7"/>
  <c r="U16" i="7" s="1"/>
  <c r="AC33" i="7"/>
  <c r="X33" i="7"/>
  <c r="V33" i="7"/>
  <c r="S14" i="7"/>
  <c r="U14" i="7" s="1"/>
  <c r="S35" i="7"/>
  <c r="U35" i="7" s="1"/>
  <c r="V26" i="7"/>
  <c r="X26" i="7"/>
  <c r="AC26" i="7"/>
  <c r="X31" i="7"/>
  <c r="V31" i="7"/>
  <c r="V19" i="7"/>
  <c r="X19" i="7"/>
  <c r="X27" i="7"/>
  <c r="V27" i="7"/>
  <c r="AC27" i="7"/>
  <c r="S21" i="7"/>
  <c r="U21" i="7" s="1"/>
  <c r="S13" i="7"/>
  <c r="U13" i="7" s="1"/>
  <c r="AC29" i="7"/>
  <c r="V29" i="7"/>
  <c r="X29" i="7"/>
  <c r="X34" i="7"/>
  <c r="V34" i="7"/>
  <c r="AC34" i="7"/>
  <c r="AC20" i="7"/>
  <c r="X20" i="7"/>
  <c r="V20" i="7"/>
  <c r="S7" i="7"/>
  <c r="U7" i="7" s="1"/>
  <c r="X7" i="7" s="1"/>
  <c r="AD8" i="7"/>
  <c r="S3" i="7"/>
  <c r="K6" i="28"/>
  <c r="AI11" i="27"/>
  <c r="AJ11" i="27" s="1"/>
  <c r="AI10" i="27"/>
  <c r="AJ10" i="27" s="1"/>
  <c r="AI8" i="27"/>
  <c r="AJ8" i="27" s="1"/>
  <c r="AI9" i="27"/>
  <c r="AJ9" i="27" s="1"/>
  <c r="AI7" i="27"/>
  <c r="AJ7" i="27" s="1"/>
  <c r="AJ13" i="27"/>
  <c r="U6" i="7"/>
  <c r="X6" i="7" s="1"/>
  <c r="K11" i="28" s="1"/>
  <c r="K12" i="28"/>
  <c r="U5" i="7"/>
  <c r="X5" i="7" s="1"/>
  <c r="K9" i="28" s="1"/>
  <c r="U4" i="7"/>
  <c r="X4" i="7" s="1"/>
  <c r="K8" i="28" s="1"/>
  <c r="U8" i="7"/>
  <c r="X8" i="7" s="1"/>
  <c r="K14" i="28" s="1"/>
  <c r="X25" i="7" l="1"/>
  <c r="V28" i="7"/>
  <c r="AC25" i="7"/>
  <c r="X28" i="7"/>
  <c r="V9" i="7"/>
  <c r="AC9" i="7"/>
  <c r="V22" i="7"/>
  <c r="X22" i="7"/>
  <c r="AC15" i="7"/>
  <c r="X15" i="7"/>
  <c r="AC21" i="7"/>
  <c r="X21" i="7"/>
  <c r="V21" i="7"/>
  <c r="AC16" i="7"/>
  <c r="X16" i="7"/>
  <c r="V16" i="7"/>
  <c r="X35" i="7"/>
  <c r="V35" i="7"/>
  <c r="AC35" i="7"/>
  <c r="V14" i="7"/>
  <c r="X14" i="7"/>
  <c r="AC14" i="7"/>
  <c r="V13" i="7"/>
  <c r="AC13" i="7"/>
  <c r="X13" i="7"/>
  <c r="K11" i="24" s="1"/>
  <c r="K13" i="28"/>
  <c r="K10" i="28"/>
  <c r="V8" i="7"/>
  <c r="J14" i="28" s="1"/>
  <c r="V4" i="7"/>
  <c r="J8" i="28" s="1"/>
  <c r="J10" i="28"/>
  <c r="V6" i="7"/>
  <c r="J11" i="28" s="1"/>
  <c r="V7" i="7"/>
  <c r="J13" i="28" s="1"/>
  <c r="V5" i="7"/>
  <c r="J6" i="28"/>
  <c r="J7" i="28"/>
  <c r="J12" i="28"/>
  <c r="K6" i="24"/>
  <c r="AC7" i="7"/>
  <c r="AC8" i="7"/>
  <c r="D13" i="27"/>
  <c r="D14" i="27"/>
  <c r="K12" i="24" l="1"/>
  <c r="K5" i="24"/>
  <c r="K7" i="28"/>
  <c r="E30" i="28"/>
  <c r="J9" i="28"/>
  <c r="E39" i="28"/>
  <c r="E36" i="28"/>
  <c r="E33" i="28"/>
  <c r="G40" i="28"/>
  <c r="J12" i="24"/>
  <c r="J10" i="24"/>
  <c r="J6" i="24"/>
  <c r="J5" i="24"/>
  <c r="J11" i="24"/>
  <c r="J9" i="24"/>
  <c r="J4" i="24"/>
  <c r="J8" i="24"/>
  <c r="J7" i="24"/>
  <c r="E31" i="24"/>
  <c r="E37" i="24"/>
  <c r="E34" i="24"/>
  <c r="E28" i="24"/>
  <c r="G38" i="24"/>
  <c r="K10" i="24"/>
  <c r="K8" i="24"/>
  <c r="K9" i="24"/>
  <c r="K4" i="24"/>
  <c r="K7" i="24"/>
  <c r="U3" i="7"/>
  <c r="X3" i="7" s="1"/>
  <c r="K5" i="28" s="1"/>
  <c r="G41" i="28" l="1"/>
  <c r="G39" i="24"/>
  <c r="E41" i="28"/>
  <c r="E39" i="24"/>
  <c r="V3" i="7"/>
  <c r="AC3" i="7"/>
  <c r="J5" i="28" l="1"/>
  <c r="J3" i="24"/>
  <c r="K3" i="24"/>
  <c r="F97" i="26"/>
  <c r="F99" i="26" s="1"/>
  <c r="F124" i="26"/>
  <c r="F125" i="26" s="1"/>
  <c r="F126" i="26" s="1"/>
  <c r="J126" i="26" s="1"/>
  <c r="F108" i="26" l="1"/>
  <c r="F110" i="26" l="1"/>
  <c r="F114" i="26" s="1"/>
  <c r="J15" i="26" s="1"/>
  <c r="I13" i="24"/>
  <c r="F116" i="26" l="1"/>
  <c r="X36" i="7"/>
  <c r="J39" i="24"/>
  <c r="K16" i="24"/>
  <c r="K22" i="24" s="1"/>
  <c r="C37" i="28" l="1"/>
  <c r="I37" i="28" s="1"/>
  <c r="C39" i="28"/>
  <c r="I39" i="28" s="1"/>
  <c r="C35" i="28"/>
  <c r="I35" i="28" s="1"/>
  <c r="C33" i="28"/>
  <c r="I33" i="28" s="1"/>
  <c r="C31" i="28"/>
  <c r="I31" i="28" s="1"/>
  <c r="C30" i="28"/>
  <c r="I30" i="28" s="1"/>
  <c r="C32" i="28"/>
  <c r="I32" i="28" s="1"/>
  <c r="C34" i="28"/>
  <c r="I34" i="28" s="1"/>
  <c r="C29" i="28"/>
  <c r="I29" i="28" s="1"/>
  <c r="C38" i="28"/>
  <c r="I38" i="28" s="1"/>
  <c r="C40" i="28"/>
  <c r="I40" i="28" s="1"/>
  <c r="C36" i="28"/>
  <c r="I36" i="28" s="1"/>
  <c r="C31" i="24"/>
  <c r="I31" i="24" s="1"/>
  <c r="C28" i="24"/>
  <c r="I28" i="24" s="1"/>
  <c r="C27" i="24"/>
  <c r="I27" i="24" s="1"/>
  <c r="C30" i="24"/>
  <c r="I30" i="24" s="1"/>
  <c r="C34" i="24"/>
  <c r="I34" i="24" s="1"/>
  <c r="C33" i="24"/>
  <c r="I33" i="24" s="1"/>
  <c r="C36" i="24"/>
  <c r="I36" i="24" s="1"/>
  <c r="C38" i="24"/>
  <c r="I38" i="24" s="1"/>
  <c r="C29" i="24"/>
  <c r="I29" i="24" s="1"/>
  <c r="C35" i="24"/>
  <c r="I35" i="24" s="1"/>
  <c r="C37" i="24"/>
  <c r="I37" i="24" s="1"/>
  <c r="C32" i="24"/>
  <c r="I32" i="24" s="1"/>
  <c r="K41" i="28"/>
  <c r="K15" i="28"/>
  <c r="K13" i="24" l="1"/>
  <c r="K14" i="24" s="1"/>
  <c r="I39" i="24"/>
  <c r="I40" i="24" s="1"/>
  <c r="C39" i="24"/>
  <c r="C41" i="28"/>
  <c r="I41" i="28"/>
  <c r="I42" i="28" s="1"/>
</calcChain>
</file>

<file path=xl/sharedStrings.xml><?xml version="1.0" encoding="utf-8"?>
<sst xmlns="http://schemas.openxmlformats.org/spreadsheetml/2006/main" count="5180" uniqueCount="1540">
  <si>
    <t>FICHA CADASTRAL DA EMPRESA</t>
  </si>
  <si>
    <t>Pregão Nº</t>
  </si>
  <si>
    <t>Processo nº</t>
  </si>
  <si>
    <t>Sim</t>
  </si>
  <si>
    <t>DADOS CADASTRAIS</t>
  </si>
  <si>
    <t>Não</t>
  </si>
  <si>
    <t>CNPJ</t>
  </si>
  <si>
    <t>Razão Social</t>
  </si>
  <si>
    <t>Endereço</t>
  </si>
  <si>
    <t>Bairro</t>
  </si>
  <si>
    <t>Cidade</t>
  </si>
  <si>
    <t>UF</t>
  </si>
  <si>
    <t>CEP</t>
  </si>
  <si>
    <t>Telefone</t>
  </si>
  <si>
    <t>e-mail</t>
  </si>
  <si>
    <t>REPRESENTANTE(S) DA EMPRESA</t>
  </si>
  <si>
    <t>CPF</t>
  </si>
  <si>
    <t>Nome</t>
  </si>
  <si>
    <t>Sócio Administrador?</t>
  </si>
  <si>
    <t>Signatário do Contrato?</t>
  </si>
  <si>
    <t>(sim/não)</t>
  </si>
  <si>
    <t>Local</t>
  </si>
  <si>
    <t>Data</t>
  </si>
  <si>
    <t>Assinatura</t>
  </si>
  <si>
    <t>DADOS DA EMPRESA</t>
  </si>
  <si>
    <t>Incidência cumulativa de PIS e de COFINS</t>
  </si>
  <si>
    <t>Incidência não-cumulativa de PIS e de COFINS</t>
  </si>
  <si>
    <t>Simples Nacional</t>
  </si>
  <si>
    <t>Sindicato da categoria</t>
  </si>
  <si>
    <t>Data base da categoria</t>
  </si>
  <si>
    <t>Fornecimento de cesta básica aos funcionários? (sim/não)</t>
  </si>
  <si>
    <t>Regime Tributário</t>
  </si>
  <si>
    <t>SAT (RATxFAP) (%)</t>
  </si>
  <si>
    <t>Despesas Administrativas(%)</t>
  </si>
  <si>
    <t>Lucro Bruto (%)</t>
  </si>
  <si>
    <t>COFINS</t>
  </si>
  <si>
    <t>PIS</t>
  </si>
  <si>
    <t>Desoneração da folha (%)</t>
  </si>
  <si>
    <t>Vigência Contratual</t>
  </si>
  <si>
    <t>meses</t>
  </si>
  <si>
    <t>Módulo I - Encargos previdenciários e FGTS</t>
  </si>
  <si>
    <t>Percentual</t>
  </si>
  <si>
    <t>Previdência Social</t>
  </si>
  <si>
    <t>SESI/SESC</t>
  </si>
  <si>
    <t>SENAI/SENAC</t>
  </si>
  <si>
    <t>INCRA</t>
  </si>
  <si>
    <t>Salário Educação</t>
  </si>
  <si>
    <t>FGTS</t>
  </si>
  <si>
    <t>SAT (RAT X FAP)</t>
  </si>
  <si>
    <t>SEBRAE</t>
  </si>
  <si>
    <t>Total Módulo I</t>
  </si>
  <si>
    <t>Módulo II - 13º Salário e Adicional de Férias</t>
  </si>
  <si>
    <t>13º  salário</t>
  </si>
  <si>
    <t>Abono de férias</t>
  </si>
  <si>
    <t>Encargos sociais incidentes</t>
  </si>
  <si>
    <t>Total Módulo II</t>
  </si>
  <si>
    <t>Módulo III - Afastamento Maternidade</t>
  </si>
  <si>
    <t>Total Módulo III</t>
  </si>
  <si>
    <t>Módulo IV - Provisão para Rescisão</t>
  </si>
  <si>
    <t>Aviso prévio indenizado</t>
  </si>
  <si>
    <t>Incidência FGTS sobre o aviso prévio indenizado</t>
  </si>
  <si>
    <t>Multa FGTS sobre o aviso prévio indenizado</t>
  </si>
  <si>
    <t>Aviso prévio trabalhado</t>
  </si>
  <si>
    <t>Encargos sociais incidentes sobre aviso prévio trabalhado</t>
  </si>
  <si>
    <t>Multa FGTS sobre o aviso prévio trabalhado</t>
  </si>
  <si>
    <t>Indenização Adicional</t>
  </si>
  <si>
    <t>Multa FGTS sobre os depósitos de FGTS</t>
  </si>
  <si>
    <t>Total Módulo IV</t>
  </si>
  <si>
    <t>Módulo V - Multa de FGTS</t>
  </si>
  <si>
    <t>Remuneração</t>
  </si>
  <si>
    <t>Férias + Adicional de Férias</t>
  </si>
  <si>
    <t>13º Salário</t>
  </si>
  <si>
    <t>Total Módulo V</t>
  </si>
  <si>
    <t>Módulo VI - Custo de Reposição do Profissional Ausente</t>
  </si>
  <si>
    <t>Férias</t>
  </si>
  <si>
    <t>Auxílio doença</t>
  </si>
  <si>
    <t>Licença paternidade</t>
  </si>
  <si>
    <t>Faltas legais</t>
  </si>
  <si>
    <t>Acidente de trabalho</t>
  </si>
  <si>
    <t>Total Módulo VI</t>
  </si>
  <si>
    <t>Total dos Encargos Sociais e Trabalhistas</t>
  </si>
  <si>
    <t>PERCENTUAIS DE CONTINGENCIAMENTO MENSAL DE ENCARGOS TRABALHISTAS</t>
  </si>
  <si>
    <t>Abono de Férias</t>
  </si>
  <si>
    <t>Incidência de encargos trabalhistas: percentual total do Módulo I s/ os itens 1, 2 e 3</t>
  </si>
  <si>
    <t>Multa FGTS</t>
  </si>
  <si>
    <t>Percentual a ser contingenciado - Resolução CNJ nº 651/2025</t>
  </si>
  <si>
    <t>PARÂMETROS DE CÁLCULO</t>
  </si>
  <si>
    <t>Dias Estimados por Mês - Trabalho de Segunda a Sexta</t>
  </si>
  <si>
    <t>Dias Estimados por Mês - Trabalho de Segunda a Sábado</t>
  </si>
  <si>
    <t>Dias Estimados por Mês - Trabalho de Plantonista em Domingos e Feriados</t>
  </si>
  <si>
    <t>Dias Estimados por Mês - Trabalho de Plantonista aos Sábados</t>
  </si>
  <si>
    <t>Adicional de Periculosidade</t>
  </si>
  <si>
    <t>Adicional Noturno</t>
  </si>
  <si>
    <t>Adicional de Insalubridade - Jardineiro e Auxiliar Área Médica</t>
  </si>
  <si>
    <t>Adicional de Insalubridade - Agente de Higienização</t>
  </si>
  <si>
    <t>Adicional de Acúmulo de Função</t>
  </si>
  <si>
    <t>Valor do Salário Mínimo Federal - R$</t>
  </si>
  <si>
    <t>Código</t>
  </si>
  <si>
    <t>VALORES REFERENCIAIS - R$ por M² (sem BDI)</t>
  </si>
  <si>
    <t>Serviço de Jardinagem -  m²</t>
  </si>
  <si>
    <r>
      <t>Serviço de limpeza de vidros -</t>
    </r>
    <r>
      <rPr>
        <b/>
        <sz val="9"/>
        <color theme="1"/>
        <rFont val="Calibri"/>
        <family val="2"/>
      </rPr>
      <t xml:space="preserve"> Com</t>
    </r>
    <r>
      <rPr>
        <sz val="9"/>
        <color theme="1"/>
        <rFont val="Calibri"/>
        <family val="2"/>
        <scheme val="minor"/>
      </rPr>
      <t xml:space="preserve"> exposição à situação de risco - m²</t>
    </r>
  </si>
  <si>
    <r>
      <t xml:space="preserve">Serviço de limpeza de vidros - </t>
    </r>
    <r>
      <rPr>
        <b/>
        <sz val="9"/>
        <color theme="1"/>
        <rFont val="Calibri"/>
        <family val="2"/>
      </rPr>
      <t>Sem</t>
    </r>
    <r>
      <rPr>
        <sz val="9"/>
        <color theme="1"/>
        <rFont val="Calibri"/>
        <family val="2"/>
        <scheme val="minor"/>
      </rPr>
      <t xml:space="preserve"> exposição à situação de risco - m²</t>
    </r>
  </si>
  <si>
    <t>VALORES REFERENCIAIS - CONVENÇÃO COLETIVA DA CATEGORIA</t>
  </si>
  <si>
    <t>Grupo</t>
  </si>
  <si>
    <t>Descrição</t>
  </si>
  <si>
    <t>Salário Base</t>
  </si>
  <si>
    <t>Ad. Peric.</t>
  </si>
  <si>
    <t>Ad. Noturno + Hr. Reduzida</t>
  </si>
  <si>
    <t>Ad. Insalubr.</t>
  </si>
  <si>
    <t>Ad. Acum. Função</t>
  </si>
  <si>
    <t>Auxiliar de Limpeza - 44 horas Semanais</t>
  </si>
  <si>
    <t>Auxiliar de Limpeza - 24 horas Semanais</t>
  </si>
  <si>
    <t>Auxiliar de Limpeza - 44 horas Semanais - Área Médica</t>
  </si>
  <si>
    <t>Agente de Higienização - 44 horas semanais</t>
  </si>
  <si>
    <t>Encarregado de Limpeza (11 ou mais subordinados) - 44 horas Semanais</t>
  </si>
  <si>
    <t>BENEFÍCIOS - Convenção Coletiva de Trabalho</t>
  </si>
  <si>
    <t>Base</t>
  </si>
  <si>
    <t>Funções de Limpeza</t>
  </si>
  <si>
    <t>Jardineiro(a)</t>
  </si>
  <si>
    <t>Valor</t>
  </si>
  <si>
    <t>Parte do Empregado</t>
  </si>
  <si>
    <t>Valor Final</t>
  </si>
  <si>
    <t>Assistência médica</t>
  </si>
  <si>
    <t>Valor Mensal</t>
  </si>
  <si>
    <t>Auxílio Creche</t>
  </si>
  <si>
    <t>Benefício Social Sindical</t>
  </si>
  <si>
    <t>Benefício Natalidade</t>
  </si>
  <si>
    <t xml:space="preserve">Cesta básica </t>
  </si>
  <si>
    <t>Dia do Trabalhador</t>
  </si>
  <si>
    <t>Norma Regulamentadora Nº 07</t>
  </si>
  <si>
    <t>Seguro de vida</t>
  </si>
  <si>
    <t>Vale refeição /ticket refeição *</t>
  </si>
  <si>
    <t>Valor diário</t>
  </si>
  <si>
    <t>Outros (Especificar aqui)/ Inserir valor DIÁRIO</t>
  </si>
  <si>
    <t>Outros (Especificar aqui)/ Inserir valor MENSAL</t>
  </si>
  <si>
    <t>* Conforme Nota Técnica do CADTERC e CCT, não haverá pagamento de ticket refeição para as jornadas de 24 horas semanais.</t>
  </si>
  <si>
    <t>VALORES REFERENCIAIS MENSAIS - UNIFORMES, EPIs e MATERIAIS</t>
  </si>
  <si>
    <t>Uniformes e EPI´s</t>
  </si>
  <si>
    <t>Materiais e Equipamentos %</t>
  </si>
  <si>
    <t>LOCAIS DE PRESTAÇÃO DOS SERVIÇOS</t>
  </si>
  <si>
    <t>Agrupador</t>
  </si>
  <si>
    <t>Código do Imóvel</t>
  </si>
  <si>
    <t>Descrição do Local</t>
  </si>
  <si>
    <t>ISSQN</t>
  </si>
  <si>
    <t>BDI *</t>
  </si>
  <si>
    <t>Vale Transporte - (Ida e Volta)</t>
  </si>
  <si>
    <t>Mês de Início da Prestação de Serviços</t>
  </si>
  <si>
    <t>*Fórmula BDI sem desoneração = (1+taxa_adm) x (1+taxa_lucro) / (1-%PIS-%COFINS-%ISS) -1</t>
  </si>
  <si>
    <t>Fórmula BDI com desoneração = (1+taxa_adm) x (1+taxa_lucro) / (1-%PIS-%COFINS-%ISS-%Desoneração) -1</t>
  </si>
  <si>
    <t>Código Local</t>
  </si>
  <si>
    <t>Descrição Local</t>
  </si>
  <si>
    <t>Comarca</t>
  </si>
  <si>
    <t>Função</t>
  </si>
  <si>
    <t>Unidade</t>
  </si>
  <si>
    <t>Periodicidade</t>
  </si>
  <si>
    <t>Dias Úteis Estimados</t>
  </si>
  <si>
    <t>Horas</t>
  </si>
  <si>
    <t>Quantidade - Horas/Posto/M2</t>
  </si>
  <si>
    <t>Valor M2</t>
  </si>
  <si>
    <t>REMUNERAÇÃO</t>
  </si>
  <si>
    <t>Encargos Sociais e Trabalhistas</t>
  </si>
  <si>
    <t>Benefícios</t>
  </si>
  <si>
    <t>Vale Transporte</t>
  </si>
  <si>
    <t>Materiais</t>
  </si>
  <si>
    <t>Valor Total Mensal Unitário</t>
  </si>
  <si>
    <t>BDI</t>
  </si>
  <si>
    <t xml:space="preserve">Valor Total Unitário com BDI
</t>
  </si>
  <si>
    <t xml:space="preserve">Valor Total Mensal
</t>
  </si>
  <si>
    <t xml:space="preserve">Mês de inicio da Prestação do Serviço
</t>
  </si>
  <si>
    <t xml:space="preserve">Valor Total período contratual
</t>
  </si>
  <si>
    <t>Valor Total Mensal Remuneração</t>
  </si>
  <si>
    <t xml:space="preserve">Valor Mensal a Contigenciar </t>
  </si>
  <si>
    <t xml:space="preserve">Desconto - Falta sem reposição (por funcionário)
</t>
  </si>
  <si>
    <t xml:space="preserve">Desconto - Dia útil não trabalhado (por funcionário)
</t>
  </si>
  <si>
    <t xml:space="preserve">Desconto Mensal - Benefício Assiduidade (por funcionário)
</t>
  </si>
  <si>
    <t>Fórmulas</t>
  </si>
  <si>
    <t>1. Desconto por ausência - posto mensal</t>
  </si>
  <si>
    <t>5. Cálculo para o serviço de limpeza/encarregado - plantonista - domingos e feriados</t>
  </si>
  <si>
    <r>
      <rPr>
        <b/>
        <sz val="9"/>
        <color theme="1"/>
        <rFont val="Calibri"/>
        <family val="2"/>
        <scheme val="minor"/>
      </rPr>
      <t>Valor do desconto =</t>
    </r>
    <r>
      <rPr>
        <sz val="9"/>
        <color theme="1"/>
        <rFont val="Calibri"/>
        <family val="2"/>
        <scheme val="minor"/>
      </rPr>
      <t xml:space="preserve"> (valor unitário mensal) / dias úteis (estimados por mês de acordo com a função estabelecida na tabela de remuneração)</t>
    </r>
  </si>
  <si>
    <r>
      <rPr>
        <b/>
        <sz val="9"/>
        <color theme="1"/>
        <rFont val="Calibri"/>
        <family val="2"/>
        <scheme val="minor"/>
      </rPr>
      <t>[Valor da Hora]</t>
    </r>
    <r>
      <rPr>
        <sz val="9"/>
        <color theme="1"/>
        <rFont val="Calibri"/>
        <family val="2"/>
        <scheme val="minor"/>
      </rPr>
      <t xml:space="preserve">=(Valor do Salário Base) / 220 * (1+100%) </t>
    </r>
  </si>
  <si>
    <r>
      <rPr>
        <b/>
        <sz val="9"/>
        <color theme="1"/>
        <rFont val="Calibri"/>
        <family val="2"/>
        <scheme val="minor"/>
      </rPr>
      <t>[Valor dos encargos trabalhistas]</t>
    </r>
    <r>
      <rPr>
        <sz val="9"/>
        <color theme="1"/>
        <rFont val="Calibri"/>
        <family val="2"/>
        <scheme val="minor"/>
      </rPr>
      <t>=(Valor da Hora)*%Encargos Trabalhistas</t>
    </r>
  </si>
  <si>
    <t>2. Desconto por ausência - plantão mensal</t>
  </si>
  <si>
    <r>
      <rPr>
        <b/>
        <sz val="9"/>
        <color theme="1"/>
        <rFont val="Calibri"/>
        <family val="2"/>
        <scheme val="minor"/>
      </rPr>
      <t>[Vale Refeição]</t>
    </r>
    <r>
      <rPr>
        <sz val="9"/>
        <color theme="1"/>
        <rFont val="Calibri"/>
        <family val="2"/>
        <scheme val="minor"/>
      </rPr>
      <t>=[(Valor do Vale Refeição)-(Dedução do funcionário)] * 6 (nº de domingos e feriados estimados no mês)</t>
    </r>
  </si>
  <si>
    <r>
      <rPr>
        <b/>
        <sz val="9"/>
        <color theme="1"/>
        <rFont val="Calibri"/>
        <family val="2"/>
        <scheme val="minor"/>
      </rPr>
      <t>Valor do desconto =</t>
    </r>
    <r>
      <rPr>
        <sz val="9"/>
        <color theme="1"/>
        <rFont val="Calibri"/>
        <family val="2"/>
        <scheme val="minor"/>
      </rPr>
      <t xml:space="preserve"> (valor unitário mensal) / (dias estimados por mês) </t>
    </r>
  </si>
  <si>
    <r>
      <rPr>
        <b/>
        <sz val="9"/>
        <color theme="1"/>
        <rFont val="Calibri"/>
        <family val="2"/>
        <scheme val="minor"/>
      </rPr>
      <t>[Vale Transporte]</t>
    </r>
    <r>
      <rPr>
        <sz val="9"/>
        <color theme="1"/>
        <rFont val="Calibri"/>
        <family val="2"/>
        <scheme val="minor"/>
      </rPr>
      <t>=(Valor do Vale Transporte ida e volta) *6 (nº de domingos e feriados estimados no mês)</t>
    </r>
  </si>
  <si>
    <r>
      <rPr>
        <b/>
        <sz val="9"/>
        <color theme="1"/>
        <rFont val="Calibri"/>
        <family val="2"/>
        <scheme val="minor"/>
      </rPr>
      <t>[Valor do BDI]</t>
    </r>
    <r>
      <rPr>
        <sz val="9"/>
        <color theme="1"/>
        <rFont val="Calibri"/>
        <family val="2"/>
        <scheme val="minor"/>
      </rPr>
      <t>=[(Valor da Hora)+(Valor dos encargos trabalhistas)+(Vale Refeição)+(Vale Transporte)] * % do BDI</t>
    </r>
  </si>
  <si>
    <t>3. Desconto dia útil não trabalhado</t>
  </si>
  <si>
    <r>
      <rPr>
        <b/>
        <sz val="9"/>
        <color theme="1"/>
        <rFont val="Calibri"/>
        <family val="2"/>
        <scheme val="minor"/>
      </rPr>
      <t>[Valor Unitário p/ jornada de 5 horas]</t>
    </r>
    <r>
      <rPr>
        <sz val="9"/>
        <color theme="1"/>
        <rFont val="Calibri"/>
        <family val="2"/>
        <scheme val="minor"/>
      </rPr>
      <t xml:space="preserve"> = [(Valor da Hora)*5*6]+(Valor dos encargos trabalhistas)+(Vale Refeição)+(Vale Transporte) + (Valor do BDI)</t>
    </r>
  </si>
  <si>
    <t xml:space="preserve">Valor do desconto A = </t>
  </si>
  <si>
    <t>(Valor do vale alimentação - valor da dedução) / dias úteis</t>
  </si>
  <si>
    <t>{[(Valor do vale transporte - ida e volta)* dias úteis] - [(Valor do salário base * 6%)] }/ dias úteis +</t>
  </si>
  <si>
    <t>6. Cálculo para o serviço de limpeza/encarregado - plantonista - sábados ou domingos</t>
  </si>
  <si>
    <t>(Valor dos materiais e sua depreciação) / dias úteis +</t>
  </si>
  <si>
    <r>
      <rPr>
        <b/>
        <sz val="9"/>
        <color theme="1"/>
        <rFont val="Calibri"/>
        <family val="2"/>
        <scheme val="minor"/>
      </rPr>
      <t>[Valor da Hora]</t>
    </r>
    <r>
      <rPr>
        <sz val="9"/>
        <color theme="1"/>
        <rFont val="Calibri"/>
        <family val="2"/>
        <scheme val="minor"/>
      </rPr>
      <t xml:space="preserve">=(Valor do Salário Base) / 220 * (1+50%) </t>
    </r>
  </si>
  <si>
    <t xml:space="preserve">(Valor da Remuneração) * (% Custo de reposição por ausências legais) </t>
  </si>
  <si>
    <t xml:space="preserve">Valor do desconto B = </t>
  </si>
  <si>
    <t>(Valor do desconto A) * (% do BDI)</t>
  </si>
  <si>
    <r>
      <rPr>
        <b/>
        <sz val="9"/>
        <color theme="1"/>
        <rFont val="Calibri"/>
        <family val="2"/>
        <scheme val="minor"/>
      </rPr>
      <t>[Vale Refeição]</t>
    </r>
    <r>
      <rPr>
        <sz val="9"/>
        <color theme="1"/>
        <rFont val="Calibri"/>
        <family val="2"/>
        <scheme val="minor"/>
      </rPr>
      <t>=[(Valor do Vale Refeição)-(Dedução do funcionário)] * 5 (nº de sábados estimados no mês)</t>
    </r>
  </si>
  <si>
    <t>Valor Total do desconto =</t>
  </si>
  <si>
    <t>(Valor do desconto A) +(Valor do desconto B)</t>
  </si>
  <si>
    <r>
      <rPr>
        <b/>
        <sz val="9"/>
        <color theme="1"/>
        <rFont val="Calibri"/>
        <family val="2"/>
        <scheme val="minor"/>
      </rPr>
      <t>[Vale Transporte]</t>
    </r>
    <r>
      <rPr>
        <sz val="9"/>
        <color theme="1"/>
        <rFont val="Calibri"/>
        <family val="2"/>
        <scheme val="minor"/>
      </rPr>
      <t>=(Valor do Vale Transporte ida e volta) *5 (nº de sábados estimados no mês)</t>
    </r>
  </si>
  <si>
    <r>
      <rPr>
        <b/>
        <sz val="9"/>
        <color theme="1"/>
        <rFont val="Calibri"/>
        <family val="2"/>
        <scheme val="minor"/>
      </rPr>
      <t>[Valor Unitário p/ jornada de 5 horas]</t>
    </r>
    <r>
      <rPr>
        <sz val="9"/>
        <color theme="1"/>
        <rFont val="Calibri"/>
        <family val="2"/>
        <scheme val="minor"/>
      </rPr>
      <t xml:space="preserve"> = [(Valor da Hora)*5*5]+(Valor dos encargos trabalhistas)+(Vale Refeição)+(Vale Transporte) + (Valor do BDI)</t>
    </r>
  </si>
  <si>
    <r>
      <rPr>
        <b/>
        <sz val="9"/>
        <color theme="1"/>
        <rFont val="Calibri"/>
        <family val="2"/>
        <scheme val="minor"/>
      </rPr>
      <t>[Valor Unitário p/ jornada de 8 horas]</t>
    </r>
    <r>
      <rPr>
        <sz val="9"/>
        <color theme="1"/>
        <rFont val="Calibri"/>
        <family val="2"/>
        <scheme val="minor"/>
      </rPr>
      <t xml:space="preserve"> = [(Valor da Hora)*8*5]+(Valor dos encargos trabalhistas)+(Vale Refeição)+(Vale Transporte) + (Valor do BDI)</t>
    </r>
  </si>
  <si>
    <t>QUADRO RESUMO</t>
  </si>
  <si>
    <t>Quantidade</t>
  </si>
  <si>
    <t>Remuneração Mensal *</t>
  </si>
  <si>
    <t xml:space="preserve">Valor Total </t>
  </si>
  <si>
    <t>TOTAL</t>
  </si>
  <si>
    <t>* Remuneração mensal para cálculo do contingenciamento de encargos trabalhistas</t>
  </si>
  <si>
    <t>A</t>
  </si>
  <si>
    <t>Total da Mão de Obra (remuneração Mensal)</t>
  </si>
  <si>
    <t>B</t>
  </si>
  <si>
    <t>C</t>
  </si>
  <si>
    <t>D</t>
  </si>
  <si>
    <t>F</t>
  </si>
  <si>
    <t>Incidência de encargos trabalhistas: percentual total do Módulo I s/ os itens A,B, C e D</t>
  </si>
  <si>
    <t>G</t>
  </si>
  <si>
    <t>Valor total mensal a contingenciar</t>
  </si>
  <si>
    <t>CRONOGRAMA FÍSICO FINANCEIRO</t>
  </si>
  <si>
    <t>Mês</t>
  </si>
  <si>
    <t>Total Mensal Contratação</t>
  </si>
  <si>
    <t>Total Mensal Remuneração</t>
  </si>
  <si>
    <t>Total Mensal Contingenciamento</t>
  </si>
  <si>
    <t>Mensal</t>
  </si>
  <si>
    <t>Trimestral</t>
  </si>
  <si>
    <t>Anual</t>
  </si>
  <si>
    <t>Total Geral</t>
  </si>
  <si>
    <t>Localidade:</t>
  </si>
  <si>
    <t>Araraquara I - Fórum Principal</t>
  </si>
  <si>
    <t/>
  </si>
  <si>
    <t>Município</t>
  </si>
  <si>
    <t>São Paulo - Palácio da Justiça</t>
  </si>
  <si>
    <t>Desoneração da folha</t>
  </si>
  <si>
    <t>DADOS DA FUNÇÃO</t>
  </si>
  <si>
    <t>Qtde</t>
  </si>
  <si>
    <t>PLANILHA DE FORMAÇÃO DE PREÇOS</t>
  </si>
  <si>
    <t>Módulo I - Mão de obra  (remuneração)</t>
  </si>
  <si>
    <t>Valor "R$"</t>
  </si>
  <si>
    <t>Salário base Mensal</t>
  </si>
  <si>
    <t>Periculosidade</t>
  </si>
  <si>
    <t>Noturno</t>
  </si>
  <si>
    <t>Insalubridade</t>
  </si>
  <si>
    <t>Acumulo de Função</t>
  </si>
  <si>
    <t>Hora Extra</t>
  </si>
  <si>
    <t>Total  de Mão de Obra (remuneração)</t>
  </si>
  <si>
    <t>ENCARGOS PREVIDENCIÁRIOS E TRABALHISTAS</t>
  </si>
  <si>
    <t>Módulo II - Encargos previdenciários e FGTS</t>
  </si>
  <si>
    <t>Módulo III - 13º Salário e Adicional de Férias</t>
  </si>
  <si>
    <t>Módulo IV - Afastamento Maternidade</t>
  </si>
  <si>
    <t>Módulo V - Provisão para Rescisão</t>
  </si>
  <si>
    <t>Módulo VI - Multa de FGTS e Contribuição Social</t>
  </si>
  <si>
    <t>Módulo VII - Custo de Reposição do Profissional Ausente</t>
  </si>
  <si>
    <t>Total Módulo VII</t>
  </si>
  <si>
    <t>Módulo VIII - Insumos e Obrigações Decorrentes de Convenção Coletiva</t>
  </si>
  <si>
    <t>Diário</t>
  </si>
  <si>
    <t>Dias úteis estimados no mês</t>
  </si>
  <si>
    <t>Dedução</t>
  </si>
  <si>
    <t xml:space="preserve">Vale Refeição </t>
  </si>
  <si>
    <t>Assistência Médica</t>
  </si>
  <si>
    <t>Norma Regulamentadora nº 7</t>
  </si>
  <si>
    <t>Seguro de Vida</t>
  </si>
  <si>
    <t>Uniformes e EPIs</t>
  </si>
  <si>
    <t>Outros</t>
  </si>
  <si>
    <t>Total Módulo VIII</t>
  </si>
  <si>
    <t>Módulo IX - Materiais e Equipamentos</t>
  </si>
  <si>
    <t>Materiais de limpeza/equipamentos</t>
  </si>
  <si>
    <t>Total Módulo IX</t>
  </si>
  <si>
    <t>Custo Total - Módulo  I ao IX</t>
  </si>
  <si>
    <t>Módulo X - Benefícios e Despesas Indiretas (BDI)</t>
  </si>
  <si>
    <t>Valor R$</t>
  </si>
  <si>
    <t>Despesas Administrativas/indiretas</t>
  </si>
  <si>
    <t>Lucro Bruto</t>
  </si>
  <si>
    <t>Desoneração da Folha</t>
  </si>
  <si>
    <t>Total BDI</t>
  </si>
  <si>
    <t>Valor hora do profissional (Preço total mensal / 220)</t>
  </si>
  <si>
    <t>Valor de desconto por falta sem reposição (integral)</t>
  </si>
  <si>
    <t>TOTAL DE DESCONTO POR DIA ÚTIL NÃO TRABALHADO</t>
  </si>
  <si>
    <t>Item</t>
  </si>
  <si>
    <t>Valor Dia R$</t>
  </si>
  <si>
    <t>Vale alimentação</t>
  </si>
  <si>
    <t>Vale transporte</t>
  </si>
  <si>
    <t>Materiais e sua depreciação</t>
  </si>
  <si>
    <t>Custo de reposição por ausências legais + encargos sociais</t>
  </si>
  <si>
    <t>Subtotal</t>
  </si>
  <si>
    <t>Benefícios e Despesas Indiretas (BDI)</t>
  </si>
  <si>
    <t>Total de desconto individual por dia</t>
  </si>
  <si>
    <t>Localidade</t>
  </si>
  <si>
    <t>Dias Estimados</t>
  </si>
  <si>
    <t>Adicionais</t>
  </si>
  <si>
    <t>Hora Extra - Plantão</t>
  </si>
  <si>
    <t>Remuneração Total</t>
  </si>
  <si>
    <t>Valor Total s/BDI</t>
  </si>
  <si>
    <t>Valor Total</t>
  </si>
  <si>
    <t>Encargos Sociais</t>
  </si>
  <si>
    <t>Vale refeição</t>
  </si>
  <si>
    <t>Total Benefícios</t>
  </si>
  <si>
    <t>Auxiliar de limpeza - diurno - 44 horas semanais (segunda a sexta-feira)</t>
  </si>
  <si>
    <t>Posto</t>
  </si>
  <si>
    <t>Auxiliar de limpeza - diurno - 24 horas  semanais</t>
  </si>
  <si>
    <t>Serviço de limpeza - plantonista - domingos e feriados (5 horas)</t>
  </si>
  <si>
    <t>Plantão - Dom/Fer</t>
  </si>
  <si>
    <t>Serviço de Jardinagem</t>
  </si>
  <si>
    <t>M2</t>
  </si>
  <si>
    <t>Serviço de limpeza de vidros com exposição à situação de risco</t>
  </si>
  <si>
    <t>Auxiliar de limpeza área médica - diurno - 44 horas semanais</t>
  </si>
  <si>
    <t>Serviço de limpeza de vidros sem exposição à situação de risco</t>
  </si>
  <si>
    <t>Auxiliar de limpeza - diurno - 44 horas semanais (segunda a sábado)</t>
  </si>
  <si>
    <t>Agente de Higienização (Tempo Integral) - (40%) - 44 horas semanais</t>
  </si>
  <si>
    <t>Encarregado(a) 11 ou mais subordinados - diurno - 44 horas semanais</t>
  </si>
  <si>
    <t>Adamantina</t>
  </si>
  <si>
    <t>Aguaí</t>
  </si>
  <si>
    <t>Águas de Lindóia</t>
  </si>
  <si>
    <t>Agudos</t>
  </si>
  <si>
    <t>Altinópolis</t>
  </si>
  <si>
    <t>Americana</t>
  </si>
  <si>
    <t>Américo Brasiliense</t>
  </si>
  <si>
    <t>Amparo</t>
  </si>
  <si>
    <t>Andradina</t>
  </si>
  <si>
    <t>Angatuba</t>
  </si>
  <si>
    <t>Aparecida</t>
  </si>
  <si>
    <t>Apiaí</t>
  </si>
  <si>
    <t>Araçatuba</t>
  </si>
  <si>
    <t>Araraquara</t>
  </si>
  <si>
    <t>Araras</t>
  </si>
  <si>
    <t>Artur Nogueira</t>
  </si>
  <si>
    <t>Arujá</t>
  </si>
  <si>
    <t>Assis</t>
  </si>
  <si>
    <t>Atibaia</t>
  </si>
  <si>
    <t>Auriflama</t>
  </si>
  <si>
    <t>Avaré</t>
  </si>
  <si>
    <t>Bananal</t>
  </si>
  <si>
    <t>Bariri</t>
  </si>
  <si>
    <t>Barra Bonita</t>
  </si>
  <si>
    <t>Barretos</t>
  </si>
  <si>
    <t>Barueri</t>
  </si>
  <si>
    <t>Bastos</t>
  </si>
  <si>
    <t>Batatais</t>
  </si>
  <si>
    <t>Bauru</t>
  </si>
  <si>
    <t>Bebedouro</t>
  </si>
  <si>
    <t>Bertioga</t>
  </si>
  <si>
    <t>Bilac</t>
  </si>
  <si>
    <t>Birigui</t>
  </si>
  <si>
    <t>Boituva</t>
  </si>
  <si>
    <t>Borborema</t>
  </si>
  <si>
    <t>Botucatu</t>
  </si>
  <si>
    <t>Bragança Paulista</t>
  </si>
  <si>
    <t>Brodowski</t>
  </si>
  <si>
    <t>Brotas</t>
  </si>
  <si>
    <t>Buri</t>
  </si>
  <si>
    <t>Buritama</t>
  </si>
  <si>
    <t>Cabreúva</t>
  </si>
  <si>
    <t>Caçapava</t>
  </si>
  <si>
    <t>Cachoeira Paulista</t>
  </si>
  <si>
    <t>Caconde</t>
  </si>
  <si>
    <t>Cafelândia</t>
  </si>
  <si>
    <t>Caieiras</t>
  </si>
  <si>
    <t>Cajamar</t>
  </si>
  <si>
    <t>Cajuru</t>
  </si>
  <si>
    <t>Campinas</t>
  </si>
  <si>
    <t>Campo Limpo Paulista</t>
  </si>
  <si>
    <t>Campos do Jordão</t>
  </si>
  <si>
    <t>Cananéia</t>
  </si>
  <si>
    <t>Cândido Mota</t>
  </si>
  <si>
    <t>Capão Bonito</t>
  </si>
  <si>
    <t>Capivari</t>
  </si>
  <si>
    <t>Caraguatatuba</t>
  </si>
  <si>
    <t>Carapicuíba</t>
  </si>
  <si>
    <t>Cardoso</t>
  </si>
  <si>
    <t>Casa Branca</t>
  </si>
  <si>
    <t>Catanduva</t>
  </si>
  <si>
    <t>Cerquilho</t>
  </si>
  <si>
    <t>Cesário Lange</t>
  </si>
  <si>
    <t>Chavantes</t>
  </si>
  <si>
    <t>Colina</t>
  </si>
  <si>
    <t>Conchal</t>
  </si>
  <si>
    <t>Conchas</t>
  </si>
  <si>
    <t>Cordeirópolis</t>
  </si>
  <si>
    <t>Cosmópolis</t>
  </si>
  <si>
    <t>Cotia</t>
  </si>
  <si>
    <t>Cravinhos</t>
  </si>
  <si>
    <t>Cruzeiro</t>
  </si>
  <si>
    <t>Cubatão</t>
  </si>
  <si>
    <t>Cunha</t>
  </si>
  <si>
    <t>Descalvado</t>
  </si>
  <si>
    <t>Diadema</t>
  </si>
  <si>
    <t>Dois Córregos</t>
  </si>
  <si>
    <t>Dracena</t>
  </si>
  <si>
    <t>Duartina</t>
  </si>
  <si>
    <t>Eldorado</t>
  </si>
  <si>
    <t>Embu das Artes</t>
  </si>
  <si>
    <t>Embu-Guaçu</t>
  </si>
  <si>
    <t>Espírito Santo do Pinhal</t>
  </si>
  <si>
    <t>Fartura</t>
  </si>
  <si>
    <t>Fernandópolis</t>
  </si>
  <si>
    <t>Ferraz de Vasconcelos</t>
  </si>
  <si>
    <t>Flórida Paulista</t>
  </si>
  <si>
    <t>Franca</t>
  </si>
  <si>
    <t>Francisco Morato</t>
  </si>
  <si>
    <t>Franco da Rocha</t>
  </si>
  <si>
    <t>Gália</t>
  </si>
  <si>
    <t>Garça</t>
  </si>
  <si>
    <t>General Salgado</t>
  </si>
  <si>
    <t>Getulina</t>
  </si>
  <si>
    <t>Guaíra</t>
  </si>
  <si>
    <t>Guará</t>
  </si>
  <si>
    <t>Guararapes</t>
  </si>
  <si>
    <t>Guararema</t>
  </si>
  <si>
    <t>Guaratinguetá</t>
  </si>
  <si>
    <t>Guariba</t>
  </si>
  <si>
    <t>Guarujá</t>
  </si>
  <si>
    <t>Guarulhos</t>
  </si>
  <si>
    <t>Hortolândia</t>
  </si>
  <si>
    <t>Iacanga</t>
  </si>
  <si>
    <t>Ibaté</t>
  </si>
  <si>
    <t>Ibitinga</t>
  </si>
  <si>
    <t>Ibiúna</t>
  </si>
  <si>
    <t>Iepê</t>
  </si>
  <si>
    <t>Igarapava</t>
  </si>
  <si>
    <t>Iguape</t>
  </si>
  <si>
    <t>Ilha Solteira</t>
  </si>
  <si>
    <t>Ilhabela</t>
  </si>
  <si>
    <t>Indaiatuba</t>
  </si>
  <si>
    <t>Ipaussu</t>
  </si>
  <si>
    <t>Ipuã</t>
  </si>
  <si>
    <t>Itaberá</t>
  </si>
  <si>
    <t>Itaí</t>
  </si>
  <si>
    <t>Itajobi</t>
  </si>
  <si>
    <t>Itanhaém</t>
  </si>
  <si>
    <t>Itapecerica da Serra</t>
  </si>
  <si>
    <t>Itapetininga</t>
  </si>
  <si>
    <t>Itapeva</t>
  </si>
  <si>
    <t>Itapevi</t>
  </si>
  <si>
    <t>Itapira</t>
  </si>
  <si>
    <t>Itápolis</t>
  </si>
  <si>
    <t>Itaporanga</t>
  </si>
  <si>
    <t>Itaquaquecetuba</t>
  </si>
  <si>
    <t>Itararé</t>
  </si>
  <si>
    <t>Itariri</t>
  </si>
  <si>
    <t>Itatiba</t>
  </si>
  <si>
    <t>Itatinga</t>
  </si>
  <si>
    <t>Itirapina</t>
  </si>
  <si>
    <t>Itu</t>
  </si>
  <si>
    <t>Itupeva</t>
  </si>
  <si>
    <t>Ituverava</t>
  </si>
  <si>
    <t>Jaboticabal</t>
  </si>
  <si>
    <t>Jacareí</t>
  </si>
  <si>
    <t>Jacupiranga</t>
  </si>
  <si>
    <t>Jaguariúna</t>
  </si>
  <si>
    <t>Jales</t>
  </si>
  <si>
    <t>Jandira</t>
  </si>
  <si>
    <t>Jardinópolis</t>
  </si>
  <si>
    <t>Jarinu</t>
  </si>
  <si>
    <t>Jaú</t>
  </si>
  <si>
    <t>José Bonifácio</t>
  </si>
  <si>
    <t>Jundiaí</t>
  </si>
  <si>
    <t>Junqueirópolis</t>
  </si>
  <si>
    <t>Juquiá</t>
  </si>
  <si>
    <t>Laranjal Paulista</t>
  </si>
  <si>
    <t>Leme</t>
  </si>
  <si>
    <t>Lençóis Paulista</t>
  </si>
  <si>
    <t>Limeira</t>
  </si>
  <si>
    <t>Lins</t>
  </si>
  <si>
    <t>Lorena</t>
  </si>
  <si>
    <t>Louveira</t>
  </si>
  <si>
    <t>Lucélia</t>
  </si>
  <si>
    <t>Macatuba</t>
  </si>
  <si>
    <t>Macaubal</t>
  </si>
  <si>
    <t>Mairinque</t>
  </si>
  <si>
    <t>Mairiporã</t>
  </si>
  <si>
    <t>Maracaí</t>
  </si>
  <si>
    <t>Marília</t>
  </si>
  <si>
    <t>Martinópolis</t>
  </si>
  <si>
    <t>Matão</t>
  </si>
  <si>
    <t>Mauá</t>
  </si>
  <si>
    <t>Miguelópolis</t>
  </si>
  <si>
    <t>Miracatu</t>
  </si>
  <si>
    <t>Mirandópolis</t>
  </si>
  <si>
    <t>Mirante do Paranapanema</t>
  </si>
  <si>
    <t>Mirassol</t>
  </si>
  <si>
    <t>Mococa</t>
  </si>
  <si>
    <t>Mogi das Cruzes</t>
  </si>
  <si>
    <t>Mogi Guaçu</t>
  </si>
  <si>
    <t>Mogi Mirim</t>
  </si>
  <si>
    <t>Mongaguá</t>
  </si>
  <si>
    <t>Monte Alto</t>
  </si>
  <si>
    <t>Monte Aprazível</t>
  </si>
  <si>
    <t>Monte Azul Paulista</t>
  </si>
  <si>
    <t>Monte Mor</t>
  </si>
  <si>
    <t>Morro Agudo</t>
  </si>
  <si>
    <t>Nazaré Paulista</t>
  </si>
  <si>
    <t>Neves Paulista</t>
  </si>
  <si>
    <t>Nhandeara</t>
  </si>
  <si>
    <t>Nova Granada</t>
  </si>
  <si>
    <t>Nova Odessa</t>
  </si>
  <si>
    <t>Novo Horizonte</t>
  </si>
  <si>
    <t>Nuporanga</t>
  </si>
  <si>
    <t>Olímpia</t>
  </si>
  <si>
    <t>Orlândia</t>
  </si>
  <si>
    <t>Osasco</t>
  </si>
  <si>
    <t>Osvaldo Cruz</t>
  </si>
  <si>
    <t>Ourinhos</t>
  </si>
  <si>
    <t>Ouroeste</t>
  </si>
  <si>
    <t>Pacaembu</t>
  </si>
  <si>
    <t>Palestina</t>
  </si>
  <si>
    <t>Palmital</t>
  </si>
  <si>
    <t>Panorama</t>
  </si>
  <si>
    <t>Paraguaçu Paulista</t>
  </si>
  <si>
    <t>Paraibuna</t>
  </si>
  <si>
    <t>Paranapanema</t>
  </si>
  <si>
    <t>Pariquera-Açu</t>
  </si>
  <si>
    <t>Patrocínio Paulista</t>
  </si>
  <si>
    <t>Paulínia</t>
  </si>
  <si>
    <t>Paulo de Faria</t>
  </si>
  <si>
    <t>Pederneiras</t>
  </si>
  <si>
    <t>Pedregulho</t>
  </si>
  <si>
    <t>Pedreira</t>
  </si>
  <si>
    <t>Penápolis</t>
  </si>
  <si>
    <t>Pereira Barreto</t>
  </si>
  <si>
    <t>Peruíbe</t>
  </si>
  <si>
    <t>Piedade</t>
  </si>
  <si>
    <t>Pilar do Sul</t>
  </si>
  <si>
    <t>Pindamonhangaba</t>
  </si>
  <si>
    <t>Pinhalzinho</t>
  </si>
  <si>
    <t>Piquete</t>
  </si>
  <si>
    <t>Piracaia</t>
  </si>
  <si>
    <t>Piracicaba</t>
  </si>
  <si>
    <t>Piraju</t>
  </si>
  <si>
    <t>Pirajuí</t>
  </si>
  <si>
    <t>Pirangi</t>
  </si>
  <si>
    <t>Pirapozinho</t>
  </si>
  <si>
    <t>Pirassununga</t>
  </si>
  <si>
    <t>Piratininga</t>
  </si>
  <si>
    <t>Pitangueiras</t>
  </si>
  <si>
    <t>Poá</t>
  </si>
  <si>
    <t>Pompéia</t>
  </si>
  <si>
    <t>Pontal</t>
  </si>
  <si>
    <t>Porangaba</t>
  </si>
  <si>
    <t>Porto Feliz</t>
  </si>
  <si>
    <t>Porto Ferreira</t>
  </si>
  <si>
    <t>Potirendaba</t>
  </si>
  <si>
    <t>Praia Grande</t>
  </si>
  <si>
    <t>Presidente Bernardes</t>
  </si>
  <si>
    <t>Presidente Epitácio</t>
  </si>
  <si>
    <t>Presidente Prudente</t>
  </si>
  <si>
    <t>Presidente Venceslau</t>
  </si>
  <si>
    <t>Promissão</t>
  </si>
  <si>
    <t>Quatá</t>
  </si>
  <si>
    <t>Queluz</t>
  </si>
  <si>
    <t>Rancharia</t>
  </si>
  <si>
    <t>Regente Feijó</t>
  </si>
  <si>
    <t>Registro</t>
  </si>
  <si>
    <t>Ribeirão Bonito</t>
  </si>
  <si>
    <t>Ribeirão Pires</t>
  </si>
  <si>
    <t>Ribeirão Preto</t>
  </si>
  <si>
    <t>Rio Claro</t>
  </si>
  <si>
    <t>Rio das Pedras</t>
  </si>
  <si>
    <t>Rio Grande da Serra</t>
  </si>
  <si>
    <t>Rosana</t>
  </si>
  <si>
    <t>Roseira</t>
  </si>
  <si>
    <t>Salesópolis</t>
  </si>
  <si>
    <t>Salto</t>
  </si>
  <si>
    <t>Salto de Pirapora</t>
  </si>
  <si>
    <t>Santa Adélia</t>
  </si>
  <si>
    <t>Santa Branca</t>
  </si>
  <si>
    <t>Santa Cruz das Palmeiras</t>
  </si>
  <si>
    <t>Santa Cruz do Rio Pardo</t>
  </si>
  <si>
    <t>Santa Fé do Sul</t>
  </si>
  <si>
    <t>Santa Isabel</t>
  </si>
  <si>
    <t>Santa Rita do Passa Quatro</t>
  </si>
  <si>
    <t>Santana de Parnaíba</t>
  </si>
  <si>
    <t>Santo Anastácio</t>
  </si>
  <si>
    <t>Santo André</t>
  </si>
  <si>
    <t>Santos</t>
  </si>
  <si>
    <t>São Bento do Sapucaí</t>
  </si>
  <si>
    <t>São Bernardo do Campo</t>
  </si>
  <si>
    <t>São Caetano do Sul</t>
  </si>
  <si>
    <t>São Carlos</t>
  </si>
  <si>
    <t>São João da Boa Vista</t>
  </si>
  <si>
    <t>São Joaquim da Barra</t>
  </si>
  <si>
    <t>São José do Rio Pardo</t>
  </si>
  <si>
    <t>São José do Rio Preto</t>
  </si>
  <si>
    <t>São José dos Campos</t>
  </si>
  <si>
    <t>São Luiz do Paraitinga</t>
  </si>
  <si>
    <t>São Manuel</t>
  </si>
  <si>
    <t>São Miguel Arcanjo</t>
  </si>
  <si>
    <t>São Paulo</t>
  </si>
  <si>
    <t>São Pedro</t>
  </si>
  <si>
    <t>São Roque</t>
  </si>
  <si>
    <t>São Sebastião</t>
  </si>
  <si>
    <t>São Sebastião da Grama</t>
  </si>
  <si>
    <t>São Simão</t>
  </si>
  <si>
    <t>São Vicente</t>
  </si>
  <si>
    <t>Serra Negra</t>
  </si>
  <si>
    <t>Serrana</t>
  </si>
  <si>
    <t>Sertãozinho</t>
  </si>
  <si>
    <t>Socorro</t>
  </si>
  <si>
    <t>Sorocaba</t>
  </si>
  <si>
    <t>Sumaré</t>
  </si>
  <si>
    <t>Suzano</t>
  </si>
  <si>
    <t>Tabapuã</t>
  </si>
  <si>
    <t>Taboão da Serra</t>
  </si>
  <si>
    <t>Tambaú</t>
  </si>
  <si>
    <t>Tanabi</t>
  </si>
  <si>
    <t>Taquaritinga</t>
  </si>
  <si>
    <t>Taquarituba</t>
  </si>
  <si>
    <t>Tatuí</t>
  </si>
  <si>
    <t>Taubaté</t>
  </si>
  <si>
    <t>Teodoro Sampaio</t>
  </si>
  <si>
    <t>Tietê</t>
  </si>
  <si>
    <t>Tremembé</t>
  </si>
  <si>
    <t>Tupã</t>
  </si>
  <si>
    <t>Tupi Paulista</t>
  </si>
  <si>
    <t>Ubatuba</t>
  </si>
  <si>
    <t>Urânia</t>
  </si>
  <si>
    <t>Urupês</t>
  </si>
  <si>
    <t>Valinhos</t>
  </si>
  <si>
    <t>Valparaíso</t>
  </si>
  <si>
    <t>Vargem Grande do Sul</t>
  </si>
  <si>
    <t>Vargem Grande Paulista</t>
  </si>
  <si>
    <t>Várzea Paulista</t>
  </si>
  <si>
    <t>Vinhedo</t>
  </si>
  <si>
    <t>Viradouro</t>
  </si>
  <si>
    <t>Votorantim</t>
  </si>
  <si>
    <t>Votuporanga</t>
  </si>
  <si>
    <t>Código Imóvel</t>
  </si>
  <si>
    <t>Código SGI</t>
  </si>
  <si>
    <t>RAJ</t>
  </si>
  <si>
    <t>CJ</t>
  </si>
  <si>
    <t>Denominação do imóvel</t>
  </si>
  <si>
    <t>Característica do imóvel / espaço</t>
  </si>
  <si>
    <t>Uso principal do local</t>
  </si>
  <si>
    <t>RAJ 1</t>
  </si>
  <si>
    <t>00ª CJ - Capital</t>
  </si>
  <si>
    <t>São Paulo  - Fórum Regional II - Santo Amaro - Nações Unidas</t>
  </si>
  <si>
    <t>Edificação</t>
  </si>
  <si>
    <t>Fórum</t>
  </si>
  <si>
    <t>RAJ 5</t>
  </si>
  <si>
    <t>27ª CJ - Presidente Prudente</t>
  </si>
  <si>
    <t>Presidente Prudente III - Unidade(s) Administrativa(s) + DEECRIM + Depósito + Arquivo / Acervo + Almoxarifado + Psicossocial</t>
  </si>
  <si>
    <t>Unidade(s) Administrativa(s)</t>
  </si>
  <si>
    <t>RAJ 4</t>
  </si>
  <si>
    <t>11ª CJ - Pirassununga</t>
  </si>
  <si>
    <t>Leme I - Fórum Principal</t>
  </si>
  <si>
    <t>Leme II - JEC / JECRIM + Arquivo / Acervo</t>
  </si>
  <si>
    <t>JEC / JECRIM</t>
  </si>
  <si>
    <t>RAJ 8</t>
  </si>
  <si>
    <t>18ª CJ - Fernandópolis</t>
  </si>
  <si>
    <t>Fernandópolis I - Fórum Principal</t>
  </si>
  <si>
    <t>Fernandópolis IV - Psicossocial</t>
  </si>
  <si>
    <t>Psicossocial</t>
  </si>
  <si>
    <t>34ª CJ - Piracicaba</t>
  </si>
  <si>
    <t>Capivari I - Fórum Execuções fiscais</t>
  </si>
  <si>
    <t>Cerquilho I - Fórum Principal</t>
  </si>
  <si>
    <t>26ª CJ - Assis</t>
  </si>
  <si>
    <t>Palmital I - Fórum Principal</t>
  </si>
  <si>
    <t>São Paulo - Fórum Regional XII - Nossa Senhora do Ó</t>
  </si>
  <si>
    <t>Pirassununga I - Fórum Principal</t>
  </si>
  <si>
    <t>54ª CJ - Amparo</t>
  </si>
  <si>
    <t>Socorro III - Fórum Principal</t>
  </si>
  <si>
    <t>16ª CJ - São José do Rio Preto</t>
  </si>
  <si>
    <t>José Bonifácio I - Fórum Principal</t>
  </si>
  <si>
    <t>4ª CJ - Osasco</t>
  </si>
  <si>
    <t>Barueri I - Fórum Principal</t>
  </si>
  <si>
    <t>6ª CJ - Bragança Paulista</t>
  </si>
  <si>
    <t>Jarinu II - CEJUSC</t>
  </si>
  <si>
    <t>CEJUSC</t>
  </si>
  <si>
    <t>5ª CJ - Jundiaí</t>
  </si>
  <si>
    <t>Cajamar I - Fórum Principal</t>
  </si>
  <si>
    <t>50ª CJ - São João da Boa Vista</t>
  </si>
  <si>
    <t>Espírito Santo do Pinhal I - Fórum Principal</t>
  </si>
  <si>
    <t>Piracaia I - Fórum Principal</t>
  </si>
  <si>
    <t>Várzea Paulista I - Fórum Principal</t>
  </si>
  <si>
    <t>Bragança Paulista II - Execuções fiscais - Ofício</t>
  </si>
  <si>
    <t>Execuções fiscais - Ofício</t>
  </si>
  <si>
    <t>Jaguariúna II - JEC / JECRIM</t>
  </si>
  <si>
    <t>Várzea Paulista II - CEJUSC + Execuções fiscais - Ofício (Imóvel comercial)</t>
  </si>
  <si>
    <t>Sala ou espaço comercial</t>
  </si>
  <si>
    <t>Imóvel comercial</t>
  </si>
  <si>
    <t>Amparo I - Fórum Principal</t>
  </si>
  <si>
    <t>RAJ 10</t>
  </si>
  <si>
    <t>19ª CJ - Sorocaba</t>
  </si>
  <si>
    <t>Pilar do Sul I - Fórum Principal</t>
  </si>
  <si>
    <t>Piracicaba I - Fórum Principal</t>
  </si>
  <si>
    <t>7ª CJ - Mogi Mirim</t>
  </si>
  <si>
    <t>Artur Nogueira I - Fórum Principal</t>
  </si>
  <si>
    <t>Pilar do Sul II - JEC / JECRIM + Execuções fiscais - Ofício</t>
  </si>
  <si>
    <t>Tietê III - Justiça restaurativa</t>
  </si>
  <si>
    <t>Justiça restaurativa</t>
  </si>
  <si>
    <t>8ª CJ - Campinas</t>
  </si>
  <si>
    <t>Paulínia I - Fórum Principal</t>
  </si>
  <si>
    <t>Amparo II - Execuções fiscais - Ofício + Psicossocial</t>
  </si>
  <si>
    <t>Mogi Guaçu II - Execuções fiscais - Ofício + JEC / JECRIM - Vara</t>
  </si>
  <si>
    <t>Mogi Guaçu III - CEJUSC + Central de mandados</t>
  </si>
  <si>
    <t>Mogi Guaçu IV - Psicossocial</t>
  </si>
  <si>
    <t>Francisco Morato IV - Unidade(s) Administrativa(s) + Ofício(s) da(s) vara(s) judicial(is)</t>
  </si>
  <si>
    <t>Caieiras I - Fórum Principal</t>
  </si>
  <si>
    <t>Campo Limpo Paulista I - Fórum Principal</t>
  </si>
  <si>
    <t>Rio das Pedras I - Fórum Principal</t>
  </si>
  <si>
    <t>Valinhos I - Fórum Principal</t>
  </si>
  <si>
    <t>Nazaré Paulista I - Fórum Principal</t>
  </si>
  <si>
    <t>Caieiras II - Execuções fiscais - Ofício + CEJUSC + JEC / JECRIM</t>
  </si>
  <si>
    <t>Campo Limpo Paulista II - CEJUSC</t>
  </si>
  <si>
    <t>53ª CJ - Americana</t>
  </si>
  <si>
    <t>Hortolândia I - Fórum Principal</t>
  </si>
  <si>
    <t>22ª CJ - Itapetininga</t>
  </si>
  <si>
    <t>Angatuba I - Fórum Principal</t>
  </si>
  <si>
    <t>RAJ 6</t>
  </si>
  <si>
    <t>13ª CJ - Araraquara</t>
  </si>
  <si>
    <t>Borborema I - Fórum Principal Borborema-SP</t>
  </si>
  <si>
    <t>12ª CJ - São Carlos</t>
  </si>
  <si>
    <t>Descalvado I - Fórum Principal</t>
  </si>
  <si>
    <t>29ª CJ - Dracena</t>
  </si>
  <si>
    <t>Dracena I - Fórum Principal</t>
  </si>
  <si>
    <t>31ª CJ - Marília</t>
  </si>
  <si>
    <t>Gália I - Fórum Principal</t>
  </si>
  <si>
    <t>General Salgado I - Fórum Principal</t>
  </si>
  <si>
    <t>9ª CJ - Rio Claro</t>
  </si>
  <si>
    <t>Itirapina I - Fórum Principal</t>
  </si>
  <si>
    <t>RAJ 2</t>
  </si>
  <si>
    <t>36ª CJ - Araçatuba</t>
  </si>
  <si>
    <t>Penápolis I - Fórum Principal</t>
  </si>
  <si>
    <t>Porto Ferreira I - Fórum Principal</t>
  </si>
  <si>
    <t>São João da Boa Vista I - Fórum Principal</t>
  </si>
  <si>
    <t>Votorantim I - Fórum Principal</t>
  </si>
  <si>
    <t>São Paulo - Fórum Regional VIII - Tatuapé</t>
  </si>
  <si>
    <t>Ibitinga II - JEC / JECRIM - Vara + CEJUSC + Central de mandados + Depósito + Execuções fiscais - Ofício</t>
  </si>
  <si>
    <t>JEC / JECRIM - Vara</t>
  </si>
  <si>
    <t>Americana II - Execuções fiscais - Ofício + Psicossocial</t>
  </si>
  <si>
    <t>RAJ 9</t>
  </si>
  <si>
    <t>48ª CJ - Guaratinguetá</t>
  </si>
  <si>
    <t>Guaratinguetá II - JEC / JECRIM</t>
  </si>
  <si>
    <t>Dracena II - JEC / JECRIM</t>
  </si>
  <si>
    <t>Pirassununga II - JEC / JECRIM + Central de mandados + CEJUSC + Execuções fiscais - Ofício + JEC / JECRIM - Vara</t>
  </si>
  <si>
    <t>Pirassununga III - Psicossocial</t>
  </si>
  <si>
    <t>Penápolis II - CEJUSC + JEC / JECRIM</t>
  </si>
  <si>
    <t>Borborema II - JEC / JECRIM</t>
  </si>
  <si>
    <t>São Paulo - Lavarrápido - Moóca</t>
  </si>
  <si>
    <t>Lava rápido</t>
  </si>
  <si>
    <t>São Paulo - Estacionamento I - Conde de Sarzedas</t>
  </si>
  <si>
    <t>Estacionamento</t>
  </si>
  <si>
    <t>Guaratinguetá III - Execuções fiscais - Ofício + Psicossocial</t>
  </si>
  <si>
    <t>Itupeva I - Fórum Principal</t>
  </si>
  <si>
    <t>45ª CJ - Mogi das Cruzes</t>
  </si>
  <si>
    <t>Mogi das Cruzes IV - CEJUSC (UMC)</t>
  </si>
  <si>
    <t>Sala ou espaço</t>
  </si>
  <si>
    <t>Faculdade / Universidade</t>
  </si>
  <si>
    <t>Guaratinguetá IV - CEJUSC</t>
  </si>
  <si>
    <t>São Paulo - Outros (OAB)</t>
  </si>
  <si>
    <t>São José do Rio Preto III - JEC / JECRIM - Vara + Família / Sucessões - Vara + Infância / Juventude / Idoso - Vara + Justiça Restaurativa</t>
  </si>
  <si>
    <t>Mogi das Cruzes V - Juizado Itinerante Biritiba Mirim</t>
  </si>
  <si>
    <t>Juizado Itinerante</t>
  </si>
  <si>
    <t>Dracena V - CEJUSC  (Polícia)</t>
  </si>
  <si>
    <t>Polícia</t>
  </si>
  <si>
    <t>Paraguaçu Paulista II - CEJUSC (Polícia)</t>
  </si>
  <si>
    <t>Penápolis III - CEJUSC (Polícia)</t>
  </si>
  <si>
    <t>Penápolis V - CEJUSC (FUNEPE)</t>
  </si>
  <si>
    <t>Francisco Morato I - Fórum Principal</t>
  </si>
  <si>
    <t>47ª CJ - Taubaté</t>
  </si>
  <si>
    <t>Tremembé I - Fórum Principal</t>
  </si>
  <si>
    <t>Nova Granada I - Fórum Principal</t>
  </si>
  <si>
    <t>Lorena III -Execuções fiscais - Ofício</t>
  </si>
  <si>
    <t>RAJ 7</t>
  </si>
  <si>
    <t>1ª CJ - Santos</t>
  </si>
  <si>
    <t>Santos VI - JEC / JECRIM (UNISANTOS)</t>
  </si>
  <si>
    <t>Santos VII - JEC / JECRIM (UNISANTA)</t>
  </si>
  <si>
    <t>Jaguariúna I - Fórum Principal</t>
  </si>
  <si>
    <t>3ª CJ - Santo André</t>
  </si>
  <si>
    <t>São Caetano do Sul I - Fórum Principal</t>
  </si>
  <si>
    <t>Caçapava III - Fórum Cível</t>
  </si>
  <si>
    <t>São Miguel Arcanjo I - Fórum Principal</t>
  </si>
  <si>
    <t>Tupi Paulista I - Fórum Principal</t>
  </si>
  <si>
    <t>RAJ 3</t>
  </si>
  <si>
    <t>24ª CJ - Avaré</t>
  </si>
  <si>
    <t>Avaré I - Fórum Principal</t>
  </si>
  <si>
    <t>10ª CJ - Sorocaba</t>
  </si>
  <si>
    <t>Limeira I - Fórum Cível</t>
  </si>
  <si>
    <t>32ª CJ - Bauru</t>
  </si>
  <si>
    <t>Piratininga I - Fórum Principal</t>
  </si>
  <si>
    <t>São Paulo - Consolação EPM</t>
  </si>
  <si>
    <t>Limeira II - Fórum Criminal</t>
  </si>
  <si>
    <t>Rio Claro III - JEC / JECRIM - Vara + CEJUSC + Central de mandados + Psicossocial + Arquivo / Acervo + Depósito</t>
  </si>
  <si>
    <t>Hortolândia II - CEJUSC + Execuções fiscais - Ofício + Psicossocial</t>
  </si>
  <si>
    <t>Rio Claro VII - Fórum Criminal</t>
  </si>
  <si>
    <t>Americana I - Fórum Principal</t>
  </si>
  <si>
    <t>10ª CJ - Limeira</t>
  </si>
  <si>
    <t>Araras I - Fórum Principal</t>
  </si>
  <si>
    <t>14ª CJ - Barretos</t>
  </si>
  <si>
    <t>Barretos I - Fórum Principal</t>
  </si>
  <si>
    <t>Brotas I - Fórum Principal</t>
  </si>
  <si>
    <t>Laranjal Paulista I - Fórum Principal</t>
  </si>
  <si>
    <t>Rio Claro I - Fórum Cível</t>
  </si>
  <si>
    <t>Sumaré I - Fórum Principal</t>
  </si>
  <si>
    <t>Santa Bárbara d'Oeste</t>
  </si>
  <si>
    <t>Santa Bárbara d'Oeste II - Execuções fiscais - Ofício</t>
  </si>
  <si>
    <t>Rio Claro IV - Arquivo / Acervo</t>
  </si>
  <si>
    <t>Arquivo / Acervo</t>
  </si>
  <si>
    <t>Rio das Pedras II - JEC / JECRIM</t>
  </si>
  <si>
    <t>37ª CJ - Andradina</t>
  </si>
  <si>
    <t>Andradina V - CEJUSC</t>
  </si>
  <si>
    <t>38ª CJ - Franca</t>
  </si>
  <si>
    <t>Franca II - CEJUSC</t>
  </si>
  <si>
    <t>São Miguel Arcanjo II - JEC / JECRIM + Central de mandados</t>
  </si>
  <si>
    <t>Agudos I - Fórum Principal</t>
  </si>
  <si>
    <t>Campos do Jordão I - Fórum Principal</t>
  </si>
  <si>
    <t>52ª CJ - Itapecerica da Serra</t>
  </si>
  <si>
    <t>Embu das Artes I - Fórum Principal</t>
  </si>
  <si>
    <t>Mairinque I - Fórum Principal</t>
  </si>
  <si>
    <t>Martinópolis I - Fórum Principal</t>
  </si>
  <si>
    <t>Mirassol I - Fórum Principal</t>
  </si>
  <si>
    <t>Santos I - Fórum Principal</t>
  </si>
  <si>
    <t>Santos III - JEC / JECRIM - Vara + Psicossocial</t>
  </si>
  <si>
    <t>São Pedro I - Fórum Principal</t>
  </si>
  <si>
    <t>Mirassol II - Execuções fiscais - Ofício</t>
  </si>
  <si>
    <t>30ª CJ - Tupã</t>
  </si>
  <si>
    <t>Flórida Paulista I - Fórum Principal</t>
  </si>
  <si>
    <t>Araçatuba III - Unidade(s) Administrativa(s) + CEJUSC</t>
  </si>
  <si>
    <t>28ª CJ - Presidente Venceslau</t>
  </si>
  <si>
    <t>Presidente Epitácio II - CEJUSC</t>
  </si>
  <si>
    <t>Araçatuba IV - DEECRIM + Execuções criminais - Ofício</t>
  </si>
  <si>
    <t>DEECRIM</t>
  </si>
  <si>
    <t>Araçatuba V - Psicossocial</t>
  </si>
  <si>
    <t>Rancharia III - Arquivo / Acervo (Prefeitura e órgãos da prefeitura)</t>
  </si>
  <si>
    <t>Prefeitura e órgãos da prefeitura</t>
  </si>
  <si>
    <t>Agudos III - CEJUSC (Prefeitura e órgãos da prefeitura)</t>
  </si>
  <si>
    <t>Mirassol IV - CEJUSC</t>
  </si>
  <si>
    <t>Taubaté VI - Psicossocial</t>
  </si>
  <si>
    <t>Adamantina I - Fórum Principal</t>
  </si>
  <si>
    <t>Fartura I - Fórum Principal</t>
  </si>
  <si>
    <t>21ª CJ - Registro</t>
  </si>
  <si>
    <t>Iguape I - Fórum Principal</t>
  </si>
  <si>
    <t>Ilha Solteira I - Fórum Principal</t>
  </si>
  <si>
    <t>40ª CJ - Ituverava</t>
  </si>
  <si>
    <t>Ipuã I - Fórum Principal</t>
  </si>
  <si>
    <t>Itapecerica da Serra I - Fórum Principal</t>
  </si>
  <si>
    <t>41ª CJ - Ribeirão Preto</t>
  </si>
  <si>
    <t>Jardinópolis I - Fórum Principal</t>
  </si>
  <si>
    <t>33ª CJ - Jaú</t>
  </si>
  <si>
    <t>Jaú I - Fórum Principal</t>
  </si>
  <si>
    <t>Jundiaí I - Fórum Principal</t>
  </si>
  <si>
    <t>Macaubal I - Fórum Principal</t>
  </si>
  <si>
    <t>44ª CJ - Guarulhos</t>
  </si>
  <si>
    <t>Mairiporã I - Fórum Principal</t>
  </si>
  <si>
    <t>Paranapanema I - Fórum Principal</t>
  </si>
  <si>
    <t>Pariquera-Açu I - Fórum Principal</t>
  </si>
  <si>
    <t>Piedade I - Fórum Principal</t>
  </si>
  <si>
    <t>Presidente Epitácio I - Fórum Principal</t>
  </si>
  <si>
    <t>15ª CJ - Catanduva</t>
  </si>
  <si>
    <t>Santa Adélia I - Fórum Principal</t>
  </si>
  <si>
    <t>25ª CJ - Ourinhos</t>
  </si>
  <si>
    <t>Santa Cruz do Rio Pardo I - Fórum Principal</t>
  </si>
  <si>
    <t>São Bento do Sapucaí I - Fórum Principal</t>
  </si>
  <si>
    <t>Taubaté II - Fórum Cível</t>
  </si>
  <si>
    <t>51ª CJ - Caraguatatuba</t>
  </si>
  <si>
    <t>Ubatuba I - Fórum Principal</t>
  </si>
  <si>
    <t>São Paulo - Fórum Regional IV - Lapa</t>
  </si>
  <si>
    <t>São Paulo - Oficinas</t>
  </si>
  <si>
    <t>Oficinas</t>
  </si>
  <si>
    <t>Paranapanema II - JEC / JECRIM</t>
  </si>
  <si>
    <t>Ipuã II - CEJUSC + JEC / JECRIM</t>
  </si>
  <si>
    <t>20ª CJ - Itu</t>
  </si>
  <si>
    <t>Indaiatuba V - CEJUSC (UNIMAX)</t>
  </si>
  <si>
    <t>Mairiporã II - Execuções fiscais - Ofício (Imóvel comercial)</t>
  </si>
  <si>
    <t>Santa Adélia II - JEC / JECRIM + Arquivo / Acervo + CEJUSC</t>
  </si>
  <si>
    <t>Jaú II - Psicossocial</t>
  </si>
  <si>
    <t>Itapetininga III - CEJUSC</t>
  </si>
  <si>
    <t>Jardinópolis II - CEJUSC</t>
  </si>
  <si>
    <t>Paranapanema III - Execuções fiscais - Ofício</t>
  </si>
  <si>
    <t>23ª CJ - Botucatu</t>
  </si>
  <si>
    <t>Conchas V - Fórum Principal</t>
  </si>
  <si>
    <t>Assis V - CEJUSC (Polícia)</t>
  </si>
  <si>
    <t>Chavantes IV - Fórum Principal</t>
  </si>
  <si>
    <t>Bauru I - Fórum Principal</t>
  </si>
  <si>
    <t>Birigui I - Fórum Principal</t>
  </si>
  <si>
    <t>Campinas V - Fórum Regional Vila Mimosa</t>
  </si>
  <si>
    <t>Catanduva I - Fórum Principal</t>
  </si>
  <si>
    <t>Dois Córregos I - Fórum Principal</t>
  </si>
  <si>
    <t>Embu-Guaçu I - Fórum Principal</t>
  </si>
  <si>
    <t>Ferraz de Vasconcelos I - Fórum Principal</t>
  </si>
  <si>
    <t>42ª CJ - Jaboticabal</t>
  </si>
  <si>
    <t>Guariba I - Fórum Principal</t>
  </si>
  <si>
    <t>Guarujá I - Fórum Principal</t>
  </si>
  <si>
    <t>Itatiba I - Fórum Principal</t>
  </si>
  <si>
    <t>Ituverava I - Fórum Principal</t>
  </si>
  <si>
    <t>Mauá I - Fórum Principal</t>
  </si>
  <si>
    <t>Mirandópolis I - Fórum Principal</t>
  </si>
  <si>
    <t>Olímpia I - Fórum Principal</t>
  </si>
  <si>
    <t>46ª CJ - São José dos Campos</t>
  </si>
  <si>
    <t>Paraibuna I - Fórum Principal</t>
  </si>
  <si>
    <t>Paulo de Faria I - Fórum Principal</t>
  </si>
  <si>
    <t>Piquete I - Fórum Principal</t>
  </si>
  <si>
    <t>Santa Bárbara d'Oeste I - Fórum Principal</t>
  </si>
  <si>
    <t>São Carlos II - Fórum Cível</t>
  </si>
  <si>
    <t>43ª CJ - Casa Branca</t>
  </si>
  <si>
    <t>São Sebastião da Grama I - Fórum Principal</t>
  </si>
  <si>
    <t>Tanabi I - Fórum Principal</t>
  </si>
  <si>
    <t>55ª CJ - Jales</t>
  </si>
  <si>
    <t>Urânia I - Fórum Principal</t>
  </si>
  <si>
    <t>São Paulo - Fórum Criminal - Complexo Judiciário Ministro Mário Guimarães</t>
  </si>
  <si>
    <t>São Paulo - Fórum Fazenda Pública - Hely Lopes Meirelles</t>
  </si>
  <si>
    <t>Maracaí II - CEJUSC + JEC / JECRIM + Justiça Restaurativa</t>
  </si>
  <si>
    <t>Tanabi II - CEJUSC + JEC / JECRIM + Psicossocial + Central de mandados (Rodoviária)</t>
  </si>
  <si>
    <t>Rodoviária</t>
  </si>
  <si>
    <t>49ª CJ - Itapeva</t>
  </si>
  <si>
    <t>Apiaí I - Fórum Principal</t>
  </si>
  <si>
    <t>São Paulo - Fórum Regional II - Santo Amaro - Alexandre Dumas</t>
  </si>
  <si>
    <t>Em reforma / Projeto</t>
  </si>
  <si>
    <t>Assis III - JEC / JECRIM</t>
  </si>
  <si>
    <t>Jundiaí II - Execuções fiscais - Ofício</t>
  </si>
  <si>
    <t>São Paulo - JEC / JECRIM XIII + CEJUSC - Itaquera-Guaianases</t>
  </si>
  <si>
    <t>Poá III - Execuções fiscais - Ofício + Central de mandados</t>
  </si>
  <si>
    <t>Guarujá II - Fazenda pública - Vara (Prefeitura e órgãos da prefeitura)</t>
  </si>
  <si>
    <t>São Paulo - GADE V - 9 de Julho</t>
  </si>
  <si>
    <t>GADE</t>
  </si>
  <si>
    <t>Indaiatuba II - JEC / JECRIM</t>
  </si>
  <si>
    <t>Indaiatuba III - Execuções fiscais - Ofício</t>
  </si>
  <si>
    <t>Catanduva II - Execuções fiscais - Ofício</t>
  </si>
  <si>
    <t>Guarujá III - JEC / JECRIM - Vara + Família / Sucessões - Vara</t>
  </si>
  <si>
    <t>Araras II - Execuções fiscais - Ofício (Prefeitura e órgãos da prefeitura)</t>
  </si>
  <si>
    <t>Monte Alto III - JEC / JECRIM + Central de mandados + Psicossocial</t>
  </si>
  <si>
    <t>Mirandópolis II - JEC / JECRIM + Psicossocial</t>
  </si>
  <si>
    <t>Bauru V - Psicossocial</t>
  </si>
  <si>
    <t>São Sebastião da Grama II - JEC / JECRIM + CEJUSC  (Imóvel comercial)</t>
  </si>
  <si>
    <t>Catanduva III - CEJUSC + Psicossocial</t>
  </si>
  <si>
    <t>Araras III - CEJUSC (UNAR)</t>
  </si>
  <si>
    <t>Teodoro Sampaio I - Fórum Principal</t>
  </si>
  <si>
    <t>Franca III - CEJUSC (FDF)</t>
  </si>
  <si>
    <t>Monte Alto IV - CEJUSC</t>
  </si>
  <si>
    <t>Piedade III - CEJUSC</t>
  </si>
  <si>
    <t>Urânia II - CEJUSC (Prefeitura e órgãos da prefeitura)</t>
  </si>
  <si>
    <t>Santa Cruz do Rio Pardo II - CEJUSC + JEC / JECRIM (Prefeitura e órgãos da prefeitura)</t>
  </si>
  <si>
    <t>São Sebastião da Grama III - Psicossocial + Arquivo / Acervo  (Imóvel comercial)</t>
  </si>
  <si>
    <t>Rio Claro V - Estacionamento</t>
  </si>
  <si>
    <t>Maracaí III - Criminal - Ofício</t>
  </si>
  <si>
    <t>Criminal - Ofício</t>
  </si>
  <si>
    <t>Bilac II - Arquivo / Acervo</t>
  </si>
  <si>
    <t>Poá IV - Terreno</t>
  </si>
  <si>
    <t>Terreno</t>
  </si>
  <si>
    <t>Taquarituba II - CEJUSC</t>
  </si>
  <si>
    <t>Adamantina III - UAAJ (UNIFAI)</t>
  </si>
  <si>
    <t>Paulo de Faria II - CEJUSC + JEC / JECRIM</t>
  </si>
  <si>
    <t>Franca V - JEC / JECRIM (UNESP)</t>
  </si>
  <si>
    <t>Franca VI - CEJUSC (Polícia)</t>
  </si>
  <si>
    <t>56ª CJ - Itanhaém</t>
  </si>
  <si>
    <t>Peruíbe II - Violência doméstica / Familiar / Mulher - Ofício</t>
  </si>
  <si>
    <t>Violência doméstica / Familiar / Mulher - Ofício</t>
  </si>
  <si>
    <t>Adamantina IV - CEJUSC (Polícia)</t>
  </si>
  <si>
    <t>Catanduva IV - CEJUSC (UNIFIPA)</t>
  </si>
  <si>
    <t>Catanduva V - CEJUSC (Polícia)</t>
  </si>
  <si>
    <t>São Vicente VII - CEJUSC (Defensoria Pública)</t>
  </si>
  <si>
    <t>Defensoria Pública</t>
  </si>
  <si>
    <t>Santo André III - Perícia Cíveis (Imóvel comercial)</t>
  </si>
  <si>
    <t>Ourinhos IV - CEJUSC Salto Grande</t>
  </si>
  <si>
    <t>Urupês II -  Outros (PREFEITURA)</t>
  </si>
  <si>
    <t>Urânia III - Terreno</t>
  </si>
  <si>
    <t>Catanduva VI - Terreno</t>
  </si>
  <si>
    <t>Santa Fé do Sul IV - UDAJ Três Fronteiras</t>
  </si>
  <si>
    <t>UDAJ</t>
  </si>
  <si>
    <t>Mogi das Cruzes I - Fórum Principal</t>
  </si>
  <si>
    <t>Piraju I - Fórum Principal</t>
  </si>
  <si>
    <t>Presidente Prudente I - Fórum Principal</t>
  </si>
  <si>
    <t>Taquaritinga I - Fórum Principal</t>
  </si>
  <si>
    <t>Olímpia V - CEJUSC</t>
  </si>
  <si>
    <t>Cachoeira Paulista I - Fórum Principal</t>
  </si>
  <si>
    <t>35ª CJ - Lins</t>
  </si>
  <si>
    <t>Cafelândia I - Fórum Principal</t>
  </si>
  <si>
    <t>Carapicuíba I - Fórum Principal</t>
  </si>
  <si>
    <t>Conchal I - Fórum Principal</t>
  </si>
  <si>
    <t>Cosmópolis I - Fórum Principal</t>
  </si>
  <si>
    <t>Cubatão I - Fórum Principal</t>
  </si>
  <si>
    <t>Ibiúna I - Fórum Principal</t>
  </si>
  <si>
    <t>Iepê I - Fórum Principal</t>
  </si>
  <si>
    <t>Indaiatuba I - Fórum Principal</t>
  </si>
  <si>
    <t>Itapira I - Fórum Principal</t>
  </si>
  <si>
    <t>Itatinga I - Fórum Principal</t>
  </si>
  <si>
    <t>Lorena I - Fórum Principal</t>
  </si>
  <si>
    <t>Mongaguá I - Fórum Principal</t>
  </si>
  <si>
    <t>Monte Alto I - Fórum Principal</t>
  </si>
  <si>
    <t>Pitangueiras I - Fórum Principal</t>
  </si>
  <si>
    <t>Registro I - Fórum Principal</t>
  </si>
  <si>
    <t>Salesópolis I - Fórum Principal</t>
  </si>
  <si>
    <t>São Carlos I - Fórum Criminal</t>
  </si>
  <si>
    <t>Taquarituba I - Fórum Principal</t>
  </si>
  <si>
    <t>Amparo III - CEJUSC + JEC / JECRIM</t>
  </si>
  <si>
    <t>São Paulo - Unidade(s) administrativa(s) IV - Ipiranga</t>
  </si>
  <si>
    <t>Grupos e Câmaras</t>
  </si>
  <si>
    <t>Ibiúna II - Execuções fiscais - Ofício + CEJUSC + JEC / JECRIM + Psicossocial (Imóvel comercial)</t>
  </si>
  <si>
    <t>Cubatão II - Execuções fiscais - Ofício + Psicossocial + Central de mandados + Arquivo / Acervo</t>
  </si>
  <si>
    <t>Itatinga II - JEC / JECRIM</t>
  </si>
  <si>
    <t>2ª CJ - São Bernardo do Campo</t>
  </si>
  <si>
    <t>Diadema V - Fazenda pública - Vara</t>
  </si>
  <si>
    <t>Fazenda pública - Vara</t>
  </si>
  <si>
    <t>Monte Alto II - Vara(s) judicial(is)</t>
  </si>
  <si>
    <t>Vara(s) judicial(is)</t>
  </si>
  <si>
    <t>Santa Fé do Sul II - UAAJ (UNIFUNEC)</t>
  </si>
  <si>
    <t>Barra Bonita II - CEJUSC</t>
  </si>
  <si>
    <t>Olímpia VI - UAAJ Cajobi</t>
  </si>
  <si>
    <t>UAAJ</t>
  </si>
  <si>
    <t>Carapicuíba III - Arquivo / Acervo (Imóvel comercial)</t>
  </si>
  <si>
    <t>Birigui III - CEJUSC (Polícia)</t>
  </si>
  <si>
    <t>Presidente Prudente IV - CEJUSC (Prefeitura e órgãos da prefeitura)</t>
  </si>
  <si>
    <t>Jacareí I - Fórum Principal</t>
  </si>
  <si>
    <t>Tupã I - Fórum Principal</t>
  </si>
  <si>
    <t>Olímpia II - Cível - Vara</t>
  </si>
  <si>
    <t>Cível - Vara</t>
  </si>
  <si>
    <t>São Paulo - Fórum Execuções Fiscais - Prédio II</t>
  </si>
  <si>
    <t>Olímpia III - JEC / JECRIM</t>
  </si>
  <si>
    <t>Jacareí II - JEC / JECRIM</t>
  </si>
  <si>
    <t>Jacareí III - Fazenda pública - Vara</t>
  </si>
  <si>
    <t>São Paulo - Fórum Execuções Fiscais - Prédio I</t>
  </si>
  <si>
    <t>Piedade II - JEC / JECRIM (Imóvel comercial)</t>
  </si>
  <si>
    <t>Diadema I - Fórum Cível</t>
  </si>
  <si>
    <t>Diadema III - JEC / JECRIM</t>
  </si>
  <si>
    <t>Louveira I - Fórum Principal</t>
  </si>
  <si>
    <t>Botucatu I - Fórum Principal</t>
  </si>
  <si>
    <t>Sumaré III - CEJUSC</t>
  </si>
  <si>
    <t>Fernandópolis V - JEC / JECRIM (UNIBRASIL)</t>
  </si>
  <si>
    <t>Iepê II - JEC / JECRIM Nantes (Biblioteca Municipal)</t>
  </si>
  <si>
    <t>Biblioteca Municipal</t>
  </si>
  <si>
    <t>Cachoeira Paulista II - CEJUSC</t>
  </si>
  <si>
    <t>Fernandópolis VI - JEC / JECRIM (FEF)</t>
  </si>
  <si>
    <t>Aparecida I - Fórum Principal</t>
  </si>
  <si>
    <t>Cunha I - Fórum Principal</t>
  </si>
  <si>
    <t>Diadema II - Fórum Criminal</t>
  </si>
  <si>
    <t>Mogi Mirim I - Fórum Principal</t>
  </si>
  <si>
    <t>Nova Odessa I - Fórum Principal</t>
  </si>
  <si>
    <t>Pindamonhangaba I - Fórum Principal</t>
  </si>
  <si>
    <t>Presidente Bernardes I - Fórum Cível</t>
  </si>
  <si>
    <t>Quatá I - Fórum Principal</t>
  </si>
  <si>
    <t>Sorocaba I - Fórum Principal</t>
  </si>
  <si>
    <t>São Paulo - Fórum Regional II - Santo Amaro - Adolfo Pinheiro</t>
  </si>
  <si>
    <t>Campinas II - Fórum Principal (Cidade Judiciária)</t>
  </si>
  <si>
    <t>Mauá III - CEJUSC + Execuções fiscais - Ofício</t>
  </si>
  <si>
    <t>Mogi das Cruzes III - Fazenda pública - Vara + Execuções fiscais - Ofício</t>
  </si>
  <si>
    <t>Sorocaba II - Unidade(s) Administrativa(s) + Psicossocial + DEECRIM</t>
  </si>
  <si>
    <t>Mogi Mirim II - Execuções fiscais - Ofício</t>
  </si>
  <si>
    <t>Mogi Mirim III - CEJUSC + JEC / JECRIM + Colégio Recursal</t>
  </si>
  <si>
    <t>Suzano II - CEJUSC (Prefeitura e órgãos da prefeitura)</t>
  </si>
  <si>
    <t>Tupã III - CEJUSC (Imóvel destinado para serviços públicos)</t>
  </si>
  <si>
    <t>Sala ou espaço em imóvel compartilhado</t>
  </si>
  <si>
    <t>Imóvel destinado para serviços públicos</t>
  </si>
  <si>
    <t>Sorocaba IV - CEJUSC Central</t>
  </si>
  <si>
    <t>Santo André II - CEJUSC</t>
  </si>
  <si>
    <t>Mogi das Cruzes II - Fórum Criminal</t>
  </si>
  <si>
    <t>Sorocaba VII - JEC / JECRIM</t>
  </si>
  <si>
    <t>Sorocaba XII - CEJUSC Araçoiaba da Serra (Rodoviária)</t>
  </si>
  <si>
    <t>Guará II - Terreno</t>
  </si>
  <si>
    <t>Taboão da Serra V - Violência doméstica / Familiar / Mulher - Ofício (Imóvel destinado para serviços públicos)</t>
  </si>
  <si>
    <t>Atibaia I - Fórum Principal</t>
  </si>
  <si>
    <t>Cajuru I - Fórum Principal</t>
  </si>
  <si>
    <t>Lucélia I - Fórum Principal</t>
  </si>
  <si>
    <t>Pontal I - Fórum Principal</t>
  </si>
  <si>
    <t>Presidente Venceslau I - Fórum Principal</t>
  </si>
  <si>
    <t>Ribeirão Preto I - Fórum Principal</t>
  </si>
  <si>
    <t>Santa Rita do Passa Quatro I - Fórum Principal</t>
  </si>
  <si>
    <t>Serra Negra I - Fórum Principal</t>
  </si>
  <si>
    <t>Vargem Grande do Sul I - Fórum Principal</t>
  </si>
  <si>
    <t>Francisco Morato II - CEJUSC + Execuções fiscais - Ofício</t>
  </si>
  <si>
    <t>Socorro II - JEC / JECRIM (Imóvel comercial)</t>
  </si>
  <si>
    <t>Atibaia II - CEJUSC</t>
  </si>
  <si>
    <t>Novo Horizonte II - CEJUSC</t>
  </si>
  <si>
    <t>Presidente Bernardes II - CEJUSC</t>
  </si>
  <si>
    <t>Bastos I - Fórum Principal</t>
  </si>
  <si>
    <t>Bilac I - Fórum Principal</t>
  </si>
  <si>
    <t>Cerqueira César</t>
  </si>
  <si>
    <t>Cerqueira César I - Fórum Principal</t>
  </si>
  <si>
    <t>Jandira I - Fórum Principal</t>
  </si>
  <si>
    <t>Palestina I - Fórum Principal</t>
  </si>
  <si>
    <t>Pirapozinho I - Fórum Principal</t>
  </si>
  <si>
    <t>Poá I - Fórum</t>
  </si>
  <si>
    <t>São Manuel I - Fórum Principal</t>
  </si>
  <si>
    <t>São Sebastião II - Fórum Principal</t>
  </si>
  <si>
    <t>Suzano I - Fórum Principal</t>
  </si>
  <si>
    <t>Valinhos II - JEC / JECRIM - Vara + CEJUSC</t>
  </si>
  <si>
    <t>Valinhos III - Execuções fiscais - Ofício</t>
  </si>
  <si>
    <t>Itapetininga II - Fórum Criminal</t>
  </si>
  <si>
    <t>Lençóis Paulista II - Execuções fiscais - Ofício</t>
  </si>
  <si>
    <t>Lençóis Paulista III - CEJUSC</t>
  </si>
  <si>
    <t>Presidente Venceslau II - CEJUSC</t>
  </si>
  <si>
    <t>São Manuel II - Arquivo / Acervo</t>
  </si>
  <si>
    <t>Poá II - CEJUSC (Imóvel destinado para serviços públicos)</t>
  </si>
  <si>
    <t>São Paulo - CEJUSC II - Central (Associação Comercial)</t>
  </si>
  <si>
    <t>Associação Comercial</t>
  </si>
  <si>
    <t>Ipaussu IV - Fórum Principal</t>
  </si>
  <si>
    <t>Macatuba I - Fórum Principal</t>
  </si>
  <si>
    <t>Ribeirão Pires I - Fórum Principal</t>
  </si>
  <si>
    <t>São Paulo - Grupos e Câmaras IV - Páteo do Colégio</t>
  </si>
  <si>
    <t>Ribeirão Pires II - Execuções fiscais - Ofício</t>
  </si>
  <si>
    <t>Fernandópolis II - Execuções fiscais - Ofício</t>
  </si>
  <si>
    <t>Dois Córregos II - Arquivo / Acervo</t>
  </si>
  <si>
    <t>Porto Ferreira II - Execuções fiscais - Ofício + Psicossocial</t>
  </si>
  <si>
    <t>Piraju II - JEC / JECRIM</t>
  </si>
  <si>
    <t>Taboão da Serra III - Arquivo / Acervo</t>
  </si>
  <si>
    <t>Tupã II - Arquivo / Acervo (Departamento de Estrada e Rodagem)</t>
  </si>
  <si>
    <t>Departamento de Estrada e Rodagem</t>
  </si>
  <si>
    <t>Cafelândia II - JEC / JECRIM + CEJUSC</t>
  </si>
  <si>
    <t>Ribeirão Pires III - CEJUSC (Prefeitura e órgãos da prefeitura)</t>
  </si>
  <si>
    <t>São Paulo - CEJUSC I - Central (Prefeitura e órgãos da Prefeitura)</t>
  </si>
  <si>
    <t>Ibaté I - Fórum Principal</t>
  </si>
  <si>
    <t>Tietê I - Fórum Principal</t>
  </si>
  <si>
    <t>Vargem Grande Paulista I - Fórum Principal</t>
  </si>
  <si>
    <t>São Paulo - Fórum Central - João Mendes Júnior</t>
  </si>
  <si>
    <t>Barretos II - Grupos e Câmaras + CEJUSC</t>
  </si>
  <si>
    <t>Iguape IV - CEJUSC + JEC / JECRIM + Execuções fiscais - Ofício + Central de mandados + Cível - Ofício + Psicossocial</t>
  </si>
  <si>
    <t>Arujá I - Vara(s) judicial(is) + Almoxarifado + Ofício(s) da(s) vara(s) judicial(is)</t>
  </si>
  <si>
    <t>Barra Bonita I - Fórum Principal</t>
  </si>
  <si>
    <t>17ª CJ - Votuporanga</t>
  </si>
  <si>
    <t>Nhandeara I - Fórum Principal</t>
  </si>
  <si>
    <t>São Luiz do Paraitinga I - Fórum Principal</t>
  </si>
  <si>
    <t>Valparaíso I - Fórum Principal</t>
  </si>
  <si>
    <t>Pirangi I - Fórum Principal</t>
  </si>
  <si>
    <t>Nhandeara II - JEC / JECRIM + Psicossocial</t>
  </si>
  <si>
    <t>Valparaíso II - JEC / JECRIM + Arquivo / Acervo</t>
  </si>
  <si>
    <t>Arujá II - Ofício(s) da(s) vara(s) judicial(is) + Central de mandados + Unidade(s) Administrativa(s)</t>
  </si>
  <si>
    <t>Ofício(s) da(s) vara(s) judicial(is)</t>
  </si>
  <si>
    <t>Arujá IV - Execuções fiscais - Ofício</t>
  </si>
  <si>
    <t>Osvaldo Cruz II - CEJUSC</t>
  </si>
  <si>
    <t>Nhandeara III - Arquivo / Acervo (Imóvel destinado para serviços públicos)</t>
  </si>
  <si>
    <t>Peruíbe I - Fórum Principal</t>
  </si>
  <si>
    <t>Santos II - Fórum Cível</t>
  </si>
  <si>
    <t>São Paulo - Fórum Regional I  - Santana</t>
  </si>
  <si>
    <t>Franca I - Fórum Principal</t>
  </si>
  <si>
    <t>Santana de Parnaíba II - CEJUSC Pirapora do Bom Jesus (Centro de Integração e Cidadania)</t>
  </si>
  <si>
    <t>Centro de Integração e Cidadania</t>
  </si>
  <si>
    <t>Iacanga I - Fórum Principal</t>
  </si>
  <si>
    <t>Itajobi I - Fórum Principal</t>
  </si>
  <si>
    <t>Itaporanga I - Fórum Principal</t>
  </si>
  <si>
    <t>Porto Feliz I - Fórum Principal</t>
  </si>
  <si>
    <t>Tabapuã I - Fórum Principal</t>
  </si>
  <si>
    <t>Taboão da Serra I - Fórum Principal</t>
  </si>
  <si>
    <t>Buri I - Fórum Principal</t>
  </si>
  <si>
    <t>São Paulo - GADE IV - 23 de Maio</t>
  </si>
  <si>
    <t>Santana de Parnaíba I - Fórum Principal</t>
  </si>
  <si>
    <t>Cesário Lange I - Fórum Principal</t>
  </si>
  <si>
    <t>Barretos IV - CEJUSC (Faculdade Barretos)</t>
  </si>
  <si>
    <t>São Paulo - GADE II - Conselheiro Furtado 705</t>
  </si>
  <si>
    <t>Pinhalzinho I - Fórum Principal</t>
  </si>
  <si>
    <t>São Paulo - GADE I - Conselheiro Furtado 669</t>
  </si>
  <si>
    <t>São Paulo - GADE III - Conselheiro Furtado 688</t>
  </si>
  <si>
    <t>Buritama I - Fórum Principal</t>
  </si>
  <si>
    <t>Taubaté III - Fazenda pública - Vara</t>
  </si>
  <si>
    <t>Taubaté IV - Execuções criminais - Ofício</t>
  </si>
  <si>
    <t>Execuções criminais - Ofício</t>
  </si>
  <si>
    <t>São Paulo - Fórum Regional X - Ipiranga</t>
  </si>
  <si>
    <t>Araçatuba I - Fórum Principal</t>
  </si>
  <si>
    <t>Taubaté I - Fórum Criminal</t>
  </si>
  <si>
    <t>Araçatuba II - Fazenda pública - Vara + Ofício(s) da(s) vara(s) judicial(is)</t>
  </si>
  <si>
    <t>São Paulo - Unidade(s) Administrativa(s) I - Praça do Patriarca</t>
  </si>
  <si>
    <t>Ribeirão Preto II - Infância / Juventude / Idoso - Ofício + Violência doméstica / Familiar / Mulher - Ofício + Justiça restaurativa (Imóvel destinado para serviços públicos)</t>
  </si>
  <si>
    <t>Ribeirão Preto III - Unidade(s) Administrativa(s) + Psicossocial</t>
  </si>
  <si>
    <t>Bebedouro I - Fórum Principal</t>
  </si>
  <si>
    <t>Votuporanga II -Execuções fiscais - Ofício</t>
  </si>
  <si>
    <t>Americana III - CEJUSC (UNISAL)</t>
  </si>
  <si>
    <t>Monte Aprazível II - JEC / JECRIM + CEJUSC + Arquivo / Acervo</t>
  </si>
  <si>
    <t>São Carlos IV - CEJUSC (Imóvel destinado para serviços públicos)</t>
  </si>
  <si>
    <t>Monte Aprazível I - Fórum Principal</t>
  </si>
  <si>
    <t>Votuporanga I - Fórum Principal</t>
  </si>
  <si>
    <t>Urupês I - Fórum Principal</t>
  </si>
  <si>
    <t>São Paulo - Fórum Regional IX - Vila Prudente</t>
  </si>
  <si>
    <t>Cafelândia III - UAAJ Júlio Mesquita (Polícia)</t>
  </si>
  <si>
    <t>39ª CJ - Batatais</t>
  </si>
  <si>
    <t>Orlândia I - Fórum Principal</t>
  </si>
  <si>
    <t>Bariri I - Fórum Principal</t>
  </si>
  <si>
    <t>Bariri II - JEC / JECRIM + Psicossocial + CEJUSC</t>
  </si>
  <si>
    <t>Conchal II - CEJUSC (Câmara municipal)</t>
  </si>
  <si>
    <t>Câmara municipal</t>
  </si>
  <si>
    <t>Osvaldo Cruz I - Fórum Principal</t>
  </si>
  <si>
    <t>São Vicente V - Arquivo / Acervo + Almoxarifado</t>
  </si>
  <si>
    <t>Cananéia I - Fórum Principal</t>
  </si>
  <si>
    <t>Estrela dOeste</t>
  </si>
  <si>
    <t>Estrela dOeste I - Fórum Principal</t>
  </si>
  <si>
    <t>Juquiá I - Fórum Principal</t>
  </si>
  <si>
    <t>Pirajuí I - Fórum Principal</t>
  </si>
  <si>
    <t>Santa Fé do Sul I - Fórum Principal</t>
  </si>
  <si>
    <t>Andradina II - JEC / JECRIM - Vara + Execuções fiscais - Ofício</t>
  </si>
  <si>
    <t>Guarulhos I - Fórum Criminal</t>
  </si>
  <si>
    <t>Birigui II - Depósito</t>
  </si>
  <si>
    <t>Depósito</t>
  </si>
  <si>
    <t>Cordeirópolis I - Fórum Principal</t>
  </si>
  <si>
    <t>São José do Rio Preto I - Fórum Principal</t>
  </si>
  <si>
    <t>São José do Rio Preto II - Fórum Cível</t>
  </si>
  <si>
    <t>Barretos III - JEC / JECRIM (UNIFEB)</t>
  </si>
  <si>
    <t>São Paulo - Terreno V - Luiz Ayres</t>
  </si>
  <si>
    <t>São Vicente III - JEC / JECRIM + Justiça restaurativa (Imóvel comercial)</t>
  </si>
  <si>
    <t>Tietê II - CEJUSC  (Imóvel destinado para serviços públicos)</t>
  </si>
  <si>
    <t>São Paulo - CEJUSC V - Santo Amaro/Grajaú (Centro de Integração e Cidadania)</t>
  </si>
  <si>
    <t>São Paulo - Terreno II - Alfredo Trindade</t>
  </si>
  <si>
    <t>São Paulo - Terreno III - Santo Amaro</t>
  </si>
  <si>
    <t>São Paulo - Terreno IV - Aicás</t>
  </si>
  <si>
    <t>São José do Rio Preto VII - Terreno</t>
  </si>
  <si>
    <t>São Paulo - Terreno I - Serra de Botucatu</t>
  </si>
  <si>
    <t>Sertãozinho IV -  Outros (PREFEITURA)</t>
  </si>
  <si>
    <t>Santa Rita do Passa Quatro II - Sem uso / Vazio</t>
  </si>
  <si>
    <t>Sem uso / Vazio</t>
  </si>
  <si>
    <t>Palmital II -  Outros (PREFEITURA)</t>
  </si>
  <si>
    <t>Mairinque II - Terreno</t>
  </si>
  <si>
    <t>Bauru XI - Terreno</t>
  </si>
  <si>
    <t>Andradina I - Fórum Principal</t>
  </si>
  <si>
    <t>Andradina III - Violência doméstica / Familiar / Mulher - Ofício + Almoxarifado</t>
  </si>
  <si>
    <t>Andradina IV - UAAJ Castilho (Detran)</t>
  </si>
  <si>
    <t>Detran</t>
  </si>
  <si>
    <t>Andradina VI - CEJUSC (Polícia)</t>
  </si>
  <si>
    <t>Boituva VIII - Fórum Principal</t>
  </si>
  <si>
    <t>Assis II - Fazenda pública - Vara (Imóvel destinado para serviços públicos)</t>
  </si>
  <si>
    <t>Assis I - Fórum Principal</t>
  </si>
  <si>
    <t>Assis IV - CEJUSC (Associação Comercial)</t>
  </si>
  <si>
    <t>Mirandópolis IV - Terreno</t>
  </si>
  <si>
    <t>Salto IV - Terreno</t>
  </si>
  <si>
    <t>Itatinga IV - Terreno</t>
  </si>
  <si>
    <t>Brodowski III - Terreno</t>
  </si>
  <si>
    <t>São Bernardo do Campo I - Fórum Principal</t>
  </si>
  <si>
    <t>Ibiúna III - Terreno</t>
  </si>
  <si>
    <t>São Sebastião da Grama IV - Terreno</t>
  </si>
  <si>
    <t>Ipuã III - Terreno</t>
  </si>
  <si>
    <t>Novo Horizonte III - JEC / JECRIM</t>
  </si>
  <si>
    <t>Monte Alto V - Terreno</t>
  </si>
  <si>
    <t>São Bernardo do Campo III - JEC / JECRIM (FDSBC)</t>
  </si>
  <si>
    <t>Santa Isabel II - JEC / JECRIM + Unidade(s) Administrativa(s) + Central de mandados + CEJUSC + Execuções fiscais - Ofício + Psicossocial</t>
  </si>
  <si>
    <t>Presidente Prudente V - Terreno</t>
  </si>
  <si>
    <t>Novo Horizonte I - Fórum Principal</t>
  </si>
  <si>
    <t>Viradouro I - Fórum Principal</t>
  </si>
  <si>
    <t>Guarulhos V - CEJUSC (UNG)</t>
  </si>
  <si>
    <t>Santa Isabel V - CEJUSC Igaratá (Imóvel destinado para serviços públicos)</t>
  </si>
  <si>
    <t>Guaratinguetá I - Fórum Principal</t>
  </si>
  <si>
    <t>Mogi das Cruzes VI - JEC / JECRIM (UNIBRAZCUBAS)</t>
  </si>
  <si>
    <t>Guarulhos IV - CEJUSC (Associação Comercial)</t>
  </si>
  <si>
    <t>Mogi das Cruzes VII - CEJUSC (Centro de Integração e Cidadania)</t>
  </si>
  <si>
    <t>Teodoro Sampaio II - UAAJ Euclides da Cunha Paulista (Prefeitura e órgãos da prefeitura)</t>
  </si>
  <si>
    <t>Tatuí III - Justiça restaurativa (Imóvel destinado para serviços públicos)</t>
  </si>
  <si>
    <t>Rio Grande da Serra II - Fórum Principal</t>
  </si>
  <si>
    <t>Vinhedo I - Fórum Principal</t>
  </si>
  <si>
    <t>Monte Mor III - CEJUSC Elias Fausto (Prefeitura e órgãos da prefeitura)</t>
  </si>
  <si>
    <t>Junqueirópolis II - CEJUSC (Prefeitura e órgãos da prefeitura)</t>
  </si>
  <si>
    <t>Itu V - Execuções fiscais - Ofício</t>
  </si>
  <si>
    <t>Vinhedo II - Execuções fiscais - Ofício (Imóvel destinado para serviços públicos)</t>
  </si>
  <si>
    <t>São Paulo - Fórum Regional XI - Pinheiros</t>
  </si>
  <si>
    <t>Araras V - Violência doméstica / Familiar / Mulher - Ofício</t>
  </si>
  <si>
    <t>Osasco VI - Fórum Principal</t>
  </si>
  <si>
    <t>Arujá VIII - CEJUSC</t>
  </si>
  <si>
    <t>Arujá VI - JEC / JECRIM</t>
  </si>
  <si>
    <t>Arujá III - Psicossocial</t>
  </si>
  <si>
    <t>Arujá V - Salão do Júri</t>
  </si>
  <si>
    <t>Salão do Júri</t>
  </si>
  <si>
    <t>Caconde I - Fórum Principal</t>
  </si>
  <si>
    <t>Mogi Guaçu I - Fórum Principal</t>
  </si>
  <si>
    <t>Santa Branca I - Fórum Principal</t>
  </si>
  <si>
    <t>Cerquilho II - CEJUSC</t>
  </si>
  <si>
    <t>Junqueirópolis I - Fórum Principal</t>
  </si>
  <si>
    <t>Campinas I - Fórum Principal (Palácio)</t>
  </si>
  <si>
    <t>Guarulhos II - Fórum Cível</t>
  </si>
  <si>
    <t>Maracaí I - Fórum Principal</t>
  </si>
  <si>
    <t>São José dos Campos I - Fórum Principal</t>
  </si>
  <si>
    <t>São José dos Campos II - CEJUSC + Arquivo / Acervo + Depósito + Execuções fiscais - Ofício</t>
  </si>
  <si>
    <t>Salto I - Fórum Principal</t>
  </si>
  <si>
    <t>Colina I - Fórum Principal</t>
  </si>
  <si>
    <t>Monte Azul Paulista I - Fórum Principal</t>
  </si>
  <si>
    <t>Fernandópolis III - CEJUSC</t>
  </si>
  <si>
    <t>Itararé I - Fórum Principal</t>
  </si>
  <si>
    <t>São Paulo - JEC / JECRIM XII - São Miguel Paulista (Centro de Integração e Cidadania)</t>
  </si>
  <si>
    <t>Iacanga III - CEJUSC (Imóvel destinado para serviços públicos)</t>
  </si>
  <si>
    <t>Santo André I - Fórum Principal</t>
  </si>
  <si>
    <t>Mirante do Paranapanema I - Fórum Principal</t>
  </si>
  <si>
    <t>Ouroeste I - Em reforma / Projeto</t>
  </si>
  <si>
    <t>Ouroeste II - Fórum Principal</t>
  </si>
  <si>
    <t>Caconde II - JEC / JECRIM</t>
  </si>
  <si>
    <t>Morro Agudo I - Fórum Principal</t>
  </si>
  <si>
    <t>Nuporanga I - Fórum Principal</t>
  </si>
  <si>
    <t>Ribeirão Bonito I - Fórum Principal</t>
  </si>
  <si>
    <t>Santa Rosa de Viterbo</t>
  </si>
  <si>
    <t>Santa Rosa de Viterbo I - Fórum Principal</t>
  </si>
  <si>
    <t>São Simão I - Fórum Principal</t>
  </si>
  <si>
    <t>Batatais II -JEC / JECRIM</t>
  </si>
  <si>
    <t>São Paulo - JEC / JECRIM XIV Itaquera (Poupatempo)</t>
  </si>
  <si>
    <t>Poupatempo</t>
  </si>
  <si>
    <t>Aguaí I - Fórum Principal</t>
  </si>
  <si>
    <t>Altinópolis I - Fórum Principal</t>
  </si>
  <si>
    <t>Batatais I - Fórum Principal</t>
  </si>
  <si>
    <t>São José do Rio Pardo I - Fórum Principal</t>
  </si>
  <si>
    <t>Casa Branca I - Fórum Principal</t>
  </si>
  <si>
    <t>Guará I - Fórum Principal</t>
  </si>
  <si>
    <t>Mococa I - Fórum Principal</t>
  </si>
  <si>
    <t>Ourinhos I - Fórum Principal</t>
  </si>
  <si>
    <t>Pedregulho I - Fórum Principal</t>
  </si>
  <si>
    <t>Casa Branca II - JEC / JECRIM + CEJUSC</t>
  </si>
  <si>
    <t>Ourinhos III - Justiça restaurativa</t>
  </si>
  <si>
    <t>Jaboticabal I - Fórum Principal</t>
  </si>
  <si>
    <t>São Joaquim da Barra I - Fórum Principal</t>
  </si>
  <si>
    <t>Itápolis II - Execuções fiscais - Ofício</t>
  </si>
  <si>
    <t>Jaboticabal III - Psicossocial</t>
  </si>
  <si>
    <t>Matão I - Fórum Principal</t>
  </si>
  <si>
    <t>Itápolis I - Fórum Principal</t>
  </si>
  <si>
    <t>Itápolis III - CEJUSC</t>
  </si>
  <si>
    <t>Américo Brasiliense I - Fórum Principal</t>
  </si>
  <si>
    <t>Brodowski I - Fórum Principal</t>
  </si>
  <si>
    <t>Igarapava I - Fórum Principal</t>
  </si>
  <si>
    <t>Monte Mor I - Fórum Principal</t>
  </si>
  <si>
    <t>Queluz II - Arquivo / Acervo</t>
  </si>
  <si>
    <t>Itapeva I - Fórum Principal</t>
  </si>
  <si>
    <t>Queluz I - Fórum Principal</t>
  </si>
  <si>
    <t>Serrana I - Fórum Principal</t>
  </si>
  <si>
    <t>Itapecerica da Serra II - CEJUSC</t>
  </si>
  <si>
    <t>Caraguatatuba V - Estacionamento</t>
  </si>
  <si>
    <t>Tambaú I - Fórum Principal</t>
  </si>
  <si>
    <t>Santa Cruz das Palmeiras II - CEJUSC + Psicossocial</t>
  </si>
  <si>
    <t>Getulina I - Fórum Principal</t>
  </si>
  <si>
    <t>Guararema I - Fórum Principal</t>
  </si>
  <si>
    <t>Rancharia I - Fórum Principal</t>
  </si>
  <si>
    <t>Rancharia II - JEC / JECRIM + CEJUSC + Psicossocial</t>
  </si>
  <si>
    <t>Bragança Paulista III - CEJUSC (USF)</t>
  </si>
  <si>
    <t>São Paulo  - Almoxarifado + Depósito</t>
  </si>
  <si>
    <t>Almoxarifado</t>
  </si>
  <si>
    <t>Ibitinga I - Fórum Principal</t>
  </si>
  <si>
    <t>Pindamonhangaba II - CEJUSC + JEC / JECRIM + Execuções fiscais - Ofício</t>
  </si>
  <si>
    <t>Paraibuna II - UDAJ</t>
  </si>
  <si>
    <t>Itu I - Fórum Principal</t>
  </si>
  <si>
    <t>Dracena III - CEJUSC (REGES)</t>
  </si>
  <si>
    <t>Tatuí II - UAAJ Capela do Alto (Prefeitura e órgãos da prefeitura)</t>
  </si>
  <si>
    <t>Campinas VI - JEC / JECRIM (PUC 2)</t>
  </si>
  <si>
    <t>Campinas X - CEJUSC (PUC)</t>
  </si>
  <si>
    <t>Leme III - CEJUSC</t>
  </si>
  <si>
    <t>Leme IV - JEC / JECRIM (Anhanguera)</t>
  </si>
  <si>
    <t>Campinas III - JEC / JECRIM (UNISAL)</t>
  </si>
  <si>
    <t>Cardoso I - Fórum Principal</t>
  </si>
  <si>
    <t>Cruzeiro I - Fórum Principal</t>
  </si>
  <si>
    <t>Franco da Rocha I - Fórum Principal</t>
  </si>
  <si>
    <t>Potirendaba I - Fórum Principal</t>
  </si>
  <si>
    <t>Cruzeiro III - CEJUSC</t>
  </si>
  <si>
    <t>Cruzeiro IV - Execuções fiscais - Ofício (Fundação particular)</t>
  </si>
  <si>
    <t>Fundação particular</t>
  </si>
  <si>
    <t>Bananal I - Fórum Principal</t>
  </si>
  <si>
    <t>Bragança Paulista I - Fórum Principal</t>
  </si>
  <si>
    <t>Cotia I - Fórum Principal</t>
  </si>
  <si>
    <t>Itariri I - Fórum Principal</t>
  </si>
  <si>
    <t>Salto de Pirapora I - Fórum Principal</t>
  </si>
  <si>
    <t>Osasco III - Fazenda pública - Vara (Prefeitura e órgãos da prefeitura)</t>
  </si>
  <si>
    <t>Santos V - DEECRIM + Central de mandados</t>
  </si>
  <si>
    <t>General Salgado II - CEJUSC (Polícia)</t>
  </si>
  <si>
    <t>Sertãozinho III - CEJUSC  (Polícia)</t>
  </si>
  <si>
    <t>Águas de Lindóia I - Fórum Principal</t>
  </si>
  <si>
    <t>Cabreúva I - Fórum Principal</t>
  </si>
  <si>
    <t>Jales I - Fórum Principal</t>
  </si>
  <si>
    <t>Neves Paulista I - Fórum Principal</t>
  </si>
  <si>
    <t>Osasco I - Fórum Principal</t>
  </si>
  <si>
    <t>Pederneiras I - Fórum Principal</t>
  </si>
  <si>
    <t>Pompéia I - Fórum Principal</t>
  </si>
  <si>
    <t>Salto II - Execuções fiscais - Ofício + JEC / JECRIM + Psicossocial</t>
  </si>
  <si>
    <t>Itaquaquecetuba I - Fórum Principal</t>
  </si>
  <si>
    <t>Osasco II - Família / Sucessões - Vara</t>
  </si>
  <si>
    <t>Família / Sucessões - Vara</t>
  </si>
  <si>
    <t>Águas de Lindóia II - JEC / JECRIM + Psicossocial</t>
  </si>
  <si>
    <t>Olímpia IV - Execuções fiscais - Ofício (Imóvel comercial)</t>
  </si>
  <si>
    <t>Bauru II - Fazenda pública - Vara + Família / Sucessões - Vara + CEJUSC</t>
  </si>
  <si>
    <t>São Paulo - Fórum Regional XV - Butantã</t>
  </si>
  <si>
    <t>Bauru III - Execuções criminais - Ofício</t>
  </si>
  <si>
    <t>Pederneiras II - CEJUSC + Execuções fiscais - Ofício (Imóvel destinado para serviços públicos)</t>
  </si>
  <si>
    <t>Bauru IV - DEECRIM + Unidade(s) Administrativa(s)</t>
  </si>
  <si>
    <t>Pederneiras III - Arquivo / Acervo + Depósito</t>
  </si>
  <si>
    <t>Salto III - CEJUSC + Central de mandados</t>
  </si>
  <si>
    <t>Jales II - JEC / JECRIM + Execuções fiscais - Ofício + Colégio Recursal</t>
  </si>
  <si>
    <t>Itaquaquecetuba II - CEJUSC (Imóvel comercial)</t>
  </si>
  <si>
    <t>Jales III - CEJUSC</t>
  </si>
  <si>
    <t>Osasco IV - CEJUSC</t>
  </si>
  <si>
    <t>Pompéia II - Arquivo / Acervo</t>
  </si>
  <si>
    <t>Bauru VII - CEJUSC Arealva (Prefeitura e órgãos da prefeitura)</t>
  </si>
  <si>
    <t>Campinas VIII - CEJUSC (UNIP)</t>
  </si>
  <si>
    <t>Osasco V - CEJUSC (Defensoria Pública)</t>
  </si>
  <si>
    <t>Bauru IX - Arquivo / Acervo (Prefeitura e órgãos da prefeitura)</t>
  </si>
  <si>
    <t>Bauru X - Arquivo / Acervo</t>
  </si>
  <si>
    <t>Eldorado I - Fórum Principal</t>
  </si>
  <si>
    <t>Vinhedo III - CEJUSC (Imóvel destinado para serviços públicos)</t>
  </si>
  <si>
    <t>Caconde IV - CEJUSC (Imóvel destinado para serviços públicos)</t>
  </si>
  <si>
    <t>Campinas IV - JEC / JECRIM (FACAMP)</t>
  </si>
  <si>
    <t>Campinas IX - CEJUSC (FACAMP)</t>
  </si>
  <si>
    <t>São Paulo - Fórum Regional III - Jabaquara</t>
  </si>
  <si>
    <t>Caconde III - CEJUSC Tapiratiba (Imóvel destinado para serviços públicos)</t>
  </si>
  <si>
    <t>São Paulo - GADE VI - MMDC</t>
  </si>
  <si>
    <t>São Paulo - Museu</t>
  </si>
  <si>
    <t>Museu</t>
  </si>
  <si>
    <t>Lins IV - CEJUSC (Polícia)</t>
  </si>
  <si>
    <t>Araraquara III - CEJUSC (UNIARA)</t>
  </si>
  <si>
    <t>Guararapes I - Fórum Principal</t>
  </si>
  <si>
    <t>Porangaba I - Fórum Principal</t>
  </si>
  <si>
    <t>São Paulo - Fórum Regional V - São Miguel Paulista</t>
  </si>
  <si>
    <t>Taboão da Serra II - Execuções fiscais - Ofício (Imóvel comercial)</t>
  </si>
  <si>
    <t>Taboão da Serra IV - CEJUSC (Imóvel destinado para serviços públicos)</t>
  </si>
  <si>
    <t>Guarujá IV - CEJUSC (UNAERP)</t>
  </si>
  <si>
    <t>Boituva II - JEC / JECRIM (Imóvel comercial)</t>
  </si>
  <si>
    <t>Limeira III - CEJUSC (Imóvel destinado para serviços públicos)</t>
  </si>
  <si>
    <t>Espírito Santo do Pinhal III - CEJUSC (UNIPINHAL)</t>
  </si>
  <si>
    <t>Boituva VII - CEJUSC (Imóvel comercial)</t>
  </si>
  <si>
    <t>São Vicente I - Fórum Principal</t>
  </si>
  <si>
    <t>Jales IV - UDAJ (UNIJALES)</t>
  </si>
  <si>
    <t>Guaíra I - Fórum Principal</t>
  </si>
  <si>
    <t>Lins I - Fórum Principal</t>
  </si>
  <si>
    <t>Batatais III - CEJUSC (Claretiano)</t>
  </si>
  <si>
    <t>Capão Bonito II - UAAJ Guapiara (Prefeitura e órgãos da prefeitura)</t>
  </si>
  <si>
    <t>Jaú III - JEC / JECRIM (FIJAU)</t>
  </si>
  <si>
    <t>Jacupiranga I - Fórum Principal</t>
  </si>
  <si>
    <t>Miracatu I - Fórum Principal</t>
  </si>
  <si>
    <t>São Manuel III - CEJUSC (FMR)</t>
  </si>
  <si>
    <t>Guararema II - CEJUSC</t>
  </si>
  <si>
    <t>Garça III - CEJUSC</t>
  </si>
  <si>
    <t>Pilar do Sul III - Terreno</t>
  </si>
  <si>
    <t>Bebedouro III - JEC / JECRIM + CEJUSC + Central de mandados</t>
  </si>
  <si>
    <t>São Roque I - Fórum Principal</t>
  </si>
  <si>
    <t>Serra Negra II - Unidade(s) Administrativa(s) + Central de mandados + Almoxarifado</t>
  </si>
  <si>
    <t>Serra Negra IV - Arquivo / Acervo + Almoxarifado</t>
  </si>
  <si>
    <t>São Paulo - CEJUSC III - Itaquera (Polícia)</t>
  </si>
  <si>
    <t>Garça I - Fórum Principal</t>
  </si>
  <si>
    <t>Itaberá I - Fórum Principal</t>
  </si>
  <si>
    <t>Panorama I - Fórum Principal</t>
  </si>
  <si>
    <t>Itatinga III - CEJUSC (Prefeitura e órgãos da prefeitura)</t>
  </si>
  <si>
    <t>Itaberá II - CEJUSC</t>
  </si>
  <si>
    <t>Boituva I - Fórum Principal</t>
  </si>
  <si>
    <t>Itapetininga IV - Justiça restaurativa (Imóvel destinado para serviços públicos)</t>
  </si>
  <si>
    <t>Itapira II - CEJUSC</t>
  </si>
  <si>
    <t>São João da Boa Vista II - CEJUSC + JEC / JECRIM (UNIFEOB)</t>
  </si>
  <si>
    <t>Garça IV - CEJUSC (Polícia)</t>
  </si>
  <si>
    <t>Serra Negra III - JEC / JECRIM + Psicossocial</t>
  </si>
  <si>
    <t>Itapevi I - Fórum Principal</t>
  </si>
  <si>
    <t>Ilhabela I - Fórum Principal</t>
  </si>
  <si>
    <t>Sertãozinho I - Fórum Principal</t>
  </si>
  <si>
    <t>Sertãozinho II - CEJUSC + Execuções fiscais - Ofício (Imóvel comercial)</t>
  </si>
  <si>
    <t>Avaré II - CEJUSC (EDUVALE)</t>
  </si>
  <si>
    <t>Regente Feijó I - Fórum Principal</t>
  </si>
  <si>
    <t>Sumaré II - Execuções fiscais - Ofício</t>
  </si>
  <si>
    <t>Adamantina II - Arquivo / Acervo</t>
  </si>
  <si>
    <t>São José do Rio Preto VI - CEJUSC (Polícia)</t>
  </si>
  <si>
    <t>Rosana I - Fórum Principal</t>
  </si>
  <si>
    <t>Marília I - Fórum Principal</t>
  </si>
  <si>
    <t>Marília II - Execuções criminais - Vara + Execuções fiscais - Ofício</t>
  </si>
  <si>
    <t>Execuções criminais - Vara</t>
  </si>
  <si>
    <t>Marília III - Psicossocial (Imóvel comercial)</t>
  </si>
  <si>
    <t>São José do Rio Preto V - CEJUSC (UNIRP)</t>
  </si>
  <si>
    <t>Marília IV - CEJUSC (UNIMAR)</t>
  </si>
  <si>
    <t>Macaubal II - JEC / JECRIM + Psicossocial</t>
  </si>
  <si>
    <t>Caçapava IV - CEJUSC (Polícia)</t>
  </si>
  <si>
    <t>Penápolis VI - UAAJ Braúna (Prefeitura e órgãos da prefeitura)</t>
  </si>
  <si>
    <t>Lorena II - CEJUSC  (Prefeitura e órgãos da prefeitura)</t>
  </si>
  <si>
    <t>Ouroeste III - UAAJ Indiaporã (Prefeitura e órgãos da prefeitura)</t>
  </si>
  <si>
    <t>Campos do Jordão II - CEJUSC (Imóvel destinado para serviços públicos)</t>
  </si>
  <si>
    <t>Lençóis Paulista I - Fórum Principal</t>
  </si>
  <si>
    <t>São Vicente IV - Central de mandados + Psicossocial</t>
  </si>
  <si>
    <t>Central de mandados</t>
  </si>
  <si>
    <t>São Carlos III - CEJUSC</t>
  </si>
  <si>
    <t>Cândido Mota II - CEJUSC (Polícia)</t>
  </si>
  <si>
    <t>Ribeirão Preto VI - CEJUSC  (Polícia)</t>
  </si>
  <si>
    <t>Pacaembu I - Fórum Principal</t>
  </si>
  <si>
    <t>Duartina I - Fórum Principal</t>
  </si>
  <si>
    <t>Santo Anastácio I - Fórum Principal</t>
  </si>
  <si>
    <t>Paulínia II - CEJUSC (Imóvel destinado para serviços públicos)</t>
  </si>
  <si>
    <t>Limeira IV - CEJUSC Iracemápolis</t>
  </si>
  <si>
    <t>Artur Nogueira III - CEJUSC (Imóvel destinado para serviços públicos)</t>
  </si>
  <si>
    <t>Cândido Mota I - Fórum Principal</t>
  </si>
  <si>
    <t>Itapetininga I - Fórum Principal</t>
  </si>
  <si>
    <t>Patrocínio Paulista I - Fórum Principal</t>
  </si>
  <si>
    <t>Capão Bonito I - Fórum Principal</t>
  </si>
  <si>
    <t>Jarinu I - Fórum Principal</t>
  </si>
  <si>
    <t>Tatuí I - Fórum Principal</t>
  </si>
  <si>
    <t>Nova Granada III - Sem uso / Vazio</t>
  </si>
  <si>
    <t>Santa Cruz das Palmeiras I - Fórum Principal</t>
  </si>
  <si>
    <t>Roseira I - Fórum Principal</t>
  </si>
  <si>
    <t>Taubaté VII - JEC / JECRIM (UNITAU)</t>
  </si>
  <si>
    <t>Caçapava I - JEC / JECRIM + Psicossocial</t>
  </si>
  <si>
    <t>Caçapava II - Criminal - Vara + Execuções fiscais - Ofício + Execuções criminais - Vara + Execuções criminais - Ofício</t>
  </si>
  <si>
    <t>Criminal - Vara</t>
  </si>
  <si>
    <t>Cravinhos II - Em reforma / Projeto</t>
  </si>
  <si>
    <t>Itaí I - Fórum Principal</t>
  </si>
  <si>
    <t>São Paulo  - Fórum Regional VII - Itaquera</t>
  </si>
  <si>
    <t>São Paulo - JEC / JECRIM II - Central Vergueiro</t>
  </si>
  <si>
    <t>São Paulo - Fórum Regional VI - Penha de França</t>
  </si>
  <si>
    <t>São Paulo - Grupos e Câmaras III - Rua da Glória</t>
  </si>
  <si>
    <t>São Paulo - JEC / JECRIM I - Central</t>
  </si>
  <si>
    <t>São Paulo - Tabatinguera - Em reforma / Projeto (Futuras Instalações Seção de Direito Publico)</t>
  </si>
  <si>
    <t>São Paulo - CEJUSC IX - Central (CDHU)</t>
  </si>
  <si>
    <t>CDHU</t>
  </si>
  <si>
    <t>São Paulo - JEC / JECRIM IV - Lapa (UNIP)</t>
  </si>
  <si>
    <t>São Paulo - JEC / JECRIM V - Santo Amaro (UNISA)</t>
  </si>
  <si>
    <t>São Paulo - JEC / JECRIM VI - Santo Amaro (UNIP)</t>
  </si>
  <si>
    <t>São Paulo - UAAJ (Mackenzie)</t>
  </si>
  <si>
    <t>São Paulo - Violência doméstica / Familiar / Mulher - Ofício (Casa da Mulher Brasileira)</t>
  </si>
  <si>
    <t>Casa da mulher brasileira</t>
  </si>
  <si>
    <t>Santa Isabel I - Fórum Principal</t>
  </si>
  <si>
    <t>Boituva III - Execuções fiscais - Ofício + Psicossocial</t>
  </si>
  <si>
    <t>Itu II - JEC / JECRIM - Vara</t>
  </si>
  <si>
    <t>Itu IV - CEJUSC (FADITU)</t>
  </si>
  <si>
    <t>Barueri II - CEJUSC + Justiça Restaurativa</t>
  </si>
  <si>
    <t>Arujá VII - Arquivo / Acervo (Prefeitura e órgãos da prefeitura)</t>
  </si>
  <si>
    <t>Guarulhos III - CEJUSC (FIG/UNIMESP)</t>
  </si>
  <si>
    <t>São Caetano do Sul II - CEJUSC (USCS)</t>
  </si>
  <si>
    <t>Boituva IV - UAAJ Iperó (Imóvel destinado para serviços públicos)</t>
  </si>
  <si>
    <t>Itapeva II - UAAJ (FAIT)</t>
  </si>
  <si>
    <t>Porangaba II - UAAJ Bofete (Prefeitura e órgãos da prefeitura)</t>
  </si>
  <si>
    <t>Porangaba III - UAAJ Guareí</t>
  </si>
  <si>
    <t>Boituva V - Justiça restaurativa + Arquivo / Acervo</t>
  </si>
  <si>
    <t>Pedreira I - Fórum Principal</t>
  </si>
  <si>
    <t>Caraguatatuba I - Fórum Principal</t>
  </si>
  <si>
    <t>Caraguatatuba II - Fazenda pública - Vara</t>
  </si>
  <si>
    <t>Caraguatatuba III - CEJUSC</t>
  </si>
  <si>
    <t>Guaíra II - Cível - Ofício + JEC / JECRIM + Psicossocial + CEJUSC</t>
  </si>
  <si>
    <t>Cível - Ofício</t>
  </si>
  <si>
    <t>Votuporanga III - CEJUSC (UNIFEV)</t>
  </si>
  <si>
    <t>Itajobi II - Justiça restaurativa (Imóvel destinado para serviços públicos)</t>
  </si>
  <si>
    <t>Miguelópolis I - Fórum Principal</t>
  </si>
  <si>
    <t>Paraguaçu Paulista I - Fórum Principal</t>
  </si>
  <si>
    <t>Panorama II - CEJUSC</t>
  </si>
  <si>
    <t>Patrocínio Paulista II -  Outros (Prefeitura)</t>
  </si>
  <si>
    <t>Pedregulho II - CEJUSC</t>
  </si>
  <si>
    <t>Ribeirão Preto IV - CEJUSC (Imóvel comercial)</t>
  </si>
  <si>
    <t>Ribeirão Preto V - JEC / JECRIM (UNIMOURALACERDA)</t>
  </si>
  <si>
    <t>Ribeirão Preto VII - JEC / JECRIM (UNIP)</t>
  </si>
  <si>
    <t>Ribeirão Preto VIII - CEJUSC (UNAERP)</t>
  </si>
  <si>
    <t>Cravinhos I - Fórum Principal</t>
  </si>
  <si>
    <t>Piracicaba II - Execuções fiscais - Ofício</t>
  </si>
  <si>
    <t>Espírito Santo do Pinhal II - Arquivo / Acervo + Psicossocial (Imóvel destinado para serviços públicos)</t>
  </si>
  <si>
    <t>Cajamar II - CEJUSC (Imóvel destinado para serviços públicos)</t>
  </si>
  <si>
    <t>Jaguariúna III - CEJUSC (UNIFAJ)</t>
  </si>
  <si>
    <t>Araras IV - CEJUSC (Prefeitura e órgãos da prefeitura)</t>
  </si>
  <si>
    <t>Jundiaí III - JEC / JECRIM (UNIANCHIETA)</t>
  </si>
  <si>
    <t>Campinas VII - JEC / JECRIM (METROCAMP)</t>
  </si>
  <si>
    <t>55ª CJ -Jales</t>
  </si>
  <si>
    <t>Auriflama I - Fórum Principal</t>
  </si>
  <si>
    <t>Bertioga I - Fórum Principal</t>
  </si>
  <si>
    <t>Itanhaém I - Fórum Principal</t>
  </si>
  <si>
    <t>Palmeira d'Oeste</t>
  </si>
  <si>
    <t>Palmeira d'Oeste I - Fórum Principal</t>
  </si>
  <si>
    <t>Pereira Barreto I - Fórum Principal</t>
  </si>
  <si>
    <t>São Vicente II - Execuções fiscais - Ofício  (Imóvel destinado para serviços públicos)</t>
  </si>
  <si>
    <t>São Vicente VI - Família / Sucessões - Vara + CEJUSC</t>
  </si>
  <si>
    <t>Ipaussu III - Terreno</t>
  </si>
  <si>
    <t>Itanhaém III - Sem uso / Vazio</t>
  </si>
  <si>
    <t>Araçatuba VII - CEJUSC (UNITOLEDO)</t>
  </si>
  <si>
    <t>Araçatuba VIII - CEJUSC (Polícia)</t>
  </si>
  <si>
    <t>Praia Grande I - Fórum Principal</t>
  </si>
  <si>
    <t>Promissão I - Fórum Principal</t>
  </si>
  <si>
    <t>Getulina II - CEJUSC + Psicossocial</t>
  </si>
  <si>
    <t>Promissão II -JEC / JECRIM + Central de mandados + Psicossocial</t>
  </si>
  <si>
    <t>Registro II - Execuções fiscais - Ofício + Psicossocial</t>
  </si>
  <si>
    <t>Promissão III -  Outros (TRE)</t>
  </si>
  <si>
    <t xml:space="preserve">Ferraz de Vasconcelos II - Execuções Fiscais </t>
  </si>
  <si>
    <t>Filtros aplicados:
Ativo/Baixado é 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</si>
</sst>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00\-0000"/>
    <numFmt numFmtId="167" formatCode="_-* #,##0_-;\-* #,##0_-;_-* &quot;-&quot;??_-;_-@_-"/>
    <numFmt numFmtId="168" formatCode="0_ ;\-0\ "/>
    <numFmt numFmtId="169" formatCode="_-* #,##0.0000_-;\-* #,##0.0000_-;_-* &quot;-&quot;??_-;_-@_-"/>
    <numFmt numFmtId="170" formatCode="0.0000%"/>
    <numFmt numFmtId="171" formatCode="_-* #,##0.0000_-;\-* #,##0.0000_-;_-* &quot;-&quot;????_-;_-@_-"/>
    <numFmt numFmtId="172" formatCode="#,##0_ ;\-#,##0\ "/>
    <numFmt numFmtId="173" formatCode="_-* #,##0.00000_-;\-* #,##0.00000_-;_-* &quot;-&quot;??_-;_-@_-"/>
    <numFmt numFmtId="174" formatCode="0.0%"/>
    <numFmt numFmtId="175" formatCode="_-* #,##0.000_-;\-* #,##0.000_-;_-* &quot;-&quot;??_-;_-@_-"/>
    <numFmt numFmtId="176" formatCode="0.000000"/>
    <numFmt numFmtId="177" formatCode="0.0000"/>
    <numFmt numFmtId="178" formatCode="0.000%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rgb="FFC00000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4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theme="4"/>
      </patternFill>
    </fill>
    <fill>
      <patternFill patternType="solid">
        <fgColor theme="0" tint="-0.249977111117893"/>
        <bgColor theme="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/>
      </patternFill>
    </fill>
  </fills>
  <borders count="6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theme="0" tint="-0.499984740745262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0"/>
      </left>
      <right/>
      <top style="thin">
        <color theme="3" tint="0.59996337778862885"/>
      </top>
      <bottom style="thin">
        <color theme="0"/>
      </bottom>
      <diagonal/>
    </border>
    <border>
      <left/>
      <right/>
      <top style="thin">
        <color theme="3" tint="0.59996337778862885"/>
      </top>
      <bottom style="thin">
        <color theme="0"/>
      </bottom>
      <diagonal/>
    </border>
    <border>
      <left/>
      <right style="thin">
        <color theme="0"/>
      </right>
      <top style="thin">
        <color theme="3" tint="0.59996337778862885"/>
      </top>
      <bottom style="thin">
        <color theme="0"/>
      </bottom>
      <diagonal/>
    </border>
    <border>
      <left/>
      <right/>
      <top/>
      <bottom style="thin">
        <color theme="3" tint="0.59996337778862885"/>
      </bottom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 style="thin">
        <color theme="0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499984740745262"/>
      </left>
      <right/>
      <top style="thin">
        <color theme="0"/>
      </top>
      <bottom style="thin">
        <color theme="0" tint="-0.499984740745262"/>
      </bottom>
      <diagonal/>
    </border>
    <border>
      <left/>
      <right/>
      <top style="thin">
        <color theme="0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theme="0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4" fillId="0" borderId="0"/>
  </cellStyleXfs>
  <cellXfs count="578">
    <xf numFmtId="0" fontId="0" fillId="0" borderId="0" xfId="0"/>
    <xf numFmtId="0" fontId="0" fillId="0" borderId="1" xfId="0" applyBorder="1"/>
    <xf numFmtId="10" fontId="5" fillId="0" borderId="4" xfId="2" applyNumberFormat="1" applyFont="1" applyBorder="1" applyAlignment="1" applyProtection="1">
      <alignment vertical="center"/>
    </xf>
    <xf numFmtId="166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6" fontId="6" fillId="9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/>
    <xf numFmtId="0" fontId="5" fillId="0" borderId="1" xfId="0" applyFont="1" applyBorder="1"/>
    <xf numFmtId="0" fontId="9" fillId="0" borderId="7" xfId="0" applyFont="1" applyBorder="1" applyAlignment="1">
      <alignment horizontal="left" vertical="center" wrapText="1"/>
    </xf>
    <xf numFmtId="0" fontId="7" fillId="0" borderId="1" xfId="0" applyFont="1" applyBorder="1"/>
    <xf numFmtId="0" fontId="9" fillId="2" borderId="4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 applyProtection="1">
      <alignment horizontal="left" vertical="center" wrapText="1"/>
      <protection locked="0"/>
    </xf>
    <xf numFmtId="0" fontId="9" fillId="8" borderId="4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 applyProtection="1">
      <alignment horizontal="center" vertical="center" wrapText="1"/>
      <protection locked="0"/>
    </xf>
    <xf numFmtId="14" fontId="10" fillId="8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/>
    <xf numFmtId="0" fontId="5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43" fontId="8" fillId="0" borderId="4" xfId="1" applyFont="1" applyFill="1" applyBorder="1" applyAlignment="1" applyProtection="1">
      <alignment vertical="center"/>
    </xf>
    <xf numFmtId="43" fontId="6" fillId="0" borderId="4" xfId="1" applyFont="1" applyFill="1" applyBorder="1" applyAlignment="1" applyProtection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1" applyNumberFormat="1" applyFont="1" applyBorder="1" applyAlignment="1" applyProtection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1" applyNumberFormat="1" applyFont="1" applyAlignment="1" applyProtection="1">
      <alignment vertical="center"/>
    </xf>
    <xf numFmtId="43" fontId="5" fillId="0" borderId="0" xfId="1" applyFont="1" applyAlignment="1" applyProtection="1">
      <alignment vertical="center"/>
    </xf>
    <xf numFmtId="43" fontId="5" fillId="0" borderId="1" xfId="0" applyNumberFormat="1" applyFont="1" applyBorder="1" applyAlignment="1">
      <alignment vertical="center" wrapText="1"/>
    </xf>
    <xf numFmtId="43" fontId="6" fillId="4" borderId="4" xfId="1" applyFont="1" applyFill="1" applyBorder="1" applyAlignment="1" applyProtection="1">
      <alignment vertical="center"/>
    </xf>
    <xf numFmtId="43" fontId="5" fillId="0" borderId="2" xfId="0" applyNumberFormat="1" applyFont="1" applyBorder="1" applyAlignment="1">
      <alignment vertical="center" wrapText="1"/>
    </xf>
    <xf numFmtId="0" fontId="5" fillId="4" borderId="4" xfId="0" applyFont="1" applyFill="1" applyBorder="1" applyAlignment="1">
      <alignment vertical="center"/>
    </xf>
    <xf numFmtId="168" fontId="5" fillId="4" borderId="4" xfId="1" applyNumberFormat="1" applyFont="1" applyFill="1" applyBorder="1" applyAlignment="1" applyProtection="1">
      <alignment horizontal="center" vertical="center"/>
    </xf>
    <xf numFmtId="0" fontId="5" fillId="0" borderId="13" xfId="0" applyFont="1" applyBorder="1" applyAlignment="1">
      <alignment vertical="center" wrapText="1"/>
    </xf>
    <xf numFmtId="0" fontId="7" fillId="2" borderId="13" xfId="0" applyFont="1" applyFill="1" applyBorder="1"/>
    <xf numFmtId="43" fontId="5" fillId="0" borderId="3" xfId="0" applyNumberFormat="1" applyFont="1" applyBorder="1"/>
    <xf numFmtId="0" fontId="8" fillId="0" borderId="1" xfId="0" applyFont="1" applyBorder="1"/>
    <xf numFmtId="0" fontId="5" fillId="0" borderId="8" xfId="0" applyFont="1" applyBorder="1" applyAlignment="1">
      <alignment vertical="center"/>
    </xf>
    <xf numFmtId="0" fontId="4" fillId="4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0" fontId="4" fillId="4" borderId="4" xfId="0" applyNumberFormat="1" applyFont="1" applyFill="1" applyBorder="1" applyAlignment="1">
      <alignment vertical="center"/>
    </xf>
    <xf numFmtId="0" fontId="8" fillId="0" borderId="0" xfId="0" applyFont="1" applyAlignment="1">
      <alignment vertical="center"/>
    </xf>
    <xf numFmtId="10" fontId="8" fillId="0" borderId="1" xfId="0" applyNumberFormat="1" applyFont="1" applyBorder="1"/>
    <xf numFmtId="10" fontId="5" fillId="0" borderId="3" xfId="0" applyNumberFormat="1" applyFont="1" applyBorder="1"/>
    <xf numFmtId="9" fontId="8" fillId="0" borderId="1" xfId="0" applyNumberFormat="1" applyFont="1" applyBorder="1"/>
    <xf numFmtId="10" fontId="4" fillId="3" borderId="4" xfId="0" applyNumberFormat="1" applyFont="1" applyFill="1" applyBorder="1" applyAlignment="1">
      <alignment vertical="center"/>
    </xf>
    <xf numFmtId="0" fontId="8" fillId="0" borderId="3" xfId="0" applyFont="1" applyBorder="1"/>
    <xf numFmtId="10" fontId="5" fillId="0" borderId="4" xfId="2" applyNumberFormat="1" applyFont="1" applyBorder="1" applyAlignment="1" applyProtection="1">
      <alignment horizontal="center" vertical="center"/>
    </xf>
    <xf numFmtId="43" fontId="5" fillId="0" borderId="4" xfId="1" applyFont="1" applyBorder="1" applyAlignment="1" applyProtection="1">
      <alignment vertical="center"/>
    </xf>
    <xf numFmtId="2" fontId="8" fillId="0" borderId="3" xfId="0" applyNumberFormat="1" applyFont="1" applyBorder="1"/>
    <xf numFmtId="170" fontId="5" fillId="0" borderId="4" xfId="2" applyNumberFormat="1" applyFont="1" applyBorder="1" applyAlignment="1" applyProtection="1">
      <alignment vertical="center"/>
    </xf>
    <xf numFmtId="0" fontId="5" fillId="0" borderId="1" xfId="0" applyFont="1" applyBorder="1" applyProtection="1">
      <protection locked="0"/>
    </xf>
    <xf numFmtId="0" fontId="5" fillId="0" borderId="0" xfId="0" applyFont="1"/>
    <xf numFmtId="0" fontId="5" fillId="0" borderId="4" xfId="0" applyFont="1" applyBorder="1" applyAlignment="1">
      <alignment vertical="center"/>
    </xf>
    <xf numFmtId="43" fontId="5" fillId="0" borderId="1" xfId="1" applyFont="1" applyBorder="1" applyAlignment="1" applyProtection="1">
      <alignment vertical="center" wrapText="1"/>
    </xf>
    <xf numFmtId="0" fontId="5" fillId="0" borderId="15" xfId="0" applyFont="1" applyBorder="1"/>
    <xf numFmtId="0" fontId="5" fillId="0" borderId="15" xfId="0" applyFont="1" applyBorder="1" applyProtection="1">
      <protection locked="0"/>
    </xf>
    <xf numFmtId="0" fontId="11" fillId="0" borderId="1" xfId="0" applyFont="1" applyBorder="1"/>
    <xf numFmtId="43" fontId="11" fillId="0" borderId="1" xfId="0" applyNumberFormat="1" applyFont="1" applyBorder="1"/>
    <xf numFmtId="43" fontId="5" fillId="0" borderId="1" xfId="0" applyNumberFormat="1" applyFont="1" applyBorder="1"/>
    <xf numFmtId="43" fontId="4" fillId="0" borderId="4" xfId="1" applyFont="1" applyBorder="1" applyAlignment="1" applyProtection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21" xfId="0" applyFont="1" applyBorder="1" applyAlignment="1">
      <alignment vertical="center"/>
    </xf>
    <xf numFmtId="0" fontId="4" fillId="4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wrapText="1"/>
    </xf>
    <xf numFmtId="43" fontId="5" fillId="11" borderId="4" xfId="1" applyFont="1" applyFill="1" applyBorder="1" applyAlignment="1" applyProtection="1">
      <alignment vertical="center"/>
      <protection locked="0"/>
    </xf>
    <xf numFmtId="0" fontId="5" fillId="11" borderId="4" xfId="1" applyNumberFormat="1" applyFont="1" applyFill="1" applyBorder="1" applyAlignment="1" applyProtection="1">
      <alignment horizontal="left" vertical="center"/>
      <protection locked="0"/>
    </xf>
    <xf numFmtId="10" fontId="5" fillId="11" borderId="4" xfId="1" applyNumberFormat="1" applyFont="1" applyFill="1" applyBorder="1" applyAlignment="1" applyProtection="1">
      <alignment vertical="center"/>
      <protection locked="0"/>
    </xf>
    <xf numFmtId="166" fontId="5" fillId="0" borderId="8" xfId="0" applyNumberFormat="1" applyFont="1" applyBorder="1" applyAlignment="1">
      <alignment horizontal="center" vertical="center" wrapText="1"/>
    </xf>
    <xf numFmtId="166" fontId="5" fillId="0" borderId="5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166" fontId="17" fillId="0" borderId="26" xfId="0" applyNumberFormat="1" applyFont="1" applyBorder="1" applyAlignment="1">
      <alignment horizontal="center" vertical="center" wrapText="1"/>
    </xf>
    <xf numFmtId="43" fontId="16" fillId="0" borderId="26" xfId="1" applyFont="1" applyBorder="1" applyAlignment="1" applyProtection="1">
      <alignment vertical="center"/>
    </xf>
    <xf numFmtId="43" fontId="16" fillId="0" borderId="1" xfId="0" applyNumberFormat="1" applyFont="1" applyBorder="1" applyAlignment="1">
      <alignment vertical="center" wrapText="1"/>
    </xf>
    <xf numFmtId="43" fontId="16" fillId="0" borderId="1" xfId="1" applyFont="1" applyBorder="1" applyAlignment="1" applyProtection="1">
      <alignment vertical="center" wrapText="1"/>
    </xf>
    <xf numFmtId="43" fontId="18" fillId="0" borderId="1" xfId="0" applyNumberFormat="1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2" fillId="0" borderId="0" xfId="0" applyFont="1"/>
    <xf numFmtId="43" fontId="15" fillId="4" borderId="26" xfId="0" applyNumberFormat="1" applyFont="1" applyFill="1" applyBorder="1" applyAlignment="1">
      <alignment vertical="center"/>
    </xf>
    <xf numFmtId="43" fontId="15" fillId="0" borderId="1" xfId="0" applyNumberFormat="1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43" fontId="15" fillId="0" borderId="26" xfId="1" applyFont="1" applyBorder="1" applyAlignment="1" applyProtection="1">
      <alignment horizontal="left" vertical="center"/>
    </xf>
    <xf numFmtId="10" fontId="16" fillId="0" borderId="26" xfId="2" applyNumberFormat="1" applyFont="1" applyBorder="1" applyAlignment="1" applyProtection="1">
      <alignment horizontal="right" vertical="center"/>
    </xf>
    <xf numFmtId="0" fontId="16" fillId="0" borderId="17" xfId="0" applyFont="1" applyBorder="1" applyAlignment="1">
      <alignment vertical="center"/>
    </xf>
    <xf numFmtId="0" fontId="15" fillId="0" borderId="26" xfId="0" applyFont="1" applyBorder="1" applyAlignment="1">
      <alignment horizontal="right" vertical="center"/>
    </xf>
    <xf numFmtId="10" fontId="16" fillId="0" borderId="17" xfId="2" applyNumberFormat="1" applyFont="1" applyBorder="1" applyAlignment="1" applyProtection="1">
      <alignment vertical="center"/>
    </xf>
    <xf numFmtId="10" fontId="15" fillId="12" borderId="31" xfId="2" applyNumberFormat="1" applyFont="1" applyFill="1" applyBorder="1" applyAlignment="1" applyProtection="1">
      <alignment horizontal="right" vertical="center"/>
    </xf>
    <xf numFmtId="43" fontId="15" fillId="12" borderId="26" xfId="1" applyFont="1" applyFill="1" applyBorder="1" applyAlignment="1" applyProtection="1">
      <alignment horizontal="left" vertical="center"/>
    </xf>
    <xf numFmtId="0" fontId="16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3" fillId="0" borderId="1" xfId="0" applyFont="1" applyBorder="1"/>
    <xf numFmtId="0" fontId="0" fillId="0" borderId="3" xfId="0" applyBorder="1"/>
    <xf numFmtId="2" fontId="12" fillId="0" borderId="1" xfId="0" applyNumberFormat="1" applyFont="1" applyBorder="1"/>
    <xf numFmtId="10" fontId="0" fillId="0" borderId="1" xfId="0" applyNumberFormat="1" applyBorder="1"/>
    <xf numFmtId="43" fontId="0" fillId="0" borderId="1" xfId="0" applyNumberFormat="1" applyBorder="1"/>
    <xf numFmtId="0" fontId="15" fillId="3" borderId="26" xfId="0" applyFont="1" applyFill="1" applyBorder="1" applyAlignment="1">
      <alignment horizontal="center" vertical="center"/>
    </xf>
    <xf numFmtId="166" fontId="19" fillId="0" borderId="26" xfId="1" applyNumberFormat="1" applyFont="1" applyFill="1" applyBorder="1" applyAlignment="1" applyProtection="1">
      <alignment horizontal="center" vertical="center"/>
      <protection locked="0"/>
    </xf>
    <xf numFmtId="43" fontId="16" fillId="0" borderId="26" xfId="1" applyFont="1" applyFill="1" applyBorder="1" applyAlignment="1" applyProtection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5" fillId="4" borderId="26" xfId="1" applyNumberFormat="1" applyFont="1" applyFill="1" applyBorder="1" applyAlignment="1" applyProtection="1">
      <alignment horizontal="center" vertical="center"/>
    </xf>
    <xf numFmtId="43" fontId="16" fillId="0" borderId="26" xfId="1" applyFont="1" applyFill="1" applyBorder="1" applyAlignment="1" applyProtection="1">
      <alignment vertical="center"/>
    </xf>
    <xf numFmtId="43" fontId="15" fillId="4" borderId="26" xfId="1" applyFont="1" applyFill="1" applyBorder="1" applyAlignment="1" applyProtection="1">
      <alignment vertical="center"/>
    </xf>
    <xf numFmtId="0" fontId="16" fillId="0" borderId="36" xfId="0" applyFont="1" applyBorder="1" applyAlignment="1">
      <alignment horizontal="center" vertical="center"/>
    </xf>
    <xf numFmtId="0" fontId="16" fillId="0" borderId="3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169" fontId="16" fillId="0" borderId="1" xfId="1" applyNumberFormat="1" applyFont="1" applyBorder="1" applyAlignment="1">
      <alignment vertical="center"/>
    </xf>
    <xf numFmtId="43" fontId="16" fillId="0" borderId="1" xfId="0" applyNumberFormat="1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20" xfId="0" applyFont="1" applyBorder="1" applyAlignment="1">
      <alignment horizontal="center" vertical="center"/>
    </xf>
    <xf numFmtId="43" fontId="15" fillId="3" borderId="26" xfId="1" applyFont="1" applyFill="1" applyBorder="1" applyAlignment="1" applyProtection="1">
      <alignment vertical="center"/>
    </xf>
    <xf numFmtId="0" fontId="16" fillId="0" borderId="16" xfId="0" applyFont="1" applyBorder="1" applyAlignment="1">
      <alignment vertical="center"/>
    </xf>
    <xf numFmtId="170" fontId="0" fillId="0" borderId="1" xfId="2" applyNumberFormat="1" applyFont="1" applyBorder="1" applyProtection="1"/>
    <xf numFmtId="43" fontId="0" fillId="0" borderId="1" xfId="1" applyFont="1" applyBorder="1" applyProtection="1"/>
    <xf numFmtId="9" fontId="0" fillId="0" borderId="1" xfId="0" applyNumberFormat="1" applyBorder="1"/>
    <xf numFmtId="43" fontId="0" fillId="0" borderId="1" xfId="1" applyFont="1" applyBorder="1"/>
    <xf numFmtId="43" fontId="0" fillId="0" borderId="3" xfId="0" applyNumberFormat="1" applyBorder="1"/>
    <xf numFmtId="171" fontId="0" fillId="0" borderId="1" xfId="0" applyNumberFormat="1" applyBorder="1"/>
    <xf numFmtId="0" fontId="14" fillId="3" borderId="26" xfId="0" applyFont="1" applyFill="1" applyBorder="1" applyAlignment="1">
      <alignment horizontal="center" vertical="center"/>
    </xf>
    <xf numFmtId="10" fontId="16" fillId="0" borderId="26" xfId="2" applyNumberFormat="1" applyFont="1" applyFill="1" applyBorder="1" applyAlignment="1" applyProtection="1">
      <alignment vertical="center"/>
    </xf>
    <xf numFmtId="0" fontId="0" fillId="0" borderId="34" xfId="0" applyBorder="1"/>
    <xf numFmtId="43" fontId="0" fillId="0" borderId="15" xfId="0" applyNumberFormat="1" applyBorder="1"/>
    <xf numFmtId="0" fontId="0" fillId="0" borderId="15" xfId="0" applyBorder="1"/>
    <xf numFmtId="10" fontId="16" fillId="0" borderId="26" xfId="2" applyNumberFormat="1" applyFont="1" applyBorder="1" applyAlignment="1" applyProtection="1">
      <alignment vertical="center"/>
    </xf>
    <xf numFmtId="10" fontId="15" fillId="4" borderId="18" xfId="2" applyNumberFormat="1" applyFont="1" applyFill="1" applyBorder="1" applyAlignment="1" applyProtection="1">
      <alignment vertical="center"/>
    </xf>
    <xf numFmtId="43" fontId="18" fillId="0" borderId="1" xfId="0" applyNumberFormat="1" applyFont="1" applyBorder="1" applyAlignment="1">
      <alignment vertical="center"/>
    </xf>
    <xf numFmtId="0" fontId="14" fillId="3" borderId="26" xfId="0" applyFont="1" applyFill="1" applyBorder="1" applyAlignment="1">
      <alignment vertical="center"/>
    </xf>
    <xf numFmtId="10" fontId="16" fillId="0" borderId="26" xfId="0" applyNumberFormat="1" applyFont="1" applyBorder="1" applyAlignment="1">
      <alignment vertical="center"/>
    </xf>
    <xf numFmtId="0" fontId="0" fillId="0" borderId="2" xfId="0" applyBorder="1"/>
    <xf numFmtId="0" fontId="0" fillId="0" borderId="1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43" fontId="5" fillId="0" borderId="0" xfId="1" applyFont="1" applyAlignment="1" applyProtection="1">
      <alignment vertical="center" wrapText="1"/>
    </xf>
    <xf numFmtId="0" fontId="16" fillId="0" borderId="32" xfId="0" applyFont="1" applyBorder="1" applyAlignment="1">
      <alignment horizontal="center" vertical="center"/>
    </xf>
    <xf numFmtId="170" fontId="5" fillId="0" borderId="4" xfId="2" applyNumberFormat="1" applyFont="1" applyFill="1" applyBorder="1" applyAlignment="1" applyProtection="1">
      <alignment vertical="center"/>
    </xf>
    <xf numFmtId="43" fontId="16" fillId="0" borderId="2" xfId="0" applyNumberFormat="1" applyFont="1" applyBorder="1" applyAlignment="1">
      <alignment vertical="center" wrapText="1"/>
    </xf>
    <xf numFmtId="43" fontId="16" fillId="0" borderId="29" xfId="0" applyNumberFormat="1" applyFont="1" applyBorder="1" applyAlignment="1">
      <alignment vertical="center"/>
    </xf>
    <xf numFmtId="43" fontId="15" fillId="12" borderId="26" xfId="0" applyNumberFormat="1" applyFont="1" applyFill="1" applyBorder="1" applyAlignment="1">
      <alignment vertical="center"/>
    </xf>
    <xf numFmtId="43" fontId="16" fillId="0" borderId="3" xfId="0" applyNumberFormat="1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43" fontId="5" fillId="0" borderId="15" xfId="1" applyFont="1" applyBorder="1" applyAlignment="1" applyProtection="1">
      <alignment vertical="center" wrapText="1"/>
    </xf>
    <xf numFmtId="43" fontId="5" fillId="0" borderId="15" xfId="0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43" fontId="5" fillId="0" borderId="2" xfId="1" applyFont="1" applyBorder="1" applyAlignment="1" applyProtection="1">
      <alignment vertical="center" wrapText="1"/>
    </xf>
    <xf numFmtId="0" fontId="4" fillId="0" borderId="0" xfId="0" applyFont="1" applyAlignment="1">
      <alignment vertical="center"/>
    </xf>
    <xf numFmtId="0" fontId="5" fillId="0" borderId="25" xfId="0" applyFont="1" applyBorder="1" applyAlignment="1">
      <alignment vertical="center" wrapText="1"/>
    </xf>
    <xf numFmtId="0" fontId="12" fillId="0" borderId="1" xfId="0" applyFont="1" applyBorder="1"/>
    <xf numFmtId="0" fontId="18" fillId="0" borderId="1" xfId="0" applyFont="1" applyBorder="1" applyAlignment="1">
      <alignment vertical="center"/>
    </xf>
    <xf numFmtId="0" fontId="15" fillId="0" borderId="26" xfId="0" applyFont="1" applyBorder="1" applyAlignment="1">
      <alignment horizontal="center" vertical="center"/>
    </xf>
    <xf numFmtId="0" fontId="10" fillId="8" borderId="7" xfId="0" applyFont="1" applyFill="1" applyBorder="1" applyAlignment="1" applyProtection="1">
      <alignment horizontal="left" vertical="center" wrapText="1"/>
      <protection locked="0"/>
    </xf>
    <xf numFmtId="0" fontId="9" fillId="7" borderId="4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 applyProtection="1">
      <alignment horizontal="justify" vertical="center" wrapText="1"/>
      <protection locked="0"/>
    </xf>
    <xf numFmtId="0" fontId="9" fillId="7" borderId="6" xfId="0" applyFont="1" applyFill="1" applyBorder="1" applyAlignment="1">
      <alignment horizontal="center" vertical="center" wrapText="1"/>
    </xf>
    <xf numFmtId="43" fontId="5" fillId="0" borderId="14" xfId="0" applyNumberFormat="1" applyFont="1" applyBorder="1" applyAlignment="1">
      <alignment horizontal="center" vertical="center" wrapText="1"/>
    </xf>
    <xf numFmtId="43" fontId="5" fillId="0" borderId="3" xfId="0" applyNumberFormat="1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6" xfId="0" applyFont="1" applyBorder="1" applyAlignment="1">
      <alignment horizontal="left" vertical="center"/>
    </xf>
    <xf numFmtId="0" fontId="16" fillId="0" borderId="17" xfId="0" applyFont="1" applyBorder="1" applyAlignment="1">
      <alignment horizontal="left" vertical="center"/>
    </xf>
    <xf numFmtId="0" fontId="16" fillId="0" borderId="18" xfId="0" applyFont="1" applyBorder="1" applyAlignment="1">
      <alignment horizontal="left" vertical="center"/>
    </xf>
    <xf numFmtId="0" fontId="16" fillId="0" borderId="17" xfId="0" applyFont="1" applyBorder="1" applyAlignment="1">
      <alignment horizontal="center" vertical="center"/>
    </xf>
    <xf numFmtId="43" fontId="15" fillId="4" borderId="18" xfId="1" applyFont="1" applyFill="1" applyBorder="1" applyAlignment="1" applyProtection="1">
      <alignment horizontal="right" vertical="center"/>
    </xf>
    <xf numFmtId="0" fontId="15" fillId="0" borderId="16" xfId="0" applyFont="1" applyBorder="1" applyAlignment="1">
      <alignment horizontal="center" vertical="center"/>
    </xf>
    <xf numFmtId="0" fontId="16" fillId="0" borderId="26" xfId="0" applyFont="1" applyBorder="1" applyAlignment="1">
      <alignment horizontal="left" vertical="center"/>
    </xf>
    <xf numFmtId="43" fontId="15" fillId="12" borderId="26" xfId="0" applyNumberFormat="1" applyFont="1" applyFill="1" applyBorder="1" applyAlignment="1">
      <alignment horizontal="center" vertical="center"/>
    </xf>
    <xf numFmtId="167" fontId="16" fillId="0" borderId="26" xfId="1" applyNumberFormat="1" applyFont="1" applyFill="1" applyBorder="1" applyAlignment="1" applyProtection="1">
      <alignment vertical="center"/>
    </xf>
    <xf numFmtId="43" fontId="5" fillId="0" borderId="4" xfId="1" applyFont="1" applyBorder="1" applyAlignment="1" applyProtection="1">
      <alignment horizontal="left" vertical="center" wrapText="1"/>
    </xf>
    <xf numFmtId="43" fontId="5" fillId="0" borderId="4" xfId="1" applyFont="1" applyBorder="1" applyAlignment="1">
      <alignment vertical="center"/>
    </xf>
    <xf numFmtId="10" fontId="8" fillId="0" borderId="4" xfId="2" applyNumberFormat="1" applyFont="1" applyFill="1" applyBorder="1" applyAlignment="1" applyProtection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5" fillId="12" borderId="20" xfId="0" applyFont="1" applyFill="1" applyBorder="1" applyAlignment="1">
      <alignment horizontal="center" vertical="center"/>
    </xf>
    <xf numFmtId="0" fontId="15" fillId="12" borderId="36" xfId="0" applyFont="1" applyFill="1" applyBorder="1" applyAlignment="1">
      <alignment horizontal="center" vertical="center" wrapText="1"/>
    </xf>
    <xf numFmtId="0" fontId="14" fillId="12" borderId="36" xfId="0" applyFont="1" applyFill="1" applyBorder="1" applyAlignment="1">
      <alignment horizontal="center" vertical="center" wrapText="1"/>
    </xf>
    <xf numFmtId="43" fontId="14" fillId="12" borderId="36" xfId="1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>
      <alignment vertical="center"/>
    </xf>
    <xf numFmtId="43" fontId="5" fillId="2" borderId="4" xfId="1" applyFont="1" applyFill="1" applyBorder="1" applyAlignment="1" applyProtection="1">
      <alignment vertical="center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right" vertical="center" wrapText="1"/>
    </xf>
    <xf numFmtId="0" fontId="22" fillId="0" borderId="0" xfId="0" applyFont="1" applyAlignment="1">
      <alignment vertical="center" wrapText="1"/>
    </xf>
    <xf numFmtId="0" fontId="22" fillId="12" borderId="26" xfId="0" applyFont="1" applyFill="1" applyBorder="1" applyAlignment="1">
      <alignment horizontal="center" vertical="center" wrapText="1"/>
    </xf>
    <xf numFmtId="0" fontId="21" fillId="0" borderId="26" xfId="0" applyFont="1" applyBorder="1" applyAlignment="1">
      <alignment vertical="center" wrapText="1"/>
    </xf>
    <xf numFmtId="0" fontId="21" fillId="0" borderId="26" xfId="0" applyFont="1" applyBorder="1" applyAlignment="1">
      <alignment horizontal="center" vertical="center" wrapText="1"/>
    </xf>
    <xf numFmtId="43" fontId="21" fillId="0" borderId="26" xfId="1" applyFont="1" applyBorder="1" applyAlignment="1">
      <alignment vertical="center" wrapText="1"/>
    </xf>
    <xf numFmtId="43" fontId="21" fillId="0" borderId="26" xfId="1" applyFont="1" applyBorder="1" applyAlignment="1">
      <alignment horizontal="center" vertical="center" wrapText="1"/>
    </xf>
    <xf numFmtId="43" fontId="21" fillId="0" borderId="26" xfId="1" applyFont="1" applyBorder="1" applyAlignment="1">
      <alignment horizontal="right" vertical="center" wrapText="1"/>
    </xf>
    <xf numFmtId="43" fontId="22" fillId="0" borderId="26" xfId="1" applyFont="1" applyBorder="1" applyAlignment="1">
      <alignment horizontal="right" vertical="center" wrapText="1"/>
    </xf>
    <xf numFmtId="9" fontId="21" fillId="0" borderId="26" xfId="2" applyFont="1" applyBorder="1" applyAlignment="1">
      <alignment vertical="center" wrapText="1"/>
    </xf>
    <xf numFmtId="43" fontId="21" fillId="2" borderId="26" xfId="1" applyFont="1" applyFill="1" applyBorder="1" applyAlignment="1">
      <alignment horizontal="right" vertical="center" wrapText="1"/>
    </xf>
    <xf numFmtId="43" fontId="22" fillId="0" borderId="26" xfId="0" applyNumberFormat="1" applyFont="1" applyBorder="1" applyAlignment="1">
      <alignment horizontal="right" vertical="center" wrapText="1"/>
    </xf>
    <xf numFmtId="10" fontId="21" fillId="0" borderId="26" xfId="2" applyNumberFormat="1" applyFont="1" applyBorder="1" applyAlignment="1">
      <alignment vertical="center" wrapText="1"/>
    </xf>
    <xf numFmtId="43" fontId="21" fillId="0" borderId="26" xfId="0" applyNumberFormat="1" applyFont="1" applyBorder="1" applyAlignment="1">
      <alignment vertical="center" wrapText="1"/>
    </xf>
    <xf numFmtId="43" fontId="22" fillId="0" borderId="26" xfId="0" applyNumberFormat="1" applyFont="1" applyBorder="1" applyAlignment="1">
      <alignment vertical="center" wrapText="1"/>
    </xf>
    <xf numFmtId="43" fontId="23" fillId="0" borderId="26" xfId="1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right" vertical="center" wrapText="1"/>
    </xf>
    <xf numFmtId="0" fontId="22" fillId="0" borderId="1" xfId="0" applyFont="1" applyBorder="1" applyAlignment="1">
      <alignment vertical="center" wrapText="1"/>
    </xf>
    <xf numFmtId="43" fontId="21" fillId="0" borderId="1" xfId="0" applyNumberFormat="1" applyFont="1" applyBorder="1" applyAlignment="1">
      <alignment vertical="center" wrapText="1"/>
    </xf>
    <xf numFmtId="9" fontId="22" fillId="0" borderId="1" xfId="0" applyNumberFormat="1" applyFont="1" applyBorder="1" applyAlignment="1">
      <alignment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5" xfId="0" applyFont="1" applyBorder="1" applyAlignment="1">
      <alignment vertical="center" wrapText="1"/>
    </xf>
    <xf numFmtId="0" fontId="21" fillId="0" borderId="15" xfId="0" applyFont="1" applyBorder="1" applyAlignment="1">
      <alignment horizontal="right" vertical="center" wrapText="1"/>
    </xf>
    <xf numFmtId="0" fontId="22" fillId="0" borderId="15" xfId="0" applyFont="1" applyBorder="1" applyAlignment="1">
      <alignment vertical="center" wrapText="1"/>
    </xf>
    <xf numFmtId="43" fontId="21" fillId="0" borderId="15" xfId="0" applyNumberFormat="1" applyFont="1" applyBorder="1" applyAlignment="1">
      <alignment vertical="center" wrapText="1"/>
    </xf>
    <xf numFmtId="0" fontId="21" fillId="0" borderId="3" xfId="0" applyFont="1" applyBorder="1" applyAlignment="1">
      <alignment horizontal="center" vertical="center" wrapText="1"/>
    </xf>
    <xf numFmtId="0" fontId="22" fillId="0" borderId="26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5" fillId="0" borderId="43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44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22" fillId="0" borderId="33" xfId="0" applyFont="1" applyBorder="1" applyAlignment="1">
      <alignment vertical="center" wrapText="1"/>
    </xf>
    <xf numFmtId="10" fontId="21" fillId="0" borderId="1" xfId="0" applyNumberFormat="1" applyFont="1" applyBorder="1" applyAlignment="1">
      <alignment vertical="center" wrapText="1"/>
    </xf>
    <xf numFmtId="0" fontId="16" fillId="0" borderId="28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72" fontId="16" fillId="0" borderId="16" xfId="1" applyNumberFormat="1" applyFont="1" applyBorder="1" applyAlignment="1" applyProtection="1">
      <alignment vertical="center"/>
    </xf>
    <xf numFmtId="168" fontId="6" fillId="0" borderId="4" xfId="1" applyNumberFormat="1" applyFont="1" applyFill="1" applyBorder="1" applyAlignment="1" applyProtection="1">
      <alignment horizontal="center" vertical="center"/>
    </xf>
    <xf numFmtId="0" fontId="4" fillId="12" borderId="26" xfId="0" applyFont="1" applyFill="1" applyBorder="1" applyAlignment="1">
      <alignment vertical="center" wrapText="1"/>
    </xf>
    <xf numFmtId="0" fontId="16" fillId="0" borderId="26" xfId="0" applyFont="1" applyBorder="1" applyAlignment="1">
      <alignment horizontal="center" vertical="center" wrapText="1"/>
    </xf>
    <xf numFmtId="43" fontId="0" fillId="0" borderId="2" xfId="0" applyNumberFormat="1" applyBorder="1"/>
    <xf numFmtId="43" fontId="12" fillId="0" borderId="1" xfId="1" applyFont="1" applyBorder="1" applyAlignment="1" applyProtection="1">
      <alignment vertical="center"/>
    </xf>
    <xf numFmtId="43" fontId="0" fillId="0" borderId="1" xfId="0" applyNumberFormat="1" applyBorder="1" applyAlignment="1">
      <alignment vertical="center"/>
    </xf>
    <xf numFmtId="173" fontId="0" fillId="0" borderId="1" xfId="1" applyNumberFormat="1" applyFont="1" applyBorder="1" applyProtection="1"/>
    <xf numFmtId="0" fontId="21" fillId="0" borderId="3" xfId="0" applyFont="1" applyBorder="1" applyAlignment="1">
      <alignment vertical="center" wrapText="1"/>
    </xf>
    <xf numFmtId="10" fontId="5" fillId="0" borderId="3" xfId="2" applyNumberFormat="1" applyFont="1" applyBorder="1" applyProtection="1"/>
    <xf numFmtId="43" fontId="5" fillId="0" borderId="4" xfId="1" applyFont="1" applyFill="1" applyBorder="1" applyAlignment="1">
      <alignment vertical="center"/>
    </xf>
    <xf numFmtId="43" fontId="8" fillId="0" borderId="1" xfId="0" applyNumberFormat="1" applyFont="1" applyBorder="1"/>
    <xf numFmtId="0" fontId="4" fillId="4" borderId="4" xfId="0" applyFont="1" applyFill="1" applyBorder="1" applyAlignment="1">
      <alignment vertical="center" wrapText="1"/>
    </xf>
    <xf numFmtId="43" fontId="16" fillId="0" borderId="16" xfId="1" applyFont="1" applyBorder="1" applyAlignment="1" applyProtection="1">
      <alignment horizontal="center" vertical="center"/>
    </xf>
    <xf numFmtId="43" fontId="16" fillId="0" borderId="18" xfId="1" applyFont="1" applyBorder="1" applyAlignment="1" applyProtection="1">
      <alignment horizontal="center" vertical="center"/>
    </xf>
    <xf numFmtId="43" fontId="5" fillId="0" borderId="1" xfId="1" applyFont="1" applyBorder="1" applyProtection="1"/>
    <xf numFmtId="43" fontId="8" fillId="0" borderId="1" xfId="1" applyFont="1" applyBorder="1" applyProtection="1"/>
    <xf numFmtId="4" fontId="8" fillId="0" borderId="3" xfId="0" applyNumberFormat="1" applyFont="1" applyBorder="1"/>
    <xf numFmtId="174" fontId="8" fillId="0" borderId="1" xfId="2" applyNumberFormat="1" applyFont="1" applyBorder="1" applyProtection="1"/>
    <xf numFmtId="43" fontId="21" fillId="0" borderId="1" xfId="1" applyFont="1" applyBorder="1" applyAlignment="1">
      <alignment vertical="center" wrapText="1"/>
    </xf>
    <xf numFmtId="10" fontId="5" fillId="0" borderId="1" xfId="2" applyNumberFormat="1" applyFont="1" applyBorder="1" applyAlignment="1" applyProtection="1">
      <alignment vertical="center" wrapText="1"/>
    </xf>
    <xf numFmtId="0" fontId="5" fillId="0" borderId="10" xfId="0" applyFont="1" applyBorder="1" applyAlignment="1">
      <alignment vertical="center"/>
    </xf>
    <xf numFmtId="43" fontId="8" fillId="0" borderId="3" xfId="0" applyNumberFormat="1" applyFont="1" applyBorder="1"/>
    <xf numFmtId="43" fontId="5" fillId="0" borderId="3" xfId="1" applyFont="1" applyBorder="1"/>
    <xf numFmtId="10" fontId="8" fillId="0" borderId="1" xfId="2" applyNumberFormat="1" applyFont="1" applyBorder="1"/>
    <xf numFmtId="0" fontId="6" fillId="3" borderId="7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43" fontId="6" fillId="3" borderId="8" xfId="1" applyFont="1" applyFill="1" applyBorder="1" applyAlignment="1" applyProtection="1">
      <alignment vertical="center"/>
    </xf>
    <xf numFmtId="43" fontId="6" fillId="3" borderId="8" xfId="0" applyNumberFormat="1" applyFont="1" applyFill="1" applyBorder="1" applyAlignment="1">
      <alignment vertical="center"/>
    </xf>
    <xf numFmtId="43" fontId="6" fillId="3" borderId="4" xfId="1" applyFont="1" applyFill="1" applyBorder="1" applyAlignment="1" applyProtection="1">
      <alignment vertical="center"/>
    </xf>
    <xf numFmtId="167" fontId="26" fillId="0" borderId="4" xfId="1" applyNumberFormat="1" applyFont="1" applyBorder="1" applyAlignment="1" applyProtection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45" xfId="0" applyFont="1" applyBorder="1" applyAlignment="1">
      <alignment vertical="center" wrapText="1"/>
    </xf>
    <xf numFmtId="0" fontId="4" fillId="0" borderId="46" xfId="0" applyFont="1" applyBorder="1" applyAlignment="1">
      <alignment horizontal="left" vertical="center" wrapText="1"/>
    </xf>
    <xf numFmtId="0" fontId="5" fillId="0" borderId="46" xfId="0" applyFont="1" applyBorder="1" applyAlignment="1">
      <alignment vertical="center"/>
    </xf>
    <xf numFmtId="0" fontId="5" fillId="0" borderId="47" xfId="0" applyFont="1" applyBorder="1" applyAlignment="1">
      <alignment vertical="center" wrapText="1"/>
    </xf>
    <xf numFmtId="43" fontId="8" fillId="0" borderId="4" xfId="1" applyFont="1" applyBorder="1" applyAlignment="1" applyProtection="1">
      <alignment vertical="center"/>
    </xf>
    <xf numFmtId="175" fontId="5" fillId="0" borderId="3" xfId="1" applyNumberFormat="1" applyFont="1" applyBorder="1" applyProtection="1"/>
    <xf numFmtId="43" fontId="11" fillId="0" borderId="3" xfId="0" applyNumberFormat="1" applyFont="1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27" fillId="0" borderId="0" xfId="0" applyFont="1" applyAlignment="1">
      <alignment vertical="center"/>
    </xf>
    <xf numFmtId="0" fontId="0" fillId="0" borderId="52" xfId="0" applyBorder="1"/>
    <xf numFmtId="0" fontId="28" fillId="0" borderId="0" xfId="0" applyFont="1" applyAlignment="1">
      <alignment vertical="center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1" fillId="0" borderId="52" xfId="0" applyFont="1" applyBorder="1"/>
    <xf numFmtId="0" fontId="31" fillId="0" borderId="0" xfId="0" applyFont="1" applyAlignment="1">
      <alignment wrapText="1"/>
    </xf>
    <xf numFmtId="0" fontId="31" fillId="0" borderId="52" xfId="0" applyFont="1" applyBorder="1" applyAlignment="1">
      <alignment wrapText="1"/>
    </xf>
    <xf numFmtId="0" fontId="31" fillId="0" borderId="0" xfId="0" applyFont="1" applyAlignment="1">
      <alignment vertical="top" wrapText="1"/>
    </xf>
    <xf numFmtId="0" fontId="31" fillId="0" borderId="52" xfId="0" applyFont="1" applyBorder="1" applyAlignment="1">
      <alignment vertical="top" wrapText="1"/>
    </xf>
    <xf numFmtId="0" fontId="0" fillId="0" borderId="53" xfId="0" applyBorder="1"/>
    <xf numFmtId="0" fontId="0" fillId="0" borderId="54" xfId="0" applyBorder="1"/>
    <xf numFmtId="0" fontId="0" fillId="0" borderId="55" xfId="0" applyBorder="1"/>
    <xf numFmtId="176" fontId="5" fillId="0" borderId="3" xfId="0" applyNumberFormat="1" applyFont="1" applyBorder="1"/>
    <xf numFmtId="10" fontId="5" fillId="0" borderId="3" xfId="2" applyNumberFormat="1" applyFont="1" applyBorder="1"/>
    <xf numFmtId="0" fontId="0" fillId="0" borderId="26" xfId="0" applyBorder="1" applyAlignment="1">
      <alignment horizontal="center"/>
    </xf>
    <xf numFmtId="10" fontId="8" fillId="0" borderId="4" xfId="2" applyNumberFormat="1" applyFont="1" applyBorder="1" applyAlignment="1" applyProtection="1">
      <alignment vertical="center"/>
    </xf>
    <xf numFmtId="10" fontId="8" fillId="0" borderId="61" xfId="0" applyNumberFormat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10" fontId="8" fillId="0" borderId="5" xfId="0" applyNumberFormat="1" applyFont="1" applyBorder="1" applyAlignment="1">
      <alignment vertical="center"/>
    </xf>
    <xf numFmtId="177" fontId="5" fillId="0" borderId="0" xfId="0" applyNumberFormat="1" applyFont="1"/>
    <xf numFmtId="0" fontId="5" fillId="0" borderId="14" xfId="0" applyFont="1" applyBorder="1"/>
    <xf numFmtId="0" fontId="8" fillId="0" borderId="0" xfId="0" applyFont="1"/>
    <xf numFmtId="10" fontId="8" fillId="0" borderId="0" xfId="0" applyNumberFormat="1" applyFont="1" applyAlignment="1">
      <alignment vertical="center"/>
    </xf>
    <xf numFmtId="0" fontId="5" fillId="0" borderId="13" xfId="0" applyFont="1" applyBorder="1"/>
    <xf numFmtId="9" fontId="5" fillId="0" borderId="33" xfId="2" applyFont="1" applyBorder="1"/>
    <xf numFmtId="10" fontId="8" fillId="0" borderId="15" xfId="0" applyNumberFormat="1" applyFont="1" applyBorder="1"/>
    <xf numFmtId="0" fontId="8" fillId="0" borderId="25" xfId="0" applyFont="1" applyBorder="1"/>
    <xf numFmtId="0" fontId="11" fillId="0" borderId="2" xfId="0" applyFont="1" applyBorder="1"/>
    <xf numFmtId="10" fontId="33" fillId="0" borderId="4" xfId="2" applyNumberFormat="1" applyFont="1" applyBorder="1" applyAlignment="1" applyProtection="1">
      <alignment vertical="center"/>
    </xf>
    <xf numFmtId="178" fontId="5" fillId="0" borderId="1" xfId="0" applyNumberFormat="1" applyFont="1" applyBorder="1"/>
    <xf numFmtId="43" fontId="0" fillId="0" borderId="0" xfId="0" applyNumberFormat="1"/>
    <xf numFmtId="43" fontId="5" fillId="0" borderId="0" xfId="0" applyNumberFormat="1" applyFont="1" applyAlignment="1">
      <alignment vertical="center" wrapText="1"/>
    </xf>
    <xf numFmtId="43" fontId="6" fillId="0" borderId="0" xfId="1" applyFont="1" applyFill="1" applyBorder="1" applyAlignment="1" applyProtection="1">
      <alignment vertical="center"/>
    </xf>
    <xf numFmtId="0" fontId="33" fillId="0" borderId="62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166" fontId="6" fillId="9" borderId="4" xfId="0" applyNumberFormat="1" applyFont="1" applyFill="1" applyBorder="1" applyAlignment="1">
      <alignment vertical="center" wrapText="1"/>
    </xf>
    <xf numFmtId="0" fontId="34" fillId="0" borderId="46" xfId="8" applyBorder="1"/>
    <xf numFmtId="0" fontId="34" fillId="0" borderId="0" xfId="8"/>
    <xf numFmtId="1" fontId="34" fillId="0" borderId="0" xfId="8" applyNumberFormat="1"/>
    <xf numFmtId="10" fontId="5" fillId="11" borderId="4" xfId="2" applyNumberFormat="1" applyFont="1" applyFill="1" applyBorder="1" applyAlignment="1" applyProtection="1">
      <alignment horizontal="center" vertical="center"/>
      <protection locked="0"/>
    </xf>
    <xf numFmtId="10" fontId="5" fillId="0" borderId="4" xfId="2" applyNumberFormat="1" applyFont="1" applyBorder="1" applyAlignment="1" applyProtection="1">
      <alignment horizontal="center" vertical="center" wrapText="1"/>
    </xf>
    <xf numFmtId="43" fontId="5" fillId="11" borderId="4" xfId="1" applyFont="1" applyFill="1" applyBorder="1" applyAlignment="1" applyProtection="1">
      <alignment horizontal="center" vertical="center"/>
      <protection locked="0"/>
    </xf>
    <xf numFmtId="0" fontId="8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3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0" fillId="8" borderId="7" xfId="0" applyFont="1" applyFill="1" applyBorder="1" applyAlignment="1" applyProtection="1">
      <alignment horizontal="center" vertical="center" wrapText="1"/>
      <protection locked="0"/>
    </xf>
    <xf numFmtId="0" fontId="10" fillId="8" borderId="9" xfId="0" applyFont="1" applyFill="1" applyBorder="1" applyAlignment="1" applyProtection="1">
      <alignment horizontal="center" vertical="center" wrapText="1"/>
      <protection locked="0"/>
    </xf>
    <xf numFmtId="0" fontId="10" fillId="8" borderId="7" xfId="0" applyFont="1" applyFill="1" applyBorder="1" applyAlignment="1" applyProtection="1">
      <alignment horizontal="left" vertical="center" wrapText="1"/>
      <protection locked="0"/>
    </xf>
    <xf numFmtId="0" fontId="10" fillId="8" borderId="9" xfId="0" applyFont="1" applyFill="1" applyBorder="1" applyAlignment="1" applyProtection="1">
      <alignment horizontal="left" vertical="center" wrapText="1"/>
      <protection locked="0"/>
    </xf>
    <xf numFmtId="0" fontId="9" fillId="7" borderId="6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10" fillId="8" borderId="4" xfId="0" applyFont="1" applyFill="1" applyBorder="1" applyAlignment="1" applyProtection="1">
      <alignment horizontal="justify" vertical="center" wrapText="1"/>
      <protection locked="0"/>
    </xf>
    <xf numFmtId="0" fontId="9" fillId="6" borderId="4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 applyProtection="1">
      <alignment horizontal="left" vertical="center" wrapText="1"/>
      <protection locked="0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5" fillId="0" borderId="7" xfId="0" applyFont="1" applyBorder="1" applyAlignment="1" applyProtection="1">
      <alignment horizontal="left"/>
      <protection locked="0"/>
    </xf>
    <xf numFmtId="0" fontId="5" fillId="0" borderId="8" xfId="0" applyFont="1" applyBorder="1" applyAlignment="1" applyProtection="1">
      <alignment horizontal="left"/>
      <protection locked="0"/>
    </xf>
    <xf numFmtId="0" fontId="5" fillId="0" borderId="9" xfId="0" applyFont="1" applyBorder="1" applyAlignment="1" applyProtection="1">
      <alignment horizontal="left"/>
      <protection locked="0"/>
    </xf>
    <xf numFmtId="0" fontId="5" fillId="0" borderId="7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43" fontId="5" fillId="11" borderId="7" xfId="1" applyFont="1" applyFill="1" applyBorder="1" applyAlignment="1" applyProtection="1">
      <alignment horizontal="left" vertical="center" wrapText="1"/>
      <protection locked="0"/>
    </xf>
    <xf numFmtId="43" fontId="5" fillId="11" borderId="9" xfId="1" applyFont="1" applyFill="1" applyBorder="1" applyAlignment="1" applyProtection="1">
      <alignment horizontal="left" vertical="center" wrapText="1"/>
      <protection locked="0"/>
    </xf>
    <xf numFmtId="0" fontId="32" fillId="0" borderId="56" xfId="0" applyFont="1" applyBorder="1" applyAlignment="1">
      <alignment horizontal="left" vertical="center"/>
    </xf>
    <xf numFmtId="0" fontId="32" fillId="0" borderId="57" xfId="0" applyFont="1" applyBorder="1" applyAlignment="1">
      <alignment horizontal="left" vertical="center"/>
    </xf>
    <xf numFmtId="0" fontId="32" fillId="0" borderId="58" xfId="0" applyFont="1" applyBorder="1" applyAlignment="1">
      <alignment horizontal="left" vertical="center"/>
    </xf>
    <xf numFmtId="0" fontId="32" fillId="0" borderId="59" xfId="0" applyFont="1" applyBorder="1" applyAlignment="1">
      <alignment horizontal="left" vertical="center"/>
    </xf>
    <xf numFmtId="0" fontId="32" fillId="0" borderId="46" xfId="0" applyFont="1" applyBorder="1" applyAlignment="1">
      <alignment horizontal="left" vertical="center"/>
    </xf>
    <xf numFmtId="0" fontId="32" fillId="0" borderId="60" xfId="0" applyFont="1" applyBorder="1" applyAlignment="1">
      <alignment horizontal="left" vertical="center"/>
    </xf>
    <xf numFmtId="0" fontId="4" fillId="4" borderId="4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9" xfId="0" applyFont="1" applyFill="1" applyBorder="1" applyAlignment="1">
      <alignment horizontal="right" vertical="center"/>
    </xf>
    <xf numFmtId="0" fontId="33" fillId="0" borderId="7" xfId="0" applyFont="1" applyBorder="1" applyAlignment="1">
      <alignment horizontal="left" vertical="center"/>
    </xf>
    <xf numFmtId="0" fontId="33" fillId="0" borderId="8" xfId="0" applyFont="1" applyBorder="1" applyAlignment="1">
      <alignment horizontal="left" vertical="center"/>
    </xf>
    <xf numFmtId="166" fontId="6" fillId="10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right" vertical="center"/>
    </xf>
    <xf numFmtId="166" fontId="6" fillId="9" borderId="7" xfId="0" applyNumberFormat="1" applyFont="1" applyFill="1" applyBorder="1" applyAlignment="1">
      <alignment horizontal="center" vertical="center" wrapText="1"/>
    </xf>
    <xf numFmtId="166" fontId="6" fillId="9" borderId="8" xfId="0" applyNumberFormat="1" applyFont="1" applyFill="1" applyBorder="1" applyAlignment="1">
      <alignment horizontal="center" vertical="center" wrapText="1"/>
    </xf>
    <xf numFmtId="166" fontId="6" fillId="9" borderId="9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10" fontId="5" fillId="11" borderId="7" xfId="2" applyNumberFormat="1" applyFont="1" applyFill="1" applyBorder="1" applyAlignment="1" applyProtection="1">
      <alignment horizontal="left" vertical="center"/>
      <protection locked="0"/>
    </xf>
    <xf numFmtId="10" fontId="5" fillId="11" borderId="8" xfId="2" applyNumberFormat="1" applyFont="1" applyFill="1" applyBorder="1" applyAlignment="1" applyProtection="1">
      <alignment horizontal="left" vertical="center"/>
      <protection locked="0"/>
    </xf>
    <xf numFmtId="10" fontId="5" fillId="11" borderId="9" xfId="2" applyNumberFormat="1" applyFont="1" applyFill="1" applyBorder="1" applyAlignment="1" applyProtection="1">
      <alignment horizontal="left" vertical="center"/>
      <protection locked="0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4" fillId="4" borderId="7" xfId="0" applyFont="1" applyFill="1" applyBorder="1" applyAlignment="1" applyProtection="1">
      <alignment horizontal="left" vertical="center"/>
      <protection locked="0"/>
    </xf>
    <xf numFmtId="0" fontId="24" fillId="4" borderId="8" xfId="0" applyFont="1" applyFill="1" applyBorder="1" applyAlignment="1" applyProtection="1">
      <alignment horizontal="left" vertical="center"/>
      <protection locked="0"/>
    </xf>
    <xf numFmtId="0" fontId="24" fillId="4" borderId="9" xfId="0" applyFont="1" applyFill="1" applyBorder="1" applyAlignment="1" applyProtection="1">
      <alignment horizontal="left" vertical="center"/>
      <protection locked="0"/>
    </xf>
    <xf numFmtId="168" fontId="5" fillId="2" borderId="4" xfId="1" applyNumberFormat="1" applyFont="1" applyFill="1" applyBorder="1" applyAlignment="1" applyProtection="1">
      <alignment horizontal="center" vertical="center"/>
    </xf>
    <xf numFmtId="0" fontId="4" fillId="4" borderId="63" xfId="0" applyFont="1" applyFill="1" applyBorder="1" applyAlignment="1">
      <alignment horizontal="right" vertical="center"/>
    </xf>
    <xf numFmtId="10" fontId="5" fillId="2" borderId="4" xfId="2" applyNumberFormat="1" applyFont="1" applyFill="1" applyBorder="1" applyAlignment="1" applyProtection="1">
      <alignment horizontal="left" vertical="center"/>
    </xf>
    <xf numFmtId="0" fontId="6" fillId="3" borderId="5" xfId="1" applyNumberFormat="1" applyFont="1" applyFill="1" applyBorder="1" applyAlignment="1" applyProtection="1">
      <alignment horizontal="center" vertical="center" wrapText="1"/>
    </xf>
    <xf numFmtId="0" fontId="6" fillId="3" borderId="6" xfId="1" applyNumberFormat="1" applyFont="1" applyFill="1" applyBorder="1" applyAlignment="1" applyProtection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43" fontId="6" fillId="3" borderId="5" xfId="1" applyFont="1" applyFill="1" applyBorder="1" applyAlignment="1" applyProtection="1">
      <alignment horizontal="center" vertical="center" wrapText="1"/>
    </xf>
    <xf numFmtId="43" fontId="6" fillId="3" borderId="6" xfId="1" applyFont="1" applyFill="1" applyBorder="1" applyAlignment="1" applyProtection="1">
      <alignment horizontal="center" vertical="center" wrapText="1"/>
    </xf>
    <xf numFmtId="0" fontId="4" fillId="0" borderId="10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3" fontId="5" fillId="0" borderId="14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4" fillId="0" borderId="42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0" fillId="0" borderId="18" xfId="0" applyBorder="1" applyAlignment="1"/>
    <xf numFmtId="43" fontId="16" fillId="0" borderId="16" xfId="1" applyFont="1" applyFill="1" applyBorder="1" applyAlignment="1" applyProtection="1">
      <alignment horizontal="center" vertical="center"/>
    </xf>
    <xf numFmtId="43" fontId="16" fillId="0" borderId="18" xfId="1" applyFont="1" applyFill="1" applyBorder="1" applyAlignment="1" applyProtection="1">
      <alignment horizontal="center" vertical="center"/>
    </xf>
    <xf numFmtId="166" fontId="14" fillId="14" borderId="16" xfId="0" applyNumberFormat="1" applyFont="1" applyFill="1" applyBorder="1" applyAlignment="1">
      <alignment horizontal="center" vertical="center"/>
    </xf>
    <xf numFmtId="166" fontId="14" fillId="14" borderId="17" xfId="0" applyNumberFormat="1" applyFont="1" applyFill="1" applyBorder="1" applyAlignment="1">
      <alignment horizontal="center" vertical="center"/>
    </xf>
    <xf numFmtId="166" fontId="14" fillId="14" borderId="18" xfId="0" applyNumberFormat="1" applyFont="1" applyFill="1" applyBorder="1" applyAlignment="1">
      <alignment horizontal="center" vertical="center"/>
    </xf>
    <xf numFmtId="166" fontId="14" fillId="14" borderId="20" xfId="0" applyNumberFormat="1" applyFont="1" applyFill="1" applyBorder="1" applyAlignment="1">
      <alignment horizontal="center" vertical="center"/>
    </xf>
    <xf numFmtId="0" fontId="0" fillId="0" borderId="35" xfId="0" applyBorder="1" applyAlignment="1"/>
    <xf numFmtId="0" fontId="0" fillId="0" borderId="31" xfId="0" applyBorder="1" applyAlignment="1"/>
    <xf numFmtId="0" fontId="0" fillId="0" borderId="41" xfId="0" applyBorder="1" applyAlignment="1"/>
    <xf numFmtId="166" fontId="14" fillId="14" borderId="16" xfId="0" applyNumberFormat="1" applyFont="1" applyFill="1" applyBorder="1" applyAlignment="1">
      <alignment horizontal="center" vertical="center" wrapText="1"/>
    </xf>
    <xf numFmtId="166" fontId="14" fillId="14" borderId="18" xfId="0" applyNumberFormat="1" applyFont="1" applyFill="1" applyBorder="1" applyAlignment="1">
      <alignment horizontal="center" vertical="center" wrapText="1"/>
    </xf>
    <xf numFmtId="0" fontId="15" fillId="13" borderId="16" xfId="0" applyFont="1" applyFill="1" applyBorder="1" applyAlignment="1">
      <alignment horizontal="center" vertical="center"/>
    </xf>
    <xf numFmtId="0" fontId="15" fillId="13" borderId="17" xfId="0" applyFont="1" applyFill="1" applyBorder="1" applyAlignment="1">
      <alignment horizontal="center" vertical="center"/>
    </xf>
    <xf numFmtId="0" fontId="15" fillId="13" borderId="18" xfId="0" applyFont="1" applyFill="1" applyBorder="1" applyAlignment="1">
      <alignment horizontal="center" vertical="center"/>
    </xf>
    <xf numFmtId="0" fontId="15" fillId="12" borderId="16" xfId="0" applyFont="1" applyFill="1" applyBorder="1" applyAlignment="1">
      <alignment horizontal="right" vertical="center"/>
    </xf>
    <xf numFmtId="0" fontId="15" fillId="12" borderId="17" xfId="0" applyFont="1" applyFill="1" applyBorder="1" applyAlignment="1">
      <alignment horizontal="right" vertical="center"/>
    </xf>
    <xf numFmtId="0" fontId="15" fillId="12" borderId="18" xfId="0" applyFont="1" applyFill="1" applyBorder="1" applyAlignment="1">
      <alignment horizontal="right" vertical="center"/>
    </xf>
    <xf numFmtId="0" fontId="0" fillId="0" borderId="17" xfId="0" applyBorder="1" applyAlignment="1"/>
    <xf numFmtId="166" fontId="14" fillId="14" borderId="36" xfId="0" applyNumberFormat="1" applyFont="1" applyFill="1" applyBorder="1" applyAlignment="1">
      <alignment horizontal="center" vertical="center" wrapText="1"/>
    </xf>
    <xf numFmtId="166" fontId="14" fillId="14" borderId="38" xfId="0" applyNumberFormat="1" applyFont="1" applyFill="1" applyBorder="1" applyAlignment="1">
      <alignment horizontal="center" vertical="center" wrapText="1"/>
    </xf>
    <xf numFmtId="43" fontId="15" fillId="12" borderId="16" xfId="0" applyNumberFormat="1" applyFont="1" applyFill="1" applyBorder="1" applyAlignment="1">
      <alignment horizontal="center" vertical="center"/>
    </xf>
    <xf numFmtId="43" fontId="15" fillId="12" borderId="18" xfId="0" applyNumberFormat="1" applyFont="1" applyFill="1" applyBorder="1" applyAlignment="1">
      <alignment horizontal="center" vertical="center"/>
    </xf>
    <xf numFmtId="43" fontId="16" fillId="0" borderId="36" xfId="1" applyFont="1" applyBorder="1" applyAlignment="1" applyProtection="1">
      <alignment horizontal="center" vertical="center"/>
    </xf>
    <xf numFmtId="43" fontId="16" fillId="0" borderId="37" xfId="1" applyFont="1" applyBorder="1" applyAlignment="1" applyProtection="1">
      <alignment horizontal="center" vertical="center"/>
    </xf>
    <xf numFmtId="43" fontId="16" fillId="0" borderId="38" xfId="1" applyFont="1" applyBorder="1" applyAlignment="1" applyProtection="1">
      <alignment horizontal="center" vertical="center"/>
    </xf>
    <xf numFmtId="0" fontId="17" fillId="0" borderId="16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166" fontId="14" fillId="14" borderId="17" xfId="0" applyNumberFormat="1" applyFont="1" applyFill="1" applyBorder="1" applyAlignment="1">
      <alignment horizontal="center" vertical="center" wrapText="1"/>
    </xf>
    <xf numFmtId="43" fontId="15" fillId="4" borderId="16" xfId="1" applyFont="1" applyFill="1" applyBorder="1" applyAlignment="1" applyProtection="1">
      <alignment horizontal="right" vertical="center"/>
    </xf>
    <xf numFmtId="43" fontId="15" fillId="4" borderId="17" xfId="1" applyFont="1" applyFill="1" applyBorder="1" applyAlignment="1" applyProtection="1">
      <alignment horizontal="right" vertical="center"/>
    </xf>
    <xf numFmtId="43" fontId="15" fillId="4" borderId="18" xfId="1" applyFont="1" applyFill="1" applyBorder="1" applyAlignment="1" applyProtection="1">
      <alignment horizontal="right" vertical="center"/>
    </xf>
    <xf numFmtId="43" fontId="16" fillId="0" borderId="36" xfId="1" applyFont="1" applyFill="1" applyBorder="1" applyAlignment="1" applyProtection="1">
      <alignment horizontal="center" vertical="center"/>
    </xf>
    <xf numFmtId="43" fontId="16" fillId="0" borderId="37" xfId="1" applyFont="1" applyFill="1" applyBorder="1" applyAlignment="1" applyProtection="1">
      <alignment horizontal="center" vertical="center"/>
    </xf>
    <xf numFmtId="43" fontId="16" fillId="0" borderId="38" xfId="1" applyFont="1" applyFill="1" applyBorder="1" applyAlignment="1" applyProtection="1">
      <alignment horizontal="center" vertical="center"/>
    </xf>
    <xf numFmtId="10" fontId="25" fillId="0" borderId="16" xfId="2" applyNumberFormat="1" applyFont="1" applyFill="1" applyBorder="1" applyAlignment="1" applyProtection="1">
      <alignment horizontal="center" vertical="center"/>
      <protection locked="0"/>
    </xf>
    <xf numFmtId="10" fontId="25" fillId="0" borderId="17" xfId="2" applyNumberFormat="1" applyFont="1" applyFill="1" applyBorder="1" applyAlignment="1" applyProtection="1">
      <alignment horizontal="center" vertical="center"/>
      <protection locked="0"/>
    </xf>
    <xf numFmtId="10" fontId="25" fillId="0" borderId="18" xfId="2" applyNumberFormat="1" applyFont="1" applyFill="1" applyBorder="1" applyAlignment="1" applyProtection="1">
      <alignment horizontal="center" vertical="center"/>
      <protection locked="0"/>
    </xf>
    <xf numFmtId="0" fontId="17" fillId="0" borderId="16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7" fillId="0" borderId="18" xfId="0" applyFont="1" applyBorder="1" applyAlignment="1">
      <alignment horizontal="left" vertical="center"/>
    </xf>
    <xf numFmtId="10" fontId="16" fillId="0" borderId="20" xfId="2" applyNumberFormat="1" applyFont="1" applyBorder="1" applyAlignment="1" applyProtection="1">
      <alignment horizontal="center" vertical="center"/>
    </xf>
    <xf numFmtId="10" fontId="16" fillId="0" borderId="19" xfId="2" applyNumberFormat="1" applyFont="1" applyBorder="1" applyAlignment="1" applyProtection="1">
      <alignment horizontal="center" vertical="center"/>
    </xf>
    <xf numFmtId="10" fontId="16" fillId="0" borderId="35" xfId="2" applyNumberFormat="1" applyFont="1" applyBorder="1" applyAlignment="1" applyProtection="1">
      <alignment horizontal="center" vertical="center"/>
    </xf>
    <xf numFmtId="10" fontId="16" fillId="0" borderId="39" xfId="2" applyNumberFormat="1" applyFont="1" applyBorder="1" applyAlignment="1" applyProtection="1">
      <alignment horizontal="center" vertical="center"/>
    </xf>
    <xf numFmtId="10" fontId="16" fillId="0" borderId="0" xfId="2" applyNumberFormat="1" applyFont="1" applyBorder="1" applyAlignment="1" applyProtection="1">
      <alignment horizontal="center" vertical="center"/>
    </xf>
    <xf numFmtId="10" fontId="16" fillId="0" borderId="40" xfId="2" applyNumberFormat="1" applyFont="1" applyBorder="1" applyAlignment="1" applyProtection="1">
      <alignment horizontal="center" vertical="center"/>
    </xf>
    <xf numFmtId="10" fontId="16" fillId="0" borderId="31" xfId="2" applyNumberFormat="1" applyFont="1" applyBorder="1" applyAlignment="1" applyProtection="1">
      <alignment horizontal="center" vertical="center"/>
    </xf>
    <xf numFmtId="10" fontId="16" fillId="0" borderId="30" xfId="2" applyNumberFormat="1" applyFont="1" applyBorder="1" applyAlignment="1" applyProtection="1">
      <alignment horizontal="center" vertical="center"/>
    </xf>
    <xf numFmtId="10" fontId="16" fillId="0" borderId="41" xfId="2" applyNumberFormat="1" applyFont="1" applyBorder="1" applyAlignment="1" applyProtection="1">
      <alignment horizontal="center" vertical="center"/>
    </xf>
    <xf numFmtId="0" fontId="15" fillId="4" borderId="26" xfId="0" applyFont="1" applyFill="1" applyBorder="1" applyAlignment="1">
      <alignment horizontal="right" vertical="center"/>
    </xf>
    <xf numFmtId="43" fontId="15" fillId="4" borderId="16" xfId="1" applyFont="1" applyFill="1" applyBorder="1" applyAlignment="1" applyProtection="1">
      <alignment horizontal="center" vertical="center"/>
    </xf>
    <xf numFmtId="43" fontId="15" fillId="4" borderId="17" xfId="1" applyFont="1" applyFill="1" applyBorder="1" applyAlignment="1" applyProtection="1">
      <alignment horizontal="center" vertical="center"/>
    </xf>
    <xf numFmtId="43" fontId="15" fillId="4" borderId="18" xfId="1" applyFont="1" applyFill="1" applyBorder="1" applyAlignment="1" applyProtection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6" xfId="0" applyFont="1" applyBorder="1" applyAlignment="1">
      <alignment horizontal="left" vertical="center"/>
    </xf>
    <xf numFmtId="43" fontId="16" fillId="0" borderId="16" xfId="1" applyFont="1" applyBorder="1" applyAlignment="1" applyProtection="1">
      <alignment horizontal="center" vertical="center"/>
    </xf>
    <xf numFmtId="43" fontId="16" fillId="0" borderId="17" xfId="1" applyFont="1" applyBorder="1" applyAlignment="1" applyProtection="1">
      <alignment horizontal="center" vertical="center"/>
    </xf>
    <xf numFmtId="43" fontId="16" fillId="0" borderId="18" xfId="1" applyFont="1" applyBorder="1" applyAlignment="1" applyProtection="1">
      <alignment horizontal="center" vertical="center"/>
    </xf>
    <xf numFmtId="0" fontId="15" fillId="2" borderId="26" xfId="0" applyFont="1" applyFill="1" applyBorder="1" applyAlignment="1">
      <alignment horizontal="right" vertical="center"/>
    </xf>
    <xf numFmtId="43" fontId="15" fillId="0" borderId="16" xfId="1" applyFont="1" applyBorder="1" applyAlignment="1" applyProtection="1">
      <alignment horizontal="center" vertical="center"/>
    </xf>
    <xf numFmtId="43" fontId="15" fillId="0" borderId="17" xfId="1" applyFont="1" applyBorder="1" applyAlignment="1" applyProtection="1">
      <alignment horizontal="center" vertical="center"/>
    </xf>
    <xf numFmtId="43" fontId="15" fillId="0" borderId="18" xfId="1" applyFont="1" applyBorder="1" applyAlignment="1" applyProtection="1">
      <alignment horizontal="center" vertical="center"/>
    </xf>
    <xf numFmtId="0" fontId="15" fillId="4" borderId="16" xfId="0" applyFont="1" applyFill="1" applyBorder="1" applyAlignment="1">
      <alignment horizontal="right" vertical="center"/>
    </xf>
    <xf numFmtId="0" fontId="15" fillId="4" borderId="17" xfId="0" applyFont="1" applyFill="1" applyBorder="1" applyAlignment="1">
      <alignment horizontal="right" vertical="center"/>
    </xf>
    <xf numFmtId="0" fontId="15" fillId="4" borderId="18" xfId="0" applyFont="1" applyFill="1" applyBorder="1" applyAlignment="1">
      <alignment horizontal="right" vertical="center"/>
    </xf>
    <xf numFmtId="0" fontId="16" fillId="0" borderId="17" xfId="0" applyFont="1" applyBorder="1" applyAlignment="1">
      <alignment horizontal="center" vertical="center"/>
    </xf>
    <xf numFmtId="0" fontId="15" fillId="5" borderId="26" xfId="0" applyFont="1" applyFill="1" applyBorder="1" applyAlignment="1">
      <alignment horizontal="center" vertical="center"/>
    </xf>
    <xf numFmtId="0" fontId="14" fillId="3" borderId="26" xfId="0" applyFont="1" applyFill="1" applyBorder="1" applyAlignment="1">
      <alignment horizontal="left" vertical="center"/>
    </xf>
    <xf numFmtId="0" fontId="15" fillId="3" borderId="16" xfId="0" applyFont="1" applyFill="1" applyBorder="1" applyAlignment="1">
      <alignment horizontal="right" vertical="center"/>
    </xf>
    <xf numFmtId="0" fontId="15" fillId="3" borderId="17" xfId="0" applyFont="1" applyFill="1" applyBorder="1" applyAlignment="1">
      <alignment horizontal="right" vertical="center"/>
    </xf>
    <xf numFmtId="0" fontId="15" fillId="3" borderId="18" xfId="0" applyFont="1" applyFill="1" applyBorder="1" applyAlignment="1">
      <alignment horizontal="right" vertical="center"/>
    </xf>
    <xf numFmtId="0" fontId="15" fillId="3" borderId="16" xfId="0" applyFont="1" applyFill="1" applyBorder="1" applyAlignment="1">
      <alignment horizontal="left" vertical="center"/>
    </xf>
    <xf numFmtId="0" fontId="15" fillId="3" borderId="17" xfId="0" applyFont="1" applyFill="1" applyBorder="1" applyAlignment="1">
      <alignment horizontal="left" vertical="center"/>
    </xf>
    <xf numFmtId="0" fontId="15" fillId="3" borderId="18" xfId="0" applyFont="1" applyFill="1" applyBorder="1" applyAlignment="1">
      <alignment horizontal="left" vertical="center"/>
    </xf>
    <xf numFmtId="43" fontId="15" fillId="3" borderId="16" xfId="1" applyFont="1" applyFill="1" applyBorder="1" applyAlignment="1" applyProtection="1">
      <alignment horizontal="center" vertical="center"/>
    </xf>
    <xf numFmtId="43" fontId="15" fillId="3" borderId="17" xfId="1" applyFont="1" applyFill="1" applyBorder="1" applyAlignment="1" applyProtection="1">
      <alignment horizontal="center" vertical="center"/>
    </xf>
    <xf numFmtId="43" fontId="15" fillId="3" borderId="18" xfId="1" applyFont="1" applyFill="1" applyBorder="1" applyAlignment="1" applyProtection="1">
      <alignment horizontal="center" vertical="center"/>
    </xf>
    <xf numFmtId="0" fontId="14" fillId="3" borderId="16" xfId="0" applyFont="1" applyFill="1" applyBorder="1" applyAlignment="1">
      <alignment horizontal="left" vertical="center"/>
    </xf>
    <xf numFmtId="0" fontId="14" fillId="3" borderId="17" xfId="0" applyFont="1" applyFill="1" applyBorder="1" applyAlignment="1">
      <alignment horizontal="left" vertical="center"/>
    </xf>
    <xf numFmtId="0" fontId="14" fillId="3" borderId="18" xfId="0" applyFont="1" applyFill="1" applyBorder="1" applyAlignment="1">
      <alignment horizontal="left" vertical="center"/>
    </xf>
    <xf numFmtId="0" fontId="15" fillId="4" borderId="16" xfId="0" applyFont="1" applyFill="1" applyBorder="1" applyAlignment="1">
      <alignment horizontal="left" vertical="center"/>
    </xf>
    <xf numFmtId="0" fontId="15" fillId="4" borderId="17" xfId="0" applyFont="1" applyFill="1" applyBorder="1" applyAlignment="1">
      <alignment horizontal="left" vertical="center"/>
    </xf>
    <xf numFmtId="0" fontId="15" fillId="4" borderId="18" xfId="0" applyFont="1" applyFill="1" applyBorder="1" applyAlignment="1">
      <alignment horizontal="left" vertical="center"/>
    </xf>
    <xf numFmtId="0" fontId="16" fillId="0" borderId="16" xfId="0" applyFont="1" applyBorder="1" applyAlignment="1">
      <alignment horizontal="left" vertical="center"/>
    </xf>
    <xf numFmtId="0" fontId="16" fillId="0" borderId="17" xfId="0" applyFont="1" applyBorder="1" applyAlignment="1">
      <alignment horizontal="left" vertical="center"/>
    </xf>
    <xf numFmtId="0" fontId="16" fillId="0" borderId="18" xfId="0" applyFont="1" applyBorder="1" applyAlignment="1">
      <alignment horizontal="left" vertical="center"/>
    </xf>
    <xf numFmtId="43" fontId="16" fillId="0" borderId="16" xfId="1" applyFont="1" applyBorder="1" applyAlignment="1" applyProtection="1">
      <alignment horizontal="right" vertical="center"/>
    </xf>
    <xf numFmtId="43" fontId="16" fillId="0" borderId="17" xfId="1" applyFont="1" applyBorder="1" applyAlignment="1" applyProtection="1">
      <alignment horizontal="right" vertical="center"/>
    </xf>
    <xf numFmtId="43" fontId="16" fillId="0" borderId="18" xfId="1" applyFont="1" applyBorder="1" applyAlignment="1" applyProtection="1">
      <alignment horizontal="right" vertical="center"/>
    </xf>
    <xf numFmtId="43" fontId="16" fillId="2" borderId="16" xfId="1" applyFont="1" applyFill="1" applyBorder="1" applyAlignment="1" applyProtection="1">
      <alignment horizontal="center" vertical="center"/>
    </xf>
    <xf numFmtId="43" fontId="16" fillId="2" borderId="17" xfId="1" applyFont="1" applyFill="1" applyBorder="1" applyAlignment="1" applyProtection="1">
      <alignment horizontal="center" vertical="center"/>
    </xf>
    <xf numFmtId="43" fontId="16" fillId="2" borderId="18" xfId="1" applyFont="1" applyFill="1" applyBorder="1" applyAlignment="1" applyProtection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43" fontId="16" fillId="0" borderId="17" xfId="1" applyFont="1" applyFill="1" applyBorder="1" applyAlignment="1" applyProtection="1">
      <alignment horizontal="center" vertical="center"/>
    </xf>
    <xf numFmtId="10" fontId="15" fillId="4" borderId="16" xfId="0" applyNumberFormat="1" applyFont="1" applyFill="1" applyBorder="1" applyAlignment="1">
      <alignment horizontal="right" vertical="center"/>
    </xf>
    <xf numFmtId="10" fontId="15" fillId="4" borderId="18" xfId="0" applyNumberFormat="1" applyFont="1" applyFill="1" applyBorder="1" applyAlignment="1">
      <alignment horizontal="right" vertical="center"/>
    </xf>
    <xf numFmtId="10" fontId="15" fillId="3" borderId="17" xfId="0" applyNumberFormat="1" applyFont="1" applyFill="1" applyBorder="1" applyAlignment="1">
      <alignment horizontal="right" vertical="center"/>
    </xf>
    <xf numFmtId="10" fontId="15" fillId="3" borderId="18" xfId="0" applyNumberFormat="1" applyFont="1" applyFill="1" applyBorder="1" applyAlignment="1">
      <alignment horizontal="right" vertical="center"/>
    </xf>
    <xf numFmtId="10" fontId="16" fillId="0" borderId="16" xfId="2" applyNumberFormat="1" applyFont="1" applyBorder="1" applyAlignment="1" applyProtection="1">
      <alignment horizontal="right" vertical="center"/>
    </xf>
    <xf numFmtId="10" fontId="16" fillId="0" borderId="18" xfId="2" applyNumberFormat="1" applyFont="1" applyBorder="1" applyAlignment="1" applyProtection="1">
      <alignment horizontal="right" vertical="center"/>
    </xf>
    <xf numFmtId="0" fontId="17" fillId="0" borderId="20" xfId="0" applyFont="1" applyBorder="1" applyAlignment="1">
      <alignment horizontal="left" vertical="center"/>
    </xf>
    <xf numFmtId="0" fontId="17" fillId="0" borderId="19" xfId="0" applyFont="1" applyBorder="1" applyAlignment="1">
      <alignment horizontal="left" vertical="center"/>
    </xf>
    <xf numFmtId="0" fontId="17" fillId="0" borderId="35" xfId="0" applyFont="1" applyBorder="1" applyAlignment="1">
      <alignment horizontal="left" vertic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15" fillId="4" borderId="26" xfId="0" applyFont="1" applyFill="1" applyBorder="1" applyAlignment="1">
      <alignment horizontal="left" vertical="center"/>
    </xf>
    <xf numFmtId="0" fontId="0" fillId="0" borderId="26" xfId="0" applyBorder="1" applyAlignment="1">
      <alignment horizontal="center"/>
    </xf>
    <xf numFmtId="10" fontId="16" fillId="0" borderId="16" xfId="2" applyNumberFormat="1" applyFont="1" applyBorder="1" applyAlignment="1" applyProtection="1">
      <alignment vertical="center"/>
    </xf>
    <xf numFmtId="10" fontId="16" fillId="0" borderId="18" xfId="2" applyNumberFormat="1" applyFont="1" applyBorder="1" applyAlignment="1" applyProtection="1">
      <alignment vertical="center"/>
    </xf>
    <xf numFmtId="10" fontId="15" fillId="4" borderId="16" xfId="0" applyNumberFormat="1" applyFont="1" applyFill="1" applyBorder="1" applyAlignment="1">
      <alignment vertical="center"/>
    </xf>
    <xf numFmtId="10" fontId="15" fillId="4" borderId="18" xfId="0" applyNumberFormat="1" applyFont="1" applyFill="1" applyBorder="1" applyAlignment="1">
      <alignment vertical="center"/>
    </xf>
    <xf numFmtId="0" fontId="15" fillId="5" borderId="16" xfId="0" applyFont="1" applyFill="1" applyBorder="1" applyAlignment="1">
      <alignment horizontal="center" vertical="center"/>
    </xf>
    <xf numFmtId="0" fontId="15" fillId="5" borderId="17" xfId="0" applyFont="1" applyFill="1" applyBorder="1" applyAlignment="1">
      <alignment horizontal="center" vertical="center"/>
    </xf>
    <xf numFmtId="0" fontId="15" fillId="5" borderId="1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9" fillId="0" borderId="16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5" fillId="2" borderId="16" xfId="0" applyFont="1" applyFill="1" applyBorder="1" applyAlignment="1">
      <alignment horizontal="left" vertical="center"/>
    </xf>
    <xf numFmtId="0" fontId="15" fillId="2" borderId="18" xfId="0" applyFont="1" applyFill="1" applyBorder="1" applyAlignment="1">
      <alignment horizontal="left" vertical="center"/>
    </xf>
    <xf numFmtId="0" fontId="16" fillId="0" borderId="16" xfId="1" applyNumberFormat="1" applyFont="1" applyFill="1" applyBorder="1" applyAlignment="1" applyProtection="1">
      <alignment horizontal="left" vertical="center"/>
    </xf>
    <xf numFmtId="0" fontId="16" fillId="0" borderId="17" xfId="1" applyNumberFormat="1" applyFont="1" applyFill="1" applyBorder="1" applyAlignment="1" applyProtection="1">
      <alignment horizontal="left" vertical="center"/>
    </xf>
    <xf numFmtId="0" fontId="16" fillId="0" borderId="18" xfId="1" applyNumberFormat="1" applyFont="1" applyFill="1" applyBorder="1" applyAlignment="1" applyProtection="1">
      <alignment horizontal="left" vertical="center"/>
    </xf>
    <xf numFmtId="10" fontId="16" fillId="0" borderId="16" xfId="2" applyNumberFormat="1" applyFont="1" applyFill="1" applyBorder="1" applyAlignment="1" applyProtection="1">
      <alignment horizontal="left" vertical="center"/>
    </xf>
    <xf numFmtId="10" fontId="16" fillId="0" borderId="17" xfId="2" applyNumberFormat="1" applyFont="1" applyFill="1" applyBorder="1" applyAlignment="1" applyProtection="1">
      <alignment horizontal="left" vertical="center"/>
    </xf>
    <xf numFmtId="10" fontId="16" fillId="0" borderId="18" xfId="2" applyNumberFormat="1" applyFont="1" applyFill="1" applyBorder="1" applyAlignment="1" applyProtection="1">
      <alignment horizontal="left" vertical="center"/>
    </xf>
    <xf numFmtId="0" fontId="15" fillId="2" borderId="26" xfId="0" applyFont="1" applyFill="1" applyBorder="1" applyAlignment="1">
      <alignment horizontal="left" vertical="center"/>
    </xf>
    <xf numFmtId="10" fontId="19" fillId="0" borderId="16" xfId="2" applyNumberFormat="1" applyFont="1" applyFill="1" applyBorder="1" applyAlignment="1" applyProtection="1">
      <alignment horizontal="left" vertical="center"/>
      <protection locked="0"/>
    </xf>
    <xf numFmtId="10" fontId="19" fillId="0" borderId="18" xfId="2" applyNumberFormat="1" applyFont="1" applyFill="1" applyBorder="1" applyAlignment="1" applyProtection="1">
      <alignment horizontal="left" vertical="center"/>
      <protection locked="0"/>
    </xf>
    <xf numFmtId="10" fontId="16" fillId="0" borderId="16" xfId="2" applyNumberFormat="1" applyFont="1" applyFill="1" applyBorder="1" applyAlignment="1" applyProtection="1">
      <alignment horizontal="center" vertical="center"/>
    </xf>
    <xf numFmtId="10" fontId="16" fillId="0" borderId="17" xfId="2" applyNumberFormat="1" applyFont="1" applyFill="1" applyBorder="1" applyAlignment="1" applyProtection="1">
      <alignment horizontal="center" vertical="center"/>
    </xf>
    <xf numFmtId="10" fontId="16" fillId="0" borderId="18" xfId="2" applyNumberFormat="1" applyFont="1" applyFill="1" applyBorder="1" applyAlignment="1" applyProtection="1">
      <alignment horizontal="center" vertical="center"/>
    </xf>
    <xf numFmtId="0" fontId="22" fillId="12" borderId="36" xfId="0" applyFont="1" applyFill="1" applyBorder="1" applyAlignment="1">
      <alignment horizontal="center" vertical="center" wrapText="1"/>
    </xf>
    <xf numFmtId="0" fontId="22" fillId="12" borderId="38" xfId="0" applyFont="1" applyFill="1" applyBorder="1" applyAlignment="1">
      <alignment horizontal="center" vertical="center" wrapText="1"/>
    </xf>
    <xf numFmtId="0" fontId="22" fillId="12" borderId="26" xfId="0" applyFont="1" applyFill="1" applyBorder="1" applyAlignment="1">
      <alignment horizontal="center" vertical="center" wrapText="1"/>
    </xf>
    <xf numFmtId="0" fontId="22" fillId="12" borderId="16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 wrapText="1"/>
    </xf>
    <xf numFmtId="0" fontId="22" fillId="12" borderId="18" xfId="0" applyFont="1" applyFill="1" applyBorder="1" applyAlignment="1">
      <alignment horizontal="center" vertical="center" wrapText="1"/>
    </xf>
    <xf numFmtId="43" fontId="22" fillId="12" borderId="16" xfId="0" applyNumberFormat="1" applyFont="1" applyFill="1" applyBorder="1" applyAlignment="1">
      <alignment horizontal="center" vertical="center" wrapText="1"/>
    </xf>
    <xf numFmtId="43" fontId="22" fillId="12" borderId="18" xfId="0" applyNumberFormat="1" applyFont="1" applyFill="1" applyBorder="1" applyAlignment="1">
      <alignment horizontal="center" vertical="center" wrapText="1"/>
    </xf>
  </cellXfs>
  <cellStyles count="9">
    <cellStyle name="Moeda 2" xfId="3" xr:uid="{00000000-0005-0000-0000-000000000000}"/>
    <cellStyle name="Normal" xfId="0" builtinId="0"/>
    <cellStyle name="Normal 2" xfId="4" xr:uid="{00000000-0005-0000-0000-000002000000}"/>
    <cellStyle name="Normal 3" xfId="7" xr:uid="{00000000-0005-0000-0000-000003000000}"/>
    <cellStyle name="Normal 4" xfId="8" xr:uid="{00000000-0005-0000-0000-000004000000}"/>
    <cellStyle name="Porcentagem" xfId="2" builtinId="5"/>
    <cellStyle name="Porcentagem 2" xfId="5" xr:uid="{00000000-0005-0000-0000-000006000000}"/>
    <cellStyle name="Vírgula" xfId="1" builtinId="3"/>
    <cellStyle name="Vírgula 2" xfId="6" xr:uid="{00000000-0005-0000-0000-000008000000}"/>
  </cellStyles>
  <dxfs count="14">
    <dxf>
      <fill>
        <patternFill>
          <bgColor rgb="FFFFFF0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numFmt numFmtId="1" formatCode="0"/>
    </dxf>
    <dxf>
      <numFmt numFmtId="1" formatCode="0"/>
    </dxf>
    <dxf>
      <border outline="0">
        <bottom style="thin">
          <color auto="1"/>
        </bottom>
      </border>
    </dxf>
  </dxfs>
  <tableStyles count="0" defaultTableStyle="TableStyleMedium2" defaultPivotStyle="PivotStyleLight16"/>
  <colors>
    <mruColors>
      <color rgb="FFE5F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Custo por Fun&#231;&#227;o'!A1"/><Relationship Id="rId7" Type="http://schemas.openxmlformats.org/officeDocument/2006/relationships/image" Target="../media/image1.png"/><Relationship Id="rId2" Type="http://schemas.openxmlformats.org/officeDocument/2006/relationships/hyperlink" Target="#'Relat&#243;rio Custo'!A1"/><Relationship Id="rId1" Type="http://schemas.openxmlformats.org/officeDocument/2006/relationships/hyperlink" Target="#'Indicadores Financeiros'!A1"/><Relationship Id="rId6" Type="http://schemas.openxmlformats.org/officeDocument/2006/relationships/hyperlink" Target="#'Dados Cadastrais'!A1"/><Relationship Id="rId5" Type="http://schemas.openxmlformats.org/officeDocument/2006/relationships/hyperlink" Target="#'Custo  Resumido'!A1"/><Relationship Id="rId4" Type="http://schemas.openxmlformats.org/officeDocument/2006/relationships/hyperlink" Target="#'Custo  Resumido por local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Home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Home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Home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Home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hyperlink" Target="#Home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Home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hyperlink" Target="#Hom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571501</xdr:colOff>
      <xdr:row>10</xdr:row>
      <xdr:rowOff>104775</xdr:rowOff>
    </xdr:from>
    <xdr:to>
      <xdr:col>4</xdr:col>
      <xdr:colOff>247651</xdr:colOff>
      <xdr:row>12</xdr:row>
      <xdr:rowOff>187158</xdr:rowOff>
    </xdr:to>
    <xdr:sp macro="" textlink="">
      <xdr:nvSpPr>
        <xdr:cNvPr id="2" name="Retângulo: Cantos Arredondado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ABFA57B-19B1-4F19-9D53-1E9087BCC125}"/>
            </a:ext>
          </a:extLst>
        </xdr:cNvPr>
        <xdr:cNvSpPr/>
      </xdr:nvSpPr>
      <xdr:spPr>
        <a:xfrm>
          <a:off x="914401" y="2190750"/>
          <a:ext cx="1104900" cy="463383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900" b="1"/>
            <a:t>Indicadores financeiros</a:t>
          </a:r>
        </a:p>
      </xdr:txBody>
    </xdr:sp>
    <xdr:clientData/>
  </xdr:twoCellAnchor>
  <xdr:twoCellAnchor>
    <xdr:from>
      <xdr:col>3</xdr:col>
      <xdr:colOff>447676</xdr:colOff>
      <xdr:row>7</xdr:row>
      <xdr:rowOff>9525</xdr:rowOff>
    </xdr:from>
    <xdr:to>
      <xdr:col>5</xdr:col>
      <xdr:colOff>333376</xdr:colOff>
      <xdr:row>9</xdr:row>
      <xdr:rowOff>76200</xdr:rowOff>
    </xdr:to>
    <xdr:sp macro="" textlink="">
      <xdr:nvSpPr>
        <xdr:cNvPr id="3" name="Retângulo: Cantos Arredondado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0064ADD-CE30-44F3-8258-B438C00427EA}"/>
            </a:ext>
          </a:extLst>
        </xdr:cNvPr>
        <xdr:cNvSpPr/>
      </xdr:nvSpPr>
      <xdr:spPr>
        <a:xfrm>
          <a:off x="1609726" y="1524000"/>
          <a:ext cx="1104900" cy="447675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Relatório custo</a:t>
          </a:r>
          <a:endParaRPr lang="pt-BR" sz="600">
            <a:effectLst/>
          </a:endParaRPr>
        </a:p>
      </xdr:txBody>
    </xdr:sp>
    <xdr:clientData/>
  </xdr:twoCellAnchor>
  <xdr:twoCellAnchor>
    <xdr:from>
      <xdr:col>6</xdr:col>
      <xdr:colOff>419101</xdr:colOff>
      <xdr:row>10</xdr:row>
      <xdr:rowOff>114300</xdr:rowOff>
    </xdr:from>
    <xdr:to>
      <xdr:col>8</xdr:col>
      <xdr:colOff>304801</xdr:colOff>
      <xdr:row>12</xdr:row>
      <xdr:rowOff>180975</xdr:rowOff>
    </xdr:to>
    <xdr:sp macro="" textlink="">
      <xdr:nvSpPr>
        <xdr:cNvPr id="4" name="Retângulo: Cantos Arredondado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546D9AD-8E59-4B5A-9DAE-804083F24144}"/>
            </a:ext>
          </a:extLst>
        </xdr:cNvPr>
        <xdr:cNvSpPr/>
      </xdr:nvSpPr>
      <xdr:spPr>
        <a:xfrm>
          <a:off x="3409951" y="2200275"/>
          <a:ext cx="1104900" cy="447675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/>
            <a:t>Custo por função</a:t>
          </a:r>
        </a:p>
      </xdr:txBody>
    </xdr:sp>
    <xdr:clientData/>
  </xdr:twoCellAnchor>
  <xdr:twoCellAnchor>
    <xdr:from>
      <xdr:col>5</xdr:col>
      <xdr:colOff>457201</xdr:colOff>
      <xdr:row>6</xdr:row>
      <xdr:rowOff>171450</xdr:rowOff>
    </xdr:from>
    <xdr:to>
      <xdr:col>7</xdr:col>
      <xdr:colOff>342901</xdr:colOff>
      <xdr:row>9</xdr:row>
      <xdr:rowOff>71187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486E104-9736-49AE-A4F5-C4218A621784}"/>
            </a:ext>
          </a:extLst>
        </xdr:cNvPr>
        <xdr:cNvSpPr/>
      </xdr:nvSpPr>
      <xdr:spPr>
        <a:xfrm>
          <a:off x="2838451" y="1495425"/>
          <a:ext cx="1104900" cy="471237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Custo resumido por local</a:t>
          </a:r>
          <a:endParaRPr lang="pt-BR" sz="700">
            <a:effectLst/>
          </a:endParaRPr>
        </a:p>
      </xdr:txBody>
    </xdr:sp>
    <xdr:clientData/>
  </xdr:twoCellAnchor>
  <xdr:twoCellAnchor>
    <xdr:from>
      <xdr:col>4</xdr:col>
      <xdr:colOff>390526</xdr:colOff>
      <xdr:row>10</xdr:row>
      <xdr:rowOff>114300</xdr:rowOff>
    </xdr:from>
    <xdr:to>
      <xdr:col>6</xdr:col>
      <xdr:colOff>276226</xdr:colOff>
      <xdr:row>12</xdr:row>
      <xdr:rowOff>180975</xdr:rowOff>
    </xdr:to>
    <xdr:sp macro="" textlink="">
      <xdr:nvSpPr>
        <xdr:cNvPr id="6" name="Retângulo: Cantos Arredondados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83C3142A-149D-4232-8618-5933A182509E}"/>
            </a:ext>
          </a:extLst>
        </xdr:cNvPr>
        <xdr:cNvSpPr/>
      </xdr:nvSpPr>
      <xdr:spPr>
        <a:xfrm>
          <a:off x="2162176" y="2200275"/>
          <a:ext cx="1104900" cy="447675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/>
            <a:t>Custo resumido</a:t>
          </a:r>
        </a:p>
      </xdr:txBody>
    </xdr:sp>
    <xdr:clientData/>
  </xdr:twoCellAnchor>
  <xdr:twoCellAnchor>
    <xdr:from>
      <xdr:col>2</xdr:col>
      <xdr:colOff>19051</xdr:colOff>
      <xdr:row>7</xdr:row>
      <xdr:rowOff>0</xdr:rowOff>
    </xdr:from>
    <xdr:to>
      <xdr:col>3</xdr:col>
      <xdr:colOff>304801</xdr:colOff>
      <xdr:row>9</xdr:row>
      <xdr:rowOff>74529</xdr:rowOff>
    </xdr:to>
    <xdr:sp macro="" textlink="">
      <xdr:nvSpPr>
        <xdr:cNvPr id="7" name="Retângulo: Cantos Arredondados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202AE93B-E2FF-46CA-9E65-246554290E22}"/>
            </a:ext>
          </a:extLst>
        </xdr:cNvPr>
        <xdr:cNvSpPr/>
      </xdr:nvSpPr>
      <xdr:spPr>
        <a:xfrm>
          <a:off x="361951" y="1514475"/>
          <a:ext cx="1104900" cy="455529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/>
            <a:t>Dados cadastrais</a:t>
          </a:r>
        </a:p>
      </xdr:txBody>
    </xdr:sp>
    <xdr:clientData/>
  </xdr:twoCellAnchor>
  <xdr:twoCellAnchor>
    <xdr:from>
      <xdr:col>3</xdr:col>
      <xdr:colOff>58588</xdr:colOff>
      <xdr:row>1</xdr:row>
      <xdr:rowOff>98426</xdr:rowOff>
    </xdr:from>
    <xdr:to>
      <xdr:col>9</xdr:col>
      <xdr:colOff>514350</xdr:colOff>
      <xdr:row>4</xdr:row>
      <xdr:rowOff>28575</xdr:rowOff>
    </xdr:to>
    <xdr:sp macro="" textlink="">
      <xdr:nvSpPr>
        <xdr:cNvPr id="8" name="Retângulo: Cantos Diagonais Recortados 6">
          <a:extLst>
            <a:ext uri="{FF2B5EF4-FFF2-40B4-BE49-F238E27FC236}">
              <a16:creationId xmlns:a16="http://schemas.microsoft.com/office/drawing/2014/main" id="{A7EBE05E-B874-4C1C-8E51-516CB00DF217}"/>
            </a:ext>
          </a:extLst>
        </xdr:cNvPr>
        <xdr:cNvSpPr>
          <a:spLocks/>
        </xdr:cNvSpPr>
      </xdr:nvSpPr>
      <xdr:spPr bwMode="auto">
        <a:xfrm>
          <a:off x="1220638" y="212726"/>
          <a:ext cx="4113362" cy="711199"/>
        </a:xfrm>
        <a:custGeom>
          <a:avLst/>
          <a:gdLst>
            <a:gd name="T0" fmla="*/ 0 w 5214902"/>
            <a:gd name="T1" fmla="*/ 0 h 1177925"/>
            <a:gd name="T2" fmla="*/ 5018577 w 5214902"/>
            <a:gd name="T3" fmla="*/ 0 h 1177925"/>
            <a:gd name="T4" fmla="*/ 5214902 w 5214902"/>
            <a:gd name="T5" fmla="*/ 196325 h 1177925"/>
            <a:gd name="T6" fmla="*/ 5214902 w 5214902"/>
            <a:gd name="T7" fmla="*/ 1177925 h 1177925"/>
            <a:gd name="T8" fmla="*/ 5214902 w 5214902"/>
            <a:gd name="T9" fmla="*/ 1177925 h 1177925"/>
            <a:gd name="T10" fmla="*/ 196325 w 5214902"/>
            <a:gd name="T11" fmla="*/ 1177925 h 1177925"/>
            <a:gd name="T12" fmla="*/ 0 w 5214902"/>
            <a:gd name="T13" fmla="*/ 981600 h 1177925"/>
            <a:gd name="T14" fmla="*/ 0 w 5214902"/>
            <a:gd name="T15" fmla="*/ 0 h 1177925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5214902"/>
            <a:gd name="T25" fmla="*/ 0 h 1177925"/>
            <a:gd name="T26" fmla="*/ 5214902 w 5214902"/>
            <a:gd name="T27" fmla="*/ 1177925 h 1177925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5214902" h="1177925">
              <a:moveTo>
                <a:pt x="0" y="0"/>
              </a:moveTo>
              <a:lnTo>
                <a:pt x="5018577" y="0"/>
              </a:lnTo>
              <a:lnTo>
                <a:pt x="5214902" y="196325"/>
              </a:lnTo>
              <a:lnTo>
                <a:pt x="5214902" y="1177925"/>
              </a:lnTo>
              <a:lnTo>
                <a:pt x="196325" y="1177925"/>
              </a:lnTo>
              <a:lnTo>
                <a:pt x="0" y="981600"/>
              </a:lnTo>
              <a:lnTo>
                <a:pt x="0" y="0"/>
              </a:lnTo>
              <a:close/>
            </a:path>
          </a:pathLst>
        </a:custGeom>
        <a:solidFill>
          <a:srgbClr val="43494E"/>
        </a:solidFill>
        <a:ln>
          <a:noFill/>
        </a:ln>
      </xdr:spPr>
      <xdr:txBody>
        <a:bodyPr rot="0" vert="horz" wrap="square" lIns="91440" tIns="45720" rIns="91440" bIns="45720" anchor="ctr" anchorCtr="0" upright="1">
          <a:no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pt-BR" sz="1400" b="1">
              <a:solidFill>
                <a:srgbClr val="FFFFFF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TRIBUNAL DE JUSTIÇA DE SÃO PAULO</a:t>
          </a:r>
          <a:endParaRPr lang="pt-B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>
            <a:lnSpc>
              <a:spcPct val="107000"/>
            </a:lnSpc>
            <a:spcAft>
              <a:spcPts val="800"/>
            </a:spcAft>
          </a:pPr>
          <a:r>
            <a:rPr lang="pt-BR" sz="1400">
              <a:solidFill>
                <a:srgbClr val="FFFFFF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Secretaria de Administração e Abastecimento</a:t>
          </a:r>
          <a:endParaRPr lang="pt-B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114299</xdr:colOff>
      <xdr:row>1</xdr:row>
      <xdr:rowOff>95251</xdr:rowOff>
    </xdr:from>
    <xdr:to>
      <xdr:col>3</xdr:col>
      <xdr:colOff>57150</xdr:colOff>
      <xdr:row>4</xdr:row>
      <xdr:rowOff>19051</xdr:rowOff>
    </xdr:to>
    <xdr:grpSp>
      <xdr:nvGrpSpPr>
        <xdr:cNvPr id="9" name="Agrupar 8">
          <a:extLst>
            <a:ext uri="{FF2B5EF4-FFF2-40B4-BE49-F238E27FC236}">
              <a16:creationId xmlns:a16="http://schemas.microsoft.com/office/drawing/2014/main" id="{EF20F0BC-7911-44B8-9FE4-B9D13A9B8C91}"/>
            </a:ext>
          </a:extLst>
        </xdr:cNvPr>
        <xdr:cNvGrpSpPr>
          <a:grpSpLocks/>
        </xdr:cNvGrpSpPr>
      </xdr:nvGrpSpPr>
      <xdr:grpSpPr bwMode="auto">
        <a:xfrm>
          <a:off x="247649" y="209551"/>
          <a:ext cx="971551" cy="704850"/>
          <a:chOff x="0" y="0"/>
          <a:chExt cx="11779" cy="11779"/>
        </a:xfrm>
      </xdr:grpSpPr>
      <xdr:sp macro="" textlink="">
        <xdr:nvSpPr>
          <xdr:cNvPr id="10" name="Retângulo: Único Canto Recortado 5">
            <a:extLst>
              <a:ext uri="{FF2B5EF4-FFF2-40B4-BE49-F238E27FC236}">
                <a16:creationId xmlns:a16="http://schemas.microsoft.com/office/drawing/2014/main" id="{C6727678-2DCF-C6B8-C9A2-A45600D41379}"/>
              </a:ext>
            </a:extLst>
          </xdr:cNvPr>
          <xdr:cNvSpPr>
            <a:spLocks/>
          </xdr:cNvSpPr>
        </xdr:nvSpPr>
        <xdr:spPr bwMode="auto">
          <a:xfrm rot="5400000">
            <a:off x="0" y="0"/>
            <a:ext cx="11779" cy="11779"/>
          </a:xfrm>
          <a:custGeom>
            <a:avLst/>
            <a:gdLst>
              <a:gd name="T0" fmla="*/ 0 w 1177925"/>
              <a:gd name="T1" fmla="*/ 0 h 1177925"/>
              <a:gd name="T2" fmla="*/ 981600 w 1177925"/>
              <a:gd name="T3" fmla="*/ 0 h 1177925"/>
              <a:gd name="T4" fmla="*/ 1177925 w 1177925"/>
              <a:gd name="T5" fmla="*/ 196325 h 1177925"/>
              <a:gd name="T6" fmla="*/ 1177925 w 1177925"/>
              <a:gd name="T7" fmla="*/ 1177925 h 1177925"/>
              <a:gd name="T8" fmla="*/ 0 w 1177925"/>
              <a:gd name="T9" fmla="*/ 1177925 h 1177925"/>
              <a:gd name="T10" fmla="*/ 0 w 1177925"/>
              <a:gd name="T11" fmla="*/ 0 h 1177925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  <a:gd name="T18" fmla="*/ 0 w 1177925"/>
              <a:gd name="T19" fmla="*/ 0 h 1177925"/>
              <a:gd name="T20" fmla="*/ 1177925 w 1177925"/>
              <a:gd name="T21" fmla="*/ 1177925 h 1177925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1177925" h="1177925">
                <a:moveTo>
                  <a:pt x="0" y="0"/>
                </a:moveTo>
                <a:lnTo>
                  <a:pt x="981600" y="0"/>
                </a:lnTo>
                <a:lnTo>
                  <a:pt x="1177925" y="196325"/>
                </a:lnTo>
                <a:lnTo>
                  <a:pt x="1177925" y="1177925"/>
                </a:lnTo>
                <a:lnTo>
                  <a:pt x="0" y="1177925"/>
                </a:lnTo>
                <a:lnTo>
                  <a:pt x="0" y="0"/>
                </a:lnTo>
                <a:close/>
              </a:path>
            </a:pathLst>
          </a:custGeom>
          <a:solidFill>
            <a:srgbClr val="DA5914"/>
          </a:solidFill>
          <a:ln>
            <a:noFill/>
          </a:ln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pt-BR" sz="1800" b="1">
                <a:effectLst/>
                <a:latin typeface="Montserrat" panose="020F0502020204030204" pitchFamily="2" charset="0"/>
                <a:ea typeface="Calibri" panose="020F0502020204030204" pitchFamily="34" charset="0"/>
                <a:cs typeface="Times New Roman" panose="02020603050405020304" pitchFamily="18" charset="0"/>
              </a:rPr>
              <a:t> </a:t>
            </a:r>
            <a:endParaRPr lang="pt-BR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11" name="Retângulo: Único Canto Recortado 5">
            <a:extLst>
              <a:ext uri="{FF2B5EF4-FFF2-40B4-BE49-F238E27FC236}">
                <a16:creationId xmlns:a16="http://schemas.microsoft.com/office/drawing/2014/main" id="{5BC3DA0F-CFCB-407A-BF8F-DD65F1566794}"/>
              </a:ext>
            </a:extLst>
          </xdr:cNvPr>
          <xdr:cNvSpPr>
            <a:spLocks/>
          </xdr:cNvSpPr>
        </xdr:nvSpPr>
        <xdr:spPr bwMode="auto">
          <a:xfrm>
            <a:off x="87" y="2549"/>
            <a:ext cx="11367" cy="6594"/>
          </a:xfrm>
          <a:custGeom>
            <a:avLst/>
            <a:gdLst>
              <a:gd name="T0" fmla="*/ 0 w 1136673"/>
              <a:gd name="T1" fmla="*/ 0 h 659423"/>
              <a:gd name="T2" fmla="*/ 1026767 w 1136673"/>
              <a:gd name="T3" fmla="*/ 0 h 659423"/>
              <a:gd name="T4" fmla="*/ 1136673 w 1136673"/>
              <a:gd name="T5" fmla="*/ 109906 h 659423"/>
              <a:gd name="T6" fmla="*/ 1136673 w 1136673"/>
              <a:gd name="T7" fmla="*/ 659423 h 659423"/>
              <a:gd name="T8" fmla="*/ 0 w 1136673"/>
              <a:gd name="T9" fmla="*/ 659423 h 659423"/>
              <a:gd name="T10" fmla="*/ 0 w 1136673"/>
              <a:gd name="T11" fmla="*/ 0 h 659423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  <a:gd name="T18" fmla="*/ 0 w 1136673"/>
              <a:gd name="T19" fmla="*/ 0 h 659423"/>
              <a:gd name="T20" fmla="*/ 1136673 w 1136673"/>
              <a:gd name="T21" fmla="*/ 659423 h 659423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1136673" h="659423">
                <a:moveTo>
                  <a:pt x="0" y="0"/>
                </a:moveTo>
                <a:lnTo>
                  <a:pt x="1026767" y="0"/>
                </a:lnTo>
                <a:lnTo>
                  <a:pt x="1136673" y="109906"/>
                </a:lnTo>
                <a:lnTo>
                  <a:pt x="1136673" y="659423"/>
                </a:lnTo>
                <a:lnTo>
                  <a:pt x="0" y="659423"/>
                </a:lnTo>
                <a:lnTo>
                  <a:pt x="0" y="0"/>
                </a:lnTo>
                <a:close/>
              </a:path>
            </a:pathLst>
          </a:custGeom>
          <a:solidFill>
            <a:srgbClr val="DA5914"/>
          </a:solidFill>
          <a:ln>
            <a:noFill/>
          </a:ln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pt-BR" sz="1800" b="1">
                <a:effectLst/>
                <a:latin typeface="Montserrat" panose="020F0502020204030204" pitchFamily="2" charset="0"/>
                <a:ea typeface="Calibri" panose="020F0502020204030204" pitchFamily="34" charset="0"/>
                <a:cs typeface="Times New Roman" panose="02020603050405020304" pitchFamily="18" charset="0"/>
              </a:rPr>
              <a:t>SAAB</a:t>
            </a:r>
            <a:endParaRPr lang="pt-BR" sz="10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3</xdr:col>
      <xdr:colOff>200025</xdr:colOff>
      <xdr:row>4</xdr:row>
      <xdr:rowOff>24251</xdr:rowOff>
    </xdr:from>
    <xdr:to>
      <xdr:col>9</xdr:col>
      <xdr:colOff>514350</xdr:colOff>
      <xdr:row>5</xdr:row>
      <xdr:rowOff>180975</xdr:rowOff>
    </xdr:to>
    <xdr:sp macro="" textlink="">
      <xdr:nvSpPr>
        <xdr:cNvPr id="12" name="Retângulo: Cantos Superiores Recortados 9">
          <a:extLst>
            <a:ext uri="{FF2B5EF4-FFF2-40B4-BE49-F238E27FC236}">
              <a16:creationId xmlns:a16="http://schemas.microsoft.com/office/drawing/2014/main" id="{4105EF61-56E5-4740-9806-7E4C6BC71DF0}"/>
            </a:ext>
          </a:extLst>
        </xdr:cNvPr>
        <xdr:cNvSpPr>
          <a:spLocks/>
        </xdr:cNvSpPr>
      </xdr:nvSpPr>
      <xdr:spPr bwMode="auto">
        <a:xfrm flipV="1">
          <a:off x="1362075" y="919601"/>
          <a:ext cx="3971925" cy="347224"/>
        </a:xfrm>
        <a:custGeom>
          <a:avLst/>
          <a:gdLst>
            <a:gd name="T0" fmla="*/ 2179 w 5034845"/>
            <a:gd name="T1" fmla="*/ 0 h 1307465"/>
            <a:gd name="T2" fmla="*/ 48169 w 5034845"/>
            <a:gd name="T3" fmla="*/ 0 h 1307465"/>
            <a:gd name="T4" fmla="*/ 50348 w 5034845"/>
            <a:gd name="T5" fmla="*/ 2179 h 1307465"/>
            <a:gd name="T6" fmla="*/ 50348 w 5034845"/>
            <a:gd name="T7" fmla="*/ 13074 h 1307465"/>
            <a:gd name="T8" fmla="*/ 50348 w 5034845"/>
            <a:gd name="T9" fmla="*/ 13074 h 1307465"/>
            <a:gd name="T10" fmla="*/ 0 w 5034845"/>
            <a:gd name="T11" fmla="*/ 13074 h 1307465"/>
            <a:gd name="T12" fmla="*/ 0 w 5034845"/>
            <a:gd name="T13" fmla="*/ 13074 h 1307465"/>
            <a:gd name="T14" fmla="*/ 0 w 5034845"/>
            <a:gd name="T15" fmla="*/ 2179 h 1307465"/>
            <a:gd name="T16" fmla="*/ 2179 w 5034845"/>
            <a:gd name="T17" fmla="*/ 0 h 1307465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5034845"/>
            <a:gd name="T28" fmla="*/ 0 h 1307465"/>
            <a:gd name="T29" fmla="*/ 5034845 w 5034845"/>
            <a:gd name="T30" fmla="*/ 1307465 h 1307465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5034845" h="1307465">
              <a:moveTo>
                <a:pt x="217915" y="0"/>
              </a:moveTo>
              <a:lnTo>
                <a:pt x="4816930" y="0"/>
              </a:lnTo>
              <a:lnTo>
                <a:pt x="5034845" y="217915"/>
              </a:lnTo>
              <a:lnTo>
                <a:pt x="5034845" y="1307465"/>
              </a:lnTo>
              <a:lnTo>
                <a:pt x="0" y="1307465"/>
              </a:lnTo>
              <a:lnTo>
                <a:pt x="0" y="217915"/>
              </a:lnTo>
              <a:lnTo>
                <a:pt x="217915" y="0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txBody>
        <a:bodyPr rot="0" vert="horz" wrap="square" lIns="91440" tIns="45720" rIns="91440" bIns="45720" anchor="ctr" anchorCtr="0" upright="1">
          <a:noAutofit/>
        </a:bodyPr>
        <a:lstStyle/>
        <a:p>
          <a:pPr>
            <a:lnSpc>
              <a:spcPct val="115000"/>
            </a:lnSpc>
            <a:spcBef>
              <a:spcPts val="1200"/>
            </a:spcBef>
            <a:spcAft>
              <a:spcPts val="1200"/>
            </a:spcAft>
            <a:tabLst>
              <a:tab pos="3060700" algn="l"/>
            </a:tabLst>
          </a:pPr>
          <a:r>
            <a:rPr lang="pt-BR" sz="1600" b="1">
              <a:solidFill>
                <a:srgbClr val="262626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Calibri" panose="020F0502020204030204" pitchFamily="34" charset="0"/>
            </a:rPr>
            <a:t> </a:t>
          </a:r>
          <a:endParaRPr lang="pt-BR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pt-BR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</a:p>
      </xdr:txBody>
    </xdr:sp>
    <xdr:clientData/>
  </xdr:twoCellAnchor>
  <xdr:twoCellAnchor>
    <xdr:from>
      <xdr:col>3</xdr:col>
      <xdr:colOff>448270</xdr:colOff>
      <xdr:row>4</xdr:row>
      <xdr:rowOff>57150</xdr:rowOff>
    </xdr:from>
    <xdr:to>
      <xdr:col>9</xdr:col>
      <xdr:colOff>409575</xdr:colOff>
      <xdr:row>5</xdr:row>
      <xdr:rowOff>133349</xdr:rowOff>
    </xdr:to>
    <xdr:sp macro="" textlink="">
      <xdr:nvSpPr>
        <xdr:cNvPr id="13" name="Retângulo: Cantos Superiores Recortados 9">
          <a:extLst>
            <a:ext uri="{FF2B5EF4-FFF2-40B4-BE49-F238E27FC236}">
              <a16:creationId xmlns:a16="http://schemas.microsoft.com/office/drawing/2014/main" id="{38D67B19-F4CA-47F9-9687-C8338029CDF2}"/>
            </a:ext>
          </a:extLst>
        </xdr:cNvPr>
        <xdr:cNvSpPr>
          <a:spLocks/>
        </xdr:cNvSpPr>
      </xdr:nvSpPr>
      <xdr:spPr bwMode="auto">
        <a:xfrm>
          <a:off x="1610320" y="952500"/>
          <a:ext cx="3618905" cy="266699"/>
        </a:xfrm>
        <a:custGeom>
          <a:avLst/>
          <a:gdLst>
            <a:gd name="T0" fmla="*/ 3033 w 4538134"/>
            <a:gd name="T1" fmla="*/ 0 h 1819910"/>
            <a:gd name="T2" fmla="*/ 42349 w 4538134"/>
            <a:gd name="T3" fmla="*/ 0 h 1819910"/>
            <a:gd name="T4" fmla="*/ 45382 w 4538134"/>
            <a:gd name="T5" fmla="*/ 3033 h 1819910"/>
            <a:gd name="T6" fmla="*/ 45382 w 4538134"/>
            <a:gd name="T7" fmla="*/ 18198 h 1819910"/>
            <a:gd name="T8" fmla="*/ 45382 w 4538134"/>
            <a:gd name="T9" fmla="*/ 18198 h 1819910"/>
            <a:gd name="T10" fmla="*/ 0 w 4538134"/>
            <a:gd name="T11" fmla="*/ 18198 h 1819910"/>
            <a:gd name="T12" fmla="*/ 0 w 4538134"/>
            <a:gd name="T13" fmla="*/ 18198 h 1819910"/>
            <a:gd name="T14" fmla="*/ 0 w 4538134"/>
            <a:gd name="T15" fmla="*/ 3033 h 1819910"/>
            <a:gd name="T16" fmla="*/ 3033 w 4538134"/>
            <a:gd name="T17" fmla="*/ 0 h 1819910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4538134"/>
            <a:gd name="T28" fmla="*/ 0 h 1819910"/>
            <a:gd name="T29" fmla="*/ 4538134 w 4538134"/>
            <a:gd name="T30" fmla="*/ 1819910 h 1819910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4538134" h="1819910">
              <a:moveTo>
                <a:pt x="303324" y="0"/>
              </a:moveTo>
              <a:lnTo>
                <a:pt x="4234810" y="0"/>
              </a:lnTo>
              <a:lnTo>
                <a:pt x="4538134" y="303324"/>
              </a:lnTo>
              <a:lnTo>
                <a:pt x="4538134" y="1819910"/>
              </a:lnTo>
              <a:lnTo>
                <a:pt x="0" y="1819910"/>
              </a:lnTo>
              <a:lnTo>
                <a:pt x="0" y="303324"/>
              </a:lnTo>
              <a:lnTo>
                <a:pt x="303324" y="0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txBody>
        <a:bodyPr rot="0" vert="horz" wrap="square" lIns="91440" tIns="45720" rIns="91440" bIns="45720" anchor="ctr" anchorCtr="0" upright="1">
          <a:noAutofit/>
        </a:bodyPr>
        <a:lstStyle/>
        <a:p>
          <a:pPr>
            <a:lnSpc>
              <a:spcPct val="107000"/>
            </a:lnSpc>
            <a:spcBef>
              <a:spcPts val="1200"/>
            </a:spcBef>
            <a:spcAft>
              <a:spcPts val="1200"/>
            </a:spcAft>
            <a:tabLst>
              <a:tab pos="3060700" algn="l"/>
            </a:tabLst>
          </a:pPr>
          <a:r>
            <a:rPr lang="pt-BR" sz="1400" b="1">
              <a:solidFill>
                <a:srgbClr val="262626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Calibri" panose="020F0502020204030204" pitchFamily="34" charset="0"/>
            </a:rPr>
            <a:t>ESTUDO TÉCNICO DE COMPOSIÇÃO DE CUSTO </a:t>
          </a:r>
          <a:endParaRPr lang="pt-BR" sz="105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4</xdr:col>
      <xdr:colOff>190500</xdr:colOff>
      <xdr:row>33</xdr:row>
      <xdr:rowOff>0</xdr:rowOff>
    </xdr:from>
    <xdr:to>
      <xdr:col>6</xdr:col>
      <xdr:colOff>207410</xdr:colOff>
      <xdr:row>37</xdr:row>
      <xdr:rowOff>104775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FE177EAB-ACC6-4B5C-95F7-FC15E461D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150" y="7753350"/>
          <a:ext cx="1236110" cy="8763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133350</xdr:colOff>
      <xdr:row>13</xdr:row>
      <xdr:rowOff>161924</xdr:rowOff>
    </xdr:from>
    <xdr:to>
      <xdr:col>9</xdr:col>
      <xdr:colOff>695324</xdr:colOff>
      <xdr:row>33</xdr:row>
      <xdr:rowOff>0</xdr:rowOff>
    </xdr:to>
    <xdr:sp macro="" textlink="">
      <xdr:nvSpPr>
        <xdr:cNvPr id="15" name="CaixaDeTexto 14">
          <a:extLst>
            <a:ext uri="{FF2B5EF4-FFF2-40B4-BE49-F238E27FC236}">
              <a16:creationId xmlns:a16="http://schemas.microsoft.com/office/drawing/2014/main" id="{BA7AD03E-706B-4E54-A03C-4E18027D4BB0}"/>
            </a:ext>
          </a:extLst>
        </xdr:cNvPr>
        <xdr:cNvSpPr txBox="1"/>
      </xdr:nvSpPr>
      <xdr:spPr>
        <a:xfrm>
          <a:off x="266700" y="2819399"/>
          <a:ext cx="5248274" cy="60483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pt-BR" sz="1100" b="1">
              <a:solidFill>
                <a:schemeClr val="dk1"/>
              </a:solidFill>
              <a:latin typeface="+mn-lt"/>
              <a:ea typeface="+mn-ea"/>
              <a:cs typeface="+mn-cs"/>
            </a:rPr>
            <a:t>Instruções e</a:t>
          </a:r>
          <a:r>
            <a:rPr lang="pt-B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observações para o preenchimento da planilha:</a:t>
          </a:r>
          <a:endParaRPr lang="pt-BR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1. Preencher somente as células da planilha (Indicadores Financeiros) destacadas em VERDE.</a:t>
          </a:r>
          <a:endParaRPr lang="pt-BR" sz="900"/>
        </a:p>
        <a:p>
          <a:pPr eaLnBrk="1" fontAlgn="auto" latinLnBrk="0" hangingPunct="1"/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2. Os campos referentes ao ISSQN – Imposto Sobre Serviços de Qualquer Natureza são editáveis e deverão ser preenchidos/confirmados sob responsabilidade da licitante validar e verificar a alíquota vigente em cada localidade.</a:t>
          </a:r>
          <a:endParaRPr lang="pt-BR" sz="900"/>
        </a:p>
        <a:p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3. </a:t>
          </a:r>
          <a:r>
            <a:rPr lang="pt-B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As planilhas Relatório Custo, Custo Resumido, Custo Resumido por Local, Custo por Função e Tabela de Códigos e Valores são calculadas automaticamente e não deverão ser alteradas. </a:t>
          </a:r>
          <a:endParaRPr lang="pt-BR" sz="900"/>
        </a:p>
        <a:p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4.  Os percentuais de encargos sociais e trabalhistas, de contingenciamento e dos parâmetros de cálculo são fixos e não devem ser alterados.</a:t>
          </a:r>
          <a:endParaRPr lang="pt-BR" sz="900"/>
        </a:p>
        <a:p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5. Os valores deverão ser apresentados com duas casas decimais e arredondamento matemático no segundo dígito.</a:t>
          </a:r>
          <a:endParaRPr lang="pt-BR" sz="900"/>
        </a:p>
        <a:p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6. O percentual de BDI é calculado igualmente para todos os postos/serviços e de acordo com o ISS de cada município.</a:t>
          </a:r>
          <a:endParaRPr lang="pt-BR" sz="900"/>
        </a:p>
        <a:p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7. </a:t>
          </a:r>
          <a:r>
            <a:rPr lang="pt-BR"/>
            <a:t>Os valores de salário base e benefícios deverão estar de acordo com o normativo em vigor e com as cláusulas editalícias.</a:t>
          </a:r>
          <a:endParaRPr lang="pt-BR" sz="900"/>
        </a:p>
        <a:p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8. O valor do vale-transporte adotado no orçamento estimativo da contratação foi de R$ 5,49  (ida e volta R$ 10,98). Contudo, o valor do vale-transporte constante no estudo técnico de composição de custos foi utilizado apenas para estimativa do preço referencial. Deste modo, o lançamento dos valores dos vales-transportes é de responsabilidade da licitante, que deverá informar o valor de cada localidade, observada a realidade operacional da empresa e dos funcionários. </a:t>
          </a:r>
          <a:endParaRPr lang="pt-BR" sz="900"/>
        </a:p>
        <a:p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9. Conforme o § 2º do Art.59 da Lei 14.133/202, caso a Comissão de Contratação entenda que seja necessário, é facultada a solicitação de qualquer esclarecimento, justificativa, comprovação ou complementação de informação, inclusive em relação a qualquer informação apresentada na planilha de composição de custos.</a:t>
          </a:r>
          <a:endParaRPr lang="pt-BR" sz="900"/>
        </a:p>
        <a:p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10. A licitante poderá inserir valores da despesa no campo outros (itens 10 e 11)</a:t>
          </a:r>
          <a:r>
            <a:rPr lang="pt-B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da tabela de benefícios da CCT, desde que sejam especificados.</a:t>
          </a:r>
          <a:endParaRPr lang="pt-BR" sz="900"/>
        </a:p>
        <a:p>
          <a:endParaRPr lang="pt-BR" sz="900">
            <a:effectLst/>
          </a:endParaRPr>
        </a:p>
        <a:p>
          <a:endParaRPr lang="pt-BR" sz="900">
            <a:latin typeface="+mn-lt"/>
          </a:endParaRPr>
        </a:p>
      </xdr:txBody>
    </xdr:sp>
    <xdr:clientData/>
  </xdr:twoCellAnchor>
  <xdr:twoCellAnchor>
    <xdr:from>
      <xdr:col>7</xdr:col>
      <xdr:colOff>457201</xdr:colOff>
      <xdr:row>6</xdr:row>
      <xdr:rowOff>180975</xdr:rowOff>
    </xdr:from>
    <xdr:to>
      <xdr:col>9</xdr:col>
      <xdr:colOff>342901</xdr:colOff>
      <xdr:row>9</xdr:row>
      <xdr:rowOff>80712</xdr:rowOff>
    </xdr:to>
    <xdr:sp macro="" textlink="">
      <xdr:nvSpPr>
        <xdr:cNvPr id="16" name="Retângulo: Cantos Arredondados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7DD0AED-16B7-47E4-8AC1-8D202C7F30AC}"/>
            </a:ext>
          </a:extLst>
        </xdr:cNvPr>
        <xdr:cNvSpPr/>
      </xdr:nvSpPr>
      <xdr:spPr>
        <a:xfrm>
          <a:off x="4057651" y="1504950"/>
          <a:ext cx="1104900" cy="471237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Tabela de códigos e valores</a:t>
          </a:r>
          <a:endParaRPr lang="pt-BR" sz="600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0</xdr:row>
      <xdr:rowOff>57151</xdr:rowOff>
    </xdr:from>
    <xdr:to>
      <xdr:col>0</xdr:col>
      <xdr:colOff>717568</xdr:colOff>
      <xdr:row>0</xdr:row>
      <xdr:rowOff>266701</xdr:rowOff>
    </xdr:to>
    <xdr:pic>
      <xdr:nvPicPr>
        <xdr:cNvPr id="2" name="Imagem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813F19-C082-46F7-8D81-4B35741A43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77" t="16880" r="7692" b="7811"/>
        <a:stretch/>
      </xdr:blipFill>
      <xdr:spPr>
        <a:xfrm>
          <a:off x="66676" y="57151"/>
          <a:ext cx="650892" cy="209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115470</xdr:colOff>
      <xdr:row>1</xdr:row>
      <xdr:rowOff>0</xdr:rowOff>
    </xdr:to>
    <xdr:pic>
      <xdr:nvPicPr>
        <xdr:cNvPr id="3" name="Imagem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CFD923-DA87-4280-8C4C-7B9FB77DE8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77" t="16880" r="7692" b="7811"/>
        <a:stretch/>
      </xdr:blipFill>
      <xdr:spPr>
        <a:xfrm>
          <a:off x="0" y="0"/>
          <a:ext cx="591720" cy="190500"/>
        </a:xfrm>
        <a:prstGeom prst="rect">
          <a:avLst/>
        </a:prstGeom>
      </xdr:spPr>
    </xdr:pic>
    <xdr:clientData/>
  </xdr:twoCellAnchor>
  <xdr:twoCellAnchor>
    <xdr:from>
      <xdr:col>0</xdr:col>
      <xdr:colOff>95250</xdr:colOff>
      <xdr:row>135</xdr:row>
      <xdr:rowOff>57149</xdr:rowOff>
    </xdr:from>
    <xdr:to>
      <xdr:col>9</xdr:col>
      <xdr:colOff>914399</xdr:colOff>
      <xdr:row>145</xdr:row>
      <xdr:rowOff>838200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EB359C68-5AAE-460B-B0C8-C4C166C6AC29}"/>
            </a:ext>
            <a:ext uri="{147F2762-F138-4A5C-976F-8EAC2B608ADB}">
              <a16:predDERef xmlns:a16="http://schemas.microsoft.com/office/drawing/2014/main" pred="{49CFD923-DA87-4280-8C4C-7B9FB77DE8F7}"/>
            </a:ext>
          </a:extLst>
        </xdr:cNvPr>
        <xdr:cNvSpPr txBox="1"/>
      </xdr:nvSpPr>
      <xdr:spPr>
        <a:xfrm>
          <a:off x="95250" y="35318699"/>
          <a:ext cx="8115299" cy="26860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pt-BR" sz="1000" b="1">
              <a:latin typeface="+mn-lt"/>
            </a:rPr>
            <a:t>Fontes de Referências - Funções de Limpeza: </a:t>
          </a:r>
        </a:p>
        <a:p>
          <a:pPr marL="0" indent="0"/>
          <a:r>
            <a:rPr lang="pt-BR" sz="1000">
              <a:solidFill>
                <a:schemeClr val="dk1"/>
              </a:solidFill>
              <a:latin typeface="+mn-lt"/>
              <a:ea typeface="+mn-ea"/>
              <a:cs typeface="+mn-cs"/>
            </a:rPr>
            <a:t>1. Prestação de Serviços de Limpeza, Asseio e Conservação Predial CADTERC - Volume 3 -  Versão 01 - Março/ 2024 - Data Base Janeiro 2024 - disponibilizado no Portal</a:t>
          </a:r>
          <a:r>
            <a:rPr lang="pt-BR" sz="1000" baseline="0">
              <a:solidFill>
                <a:schemeClr val="dk1"/>
              </a:solidFill>
              <a:latin typeface="+mn-lt"/>
              <a:ea typeface="+mn-ea"/>
              <a:cs typeface="+mn-cs"/>
            </a:rPr>
            <a:t> de Compras. </a:t>
          </a:r>
          <a:endParaRPr lang="pt-BR" sz="10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/>
          <a:r>
            <a:rPr lang="pt-BR" sz="1000">
              <a:solidFill>
                <a:schemeClr val="dk1"/>
              </a:solidFill>
              <a:latin typeface="+mn-lt"/>
              <a:ea typeface="+mn-ea"/>
              <a:cs typeface="+mn-cs"/>
            </a:rPr>
            <a:t>2. Prestação de Serviços de Limpeza Hospitalar CADTERC - Volume 7 - Versão 01 - Março/ 2024 - Data Base Janeiro 2024 - disponibilizado no Portal de Compras. </a:t>
          </a:r>
        </a:p>
        <a:p>
          <a:pPr marL="0" indent="0" eaLnBrk="1" fontAlgn="auto" latinLnBrk="0" hangingPunct="1"/>
          <a:r>
            <a:rPr lang="pt-BR" sz="1000">
              <a:solidFill>
                <a:schemeClr val="dk1"/>
              </a:solidFill>
              <a:latin typeface="+mn-lt"/>
              <a:ea typeface="+mn-ea"/>
              <a:cs typeface="+mn-cs"/>
            </a:rPr>
            <a:t>3. Termo</a:t>
          </a:r>
          <a:r>
            <a:rPr lang="pt-BR" sz="1000" baseline="0">
              <a:solidFill>
                <a:schemeClr val="dk1"/>
              </a:solidFill>
              <a:latin typeface="+mn-lt"/>
              <a:ea typeface="+mn-ea"/>
              <a:cs typeface="+mn-cs"/>
            </a:rPr>
            <a:t> Aditivo a Convenção Coletiva de Trabalho </a:t>
          </a:r>
          <a:r>
            <a:rPr lang="pt-BR" sz="1000">
              <a:solidFill>
                <a:schemeClr val="dk1"/>
              </a:solidFill>
              <a:latin typeface="+mn-lt"/>
              <a:ea typeface="+mn-ea"/>
              <a:cs typeface="+mn-cs"/>
            </a:rPr>
            <a:t>entre o Sindicato das Empresas de Asseio e Conservação no Estado de São Paulo – SEAC/SP e o Sindicato dos Trabalhadores em Empresas de Prestação de Serviços de Asseio, Conservação e Limpeza Urbana de São Paulo</a:t>
          </a:r>
          <a:r>
            <a:rPr lang="pt-BR" sz="1000" baseline="0">
              <a:solidFill>
                <a:schemeClr val="dk1"/>
              </a:solidFill>
              <a:latin typeface="+mn-lt"/>
              <a:ea typeface="+mn-ea"/>
              <a:cs typeface="+mn-cs"/>
            </a:rPr>
            <a:t>,  com </a:t>
          </a:r>
          <a:r>
            <a:rPr lang="pt-BR" sz="1000"/>
            <a:t>a vigência de 01º de janeiro de 2025 a 31 de dezembro de 2025 e a data-base da categoria em 01º de janeiro</a:t>
          </a:r>
          <a:r>
            <a:rPr lang="pt-BR" sz="1000" baseline="0"/>
            <a:t> (</a:t>
          </a:r>
          <a:r>
            <a:rPr lang="pt-BR" sz="1000"/>
            <a:t>MR002821/2025). </a:t>
          </a:r>
          <a:endParaRPr lang="pt-BR" sz="10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pt-BR" sz="1000">
            <a:latin typeface="+mn-lt"/>
          </a:endParaRPr>
        </a:p>
        <a:p>
          <a:r>
            <a:rPr lang="pt-BR" sz="1000" b="1">
              <a:solidFill>
                <a:schemeClr val="dk1"/>
              </a:solidFill>
              <a:latin typeface="+mn-lt"/>
              <a:ea typeface="+mn-ea"/>
              <a:cs typeface="+mn-cs"/>
            </a:rPr>
            <a:t>Fontes de Referências - Funções de Jardinagem: </a:t>
          </a:r>
          <a:endParaRPr lang="pt-BR" sz="1000">
            <a:latin typeface="+mn-lt"/>
          </a:endParaRPr>
        </a:p>
        <a:p>
          <a:pPr marL="0" indent="0"/>
          <a:r>
            <a:rPr lang="pt-BR" sz="1000">
              <a:solidFill>
                <a:schemeClr val="dk1"/>
              </a:solidFill>
              <a:latin typeface="+mn-lt"/>
              <a:ea typeface="+mn-ea"/>
              <a:cs typeface="+mn-cs"/>
            </a:rPr>
            <a:t>1. Prestação de Serviços de Manutenção e Conservação de Jardins CADTERC - Volume 18 -  Data-base Janeiro/2024 - versão 01</a:t>
          </a:r>
          <a:r>
            <a:rPr lang="pt-BR" sz="1000" baseline="0">
              <a:solidFill>
                <a:schemeClr val="dk1"/>
              </a:solidFill>
              <a:latin typeface="+mn-lt"/>
              <a:ea typeface="+mn-ea"/>
              <a:cs typeface="+mn-cs"/>
            </a:rPr>
            <a:t> -</a:t>
          </a:r>
          <a:r>
            <a:rPr lang="pt-BR" sz="1000">
              <a:solidFill>
                <a:schemeClr val="dk1"/>
              </a:solidFill>
              <a:latin typeface="+mn-lt"/>
              <a:ea typeface="+mn-ea"/>
              <a:cs typeface="+mn-cs"/>
            </a:rPr>
            <a:t> Março/ 2024 - disponibilizado no</a:t>
          </a:r>
          <a:r>
            <a:rPr lang="pt-BR" sz="1000" baseline="0">
              <a:solidFill>
                <a:schemeClr val="dk1"/>
              </a:solidFill>
              <a:latin typeface="+mn-lt"/>
              <a:ea typeface="+mn-ea"/>
              <a:cs typeface="+mn-cs"/>
            </a:rPr>
            <a:t> Portal de Compras. </a:t>
          </a:r>
          <a:endParaRPr lang="pt-BR" sz="10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/>
          <a:r>
            <a:rPr lang="pt-BR" sz="1000">
              <a:solidFill>
                <a:schemeClr val="dk1"/>
              </a:solidFill>
              <a:latin typeface="+mn-lt"/>
              <a:ea typeface="+mn-ea"/>
              <a:cs typeface="+mn-cs"/>
            </a:rPr>
            <a:t>2. Convenção Coletiva de Trabalho </a:t>
          </a:r>
          <a:r>
            <a:rPr lang="pt-BR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SP005233/2023</a:t>
          </a:r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t-BR" sz="1000">
              <a:solidFill>
                <a:schemeClr val="dk1"/>
              </a:solidFill>
              <a:latin typeface="+mn-lt"/>
              <a:ea typeface="+mn-ea"/>
              <a:cs typeface="+mn-cs"/>
            </a:rPr>
            <a:t> entre o SIEMACO - SP - Sindicato dos Trabalhadores das Empresas Prestadoras de Serviços de Asseio e Conservação e Limpeza Urbana de SP e o SINDVERDE - SP - Sindicato das Empresas de Manutenção e Execução de Áreas, com vigência em 01º de março de 2023 a 28 de fevereiro de 2025 e a data-base da categoria em 01º de março.</a:t>
          </a:r>
        </a:p>
        <a:p>
          <a:pPr marL="0" indent="0"/>
          <a:r>
            <a:rPr lang="pt-BR" sz="1000">
              <a:solidFill>
                <a:schemeClr val="dk1"/>
              </a:solidFill>
              <a:latin typeface="+mn-lt"/>
              <a:ea typeface="+mn-ea"/>
              <a:cs typeface="+mn-cs"/>
            </a:rPr>
            <a:t>3. Comunicado Conjunto Siemaco x Sindverde de 02 de Abril de 2025.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179918</xdr:colOff>
      <xdr:row>0</xdr:row>
      <xdr:rowOff>63501</xdr:rowOff>
    </xdr:from>
    <xdr:to>
      <xdr:col>2</xdr:col>
      <xdr:colOff>91066</xdr:colOff>
      <xdr:row>1</xdr:row>
      <xdr:rowOff>91017</xdr:rowOff>
    </xdr:to>
    <xdr:pic>
      <xdr:nvPicPr>
        <xdr:cNvPr id="2" name="Imagem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DB173E-896E-45A7-9C3E-23EB0BDC12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77" t="16880" r="7692" b="7811"/>
        <a:stretch/>
      </xdr:blipFill>
      <xdr:spPr>
        <a:xfrm>
          <a:off x="444501" y="63501"/>
          <a:ext cx="558848" cy="17991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0</xdr:row>
      <xdr:rowOff>47625</xdr:rowOff>
    </xdr:from>
    <xdr:to>
      <xdr:col>1</xdr:col>
      <xdr:colOff>152401</xdr:colOff>
      <xdr:row>0</xdr:row>
      <xdr:rowOff>225482</xdr:rowOff>
    </xdr:to>
    <xdr:pic>
      <xdr:nvPicPr>
        <xdr:cNvPr id="2" name="Imagem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3732D5-73F0-4641-8CA8-E37F905A5A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77" t="16880" r="7692" b="7811"/>
        <a:stretch/>
      </xdr:blipFill>
      <xdr:spPr>
        <a:xfrm>
          <a:off x="66676" y="47625"/>
          <a:ext cx="552450" cy="17785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9526</xdr:rowOff>
    </xdr:from>
    <xdr:to>
      <xdr:col>1</xdr:col>
      <xdr:colOff>95250</xdr:colOff>
      <xdr:row>3</xdr:row>
      <xdr:rowOff>3125</xdr:rowOff>
    </xdr:to>
    <xdr:pic>
      <xdr:nvPicPr>
        <xdr:cNvPr id="2" name="Imagem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AB4E3A-146A-4E49-BBB2-99BCCABF17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77" t="16880" r="7692" b="7811"/>
        <a:stretch/>
      </xdr:blipFill>
      <xdr:spPr>
        <a:xfrm>
          <a:off x="0" y="266701"/>
          <a:ext cx="561975" cy="18092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28576</xdr:rowOff>
    </xdr:from>
    <xdr:to>
      <xdr:col>0</xdr:col>
      <xdr:colOff>523875</xdr:colOff>
      <xdr:row>1</xdr:row>
      <xdr:rowOff>6734</xdr:rowOff>
    </xdr:to>
    <xdr:pic>
      <xdr:nvPicPr>
        <xdr:cNvPr id="2" name="Imagem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40173D-10FB-4E40-9021-8BFB2A3C88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77" t="16880" r="7692" b="7811"/>
        <a:stretch/>
      </xdr:blipFill>
      <xdr:spPr>
        <a:xfrm>
          <a:off x="0" y="28576"/>
          <a:ext cx="523875" cy="16865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95251</xdr:colOff>
      <xdr:row>2</xdr:row>
      <xdr:rowOff>47626</xdr:rowOff>
    </xdr:from>
    <xdr:to>
      <xdr:col>0</xdr:col>
      <xdr:colOff>627799</xdr:colOff>
      <xdr:row>3</xdr:row>
      <xdr:rowOff>38101</xdr:rowOff>
    </xdr:to>
    <xdr:pic>
      <xdr:nvPicPr>
        <xdr:cNvPr id="2" name="Imagem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371606-43D6-4EA4-8654-C837DBDD2E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77" t="16880" r="7692" b="7811"/>
        <a:stretch/>
      </xdr:blipFill>
      <xdr:spPr>
        <a:xfrm>
          <a:off x="95251" y="295276"/>
          <a:ext cx="532548" cy="1714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ela1" displayName="Tabela1" ref="A1:H779" totalsRowShown="0" headerRowBorderDxfId="13">
  <autoFilter ref="A1:H779" xr:uid="{00000000-0009-0000-0100-000002000000}"/>
  <tableColumns count="8">
    <tableColumn id="1" xr3:uid="{00000000-0010-0000-0100-000001000000}" name="Código Imóvel" dataDxfId="12"/>
    <tableColumn id="2" xr3:uid="{00000000-0010-0000-0100-000002000000}" name="Código SGI" dataDxfId="11"/>
    <tableColumn id="3" xr3:uid="{00000000-0010-0000-0100-000003000000}" name="RAJ"/>
    <tableColumn id="4" xr3:uid="{00000000-0010-0000-0100-000004000000}" name="CJ"/>
    <tableColumn id="5" xr3:uid="{00000000-0010-0000-0100-000005000000}" name="Comarca"/>
    <tableColumn id="6" xr3:uid="{00000000-0010-0000-0100-000006000000}" name="Denominação do imóvel"/>
    <tableColumn id="7" xr3:uid="{00000000-0010-0000-0100-000007000000}" name="Característica do imóvel / espaço"/>
    <tableColumn id="8" xr3:uid="{00000000-0010-0000-0100-000008000000}" name="Uso principal do local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B1:N37"/>
  <sheetViews>
    <sheetView showGridLines="0" zoomScaleNormal="100" zoomScaleSheetLayoutView="100" workbookViewId="0">
      <selection activeCell="P21" sqref="P21"/>
    </sheetView>
  </sheetViews>
  <sheetFormatPr defaultRowHeight="15" x14ac:dyDescent="0.25"/>
  <cols>
    <col min="1" max="1" width="2" customWidth="1"/>
    <col min="2" max="2" width="3.140625" customWidth="1"/>
    <col min="3" max="3" width="12.28515625" customWidth="1"/>
    <col min="10" max="10" width="12.140625" customWidth="1"/>
    <col min="11" max="11" width="3.42578125" customWidth="1"/>
    <col min="12" max="13" width="9.140625" customWidth="1"/>
    <col min="14" max="14" width="16.42578125" customWidth="1"/>
    <col min="15" max="15" width="3" customWidth="1"/>
  </cols>
  <sheetData>
    <row r="1" spans="2:10" ht="9" customHeight="1" thickBot="1" x14ac:dyDescent="0.3"/>
    <row r="2" spans="2:10" x14ac:dyDescent="0.25">
      <c r="B2" s="272"/>
      <c r="C2" s="273"/>
      <c r="D2" s="273"/>
      <c r="E2" s="273"/>
      <c r="F2" s="273"/>
      <c r="G2" s="273"/>
      <c r="H2" s="273"/>
      <c r="I2" s="273"/>
      <c r="J2" s="274"/>
    </row>
    <row r="3" spans="2:10" ht="23.25" x14ac:dyDescent="0.25">
      <c r="B3" s="275"/>
      <c r="F3" s="276"/>
      <c r="J3" s="277"/>
    </row>
    <row r="4" spans="2:10" ht="23.25" x14ac:dyDescent="0.25">
      <c r="B4" s="275"/>
      <c r="F4" s="278"/>
      <c r="J4" s="277"/>
    </row>
    <row r="5" spans="2:10" x14ac:dyDescent="0.25">
      <c r="B5" s="275"/>
      <c r="J5" s="277"/>
    </row>
    <row r="6" spans="2:10" ht="18.75" x14ac:dyDescent="0.3">
      <c r="B6" s="275"/>
      <c r="D6" s="279"/>
      <c r="J6" s="277"/>
    </row>
    <row r="7" spans="2:10" x14ac:dyDescent="0.25">
      <c r="B7" s="275"/>
      <c r="J7" s="277"/>
    </row>
    <row r="8" spans="2:10" x14ac:dyDescent="0.25">
      <c r="B8" s="275"/>
      <c r="J8" s="277"/>
    </row>
    <row r="9" spans="2:10" x14ac:dyDescent="0.25">
      <c r="B9" s="275"/>
      <c r="J9" s="277"/>
    </row>
    <row r="10" spans="2:10" x14ac:dyDescent="0.25">
      <c r="B10" s="275"/>
      <c r="J10" s="277"/>
    </row>
    <row r="11" spans="2:10" x14ac:dyDescent="0.25">
      <c r="B11" s="275"/>
      <c r="J11" s="277"/>
    </row>
    <row r="12" spans="2:10" x14ac:dyDescent="0.25">
      <c r="B12" s="275"/>
      <c r="J12" s="277"/>
    </row>
    <row r="13" spans="2:10" x14ac:dyDescent="0.25">
      <c r="B13" s="275"/>
      <c r="J13" s="277"/>
    </row>
    <row r="14" spans="2:10" x14ac:dyDescent="0.25">
      <c r="B14" s="275"/>
      <c r="J14" s="277"/>
    </row>
    <row r="15" spans="2:10" x14ac:dyDescent="0.25">
      <c r="B15" s="275"/>
      <c r="J15" s="277"/>
    </row>
    <row r="16" spans="2:10" x14ac:dyDescent="0.25">
      <c r="B16" s="275"/>
      <c r="J16" s="277"/>
    </row>
    <row r="17" spans="2:14" x14ac:dyDescent="0.25">
      <c r="B17" s="275"/>
      <c r="C17" s="280"/>
      <c r="J17" s="277"/>
    </row>
    <row r="18" spans="2:14" x14ac:dyDescent="0.25">
      <c r="B18" s="275"/>
      <c r="C18" s="281"/>
      <c r="D18" s="281"/>
      <c r="E18" s="281"/>
      <c r="F18" s="281"/>
      <c r="G18" s="281"/>
      <c r="H18" s="281"/>
      <c r="I18" s="281"/>
      <c r="J18" s="282"/>
      <c r="K18" s="281"/>
      <c r="L18" s="281"/>
      <c r="M18" s="281"/>
      <c r="N18" s="281"/>
    </row>
    <row r="19" spans="2:14" x14ac:dyDescent="0.25">
      <c r="B19" s="275"/>
      <c r="C19" s="283"/>
      <c r="D19" s="283"/>
      <c r="E19" s="283"/>
      <c r="F19" s="283"/>
      <c r="G19" s="283"/>
      <c r="H19" s="283"/>
      <c r="I19" s="283"/>
      <c r="J19" s="284"/>
      <c r="K19" s="283"/>
      <c r="L19" s="283"/>
      <c r="M19" s="283"/>
      <c r="N19" s="283"/>
    </row>
    <row r="20" spans="2:14" ht="34.5" customHeight="1" x14ac:dyDescent="0.25">
      <c r="B20" s="275"/>
      <c r="C20" s="285"/>
      <c r="D20" s="285"/>
      <c r="E20" s="285"/>
      <c r="F20" s="285"/>
      <c r="G20" s="285"/>
      <c r="H20" s="285"/>
      <c r="I20" s="285"/>
      <c r="J20" s="286"/>
      <c r="K20" s="285"/>
      <c r="L20" s="285"/>
      <c r="M20" s="285"/>
      <c r="N20" s="285"/>
    </row>
    <row r="21" spans="2:14" ht="34.5" customHeight="1" x14ac:dyDescent="0.25">
      <c r="B21" s="275"/>
      <c r="C21" s="285"/>
      <c r="D21" s="285"/>
      <c r="E21" s="285"/>
      <c r="F21" s="285"/>
      <c r="G21" s="285"/>
      <c r="H21" s="285"/>
      <c r="I21" s="285"/>
      <c r="J21" s="286"/>
      <c r="K21" s="285"/>
      <c r="L21" s="285"/>
      <c r="M21" s="285"/>
      <c r="N21" s="285"/>
    </row>
    <row r="22" spans="2:14" ht="34.5" customHeight="1" x14ac:dyDescent="0.25">
      <c r="B22" s="275"/>
      <c r="C22" s="285"/>
      <c r="D22" s="285"/>
      <c r="E22" s="285"/>
      <c r="F22" s="285"/>
      <c r="G22" s="285"/>
      <c r="H22" s="285"/>
      <c r="I22" s="285"/>
      <c r="J22" s="286"/>
      <c r="K22" s="285"/>
      <c r="L22" s="285"/>
      <c r="M22" s="285"/>
      <c r="N22" s="285"/>
    </row>
    <row r="23" spans="2:14" ht="34.5" customHeight="1" x14ac:dyDescent="0.25">
      <c r="B23" s="275"/>
      <c r="C23" s="285"/>
      <c r="D23" s="285"/>
      <c r="E23" s="285"/>
      <c r="F23" s="285"/>
      <c r="G23" s="285"/>
      <c r="H23" s="285"/>
      <c r="I23" s="285"/>
      <c r="J23" s="286"/>
      <c r="K23" s="285"/>
      <c r="L23" s="285"/>
      <c r="M23" s="285"/>
      <c r="N23" s="285"/>
    </row>
    <row r="24" spans="2:14" ht="34.5" customHeight="1" x14ac:dyDescent="0.25">
      <c r="B24" s="275"/>
      <c r="C24" s="285"/>
      <c r="D24" s="285"/>
      <c r="E24" s="285"/>
      <c r="F24" s="285"/>
      <c r="G24" s="285"/>
      <c r="H24" s="285"/>
      <c r="I24" s="285"/>
      <c r="J24" s="286"/>
      <c r="K24" s="285"/>
      <c r="L24" s="285"/>
      <c r="M24" s="285"/>
      <c r="N24" s="285"/>
    </row>
    <row r="25" spans="2:14" ht="34.5" customHeight="1" x14ac:dyDescent="0.25">
      <c r="B25" s="275"/>
      <c r="C25" s="285"/>
      <c r="D25" s="285"/>
      <c r="E25" s="285"/>
      <c r="F25" s="285"/>
      <c r="G25" s="285"/>
      <c r="H25" s="285"/>
      <c r="I25" s="285"/>
      <c r="J25" s="286"/>
      <c r="K25" s="285"/>
      <c r="L25" s="285"/>
      <c r="M25" s="285"/>
      <c r="N25" s="285"/>
    </row>
    <row r="26" spans="2:14" ht="34.5" customHeight="1" x14ac:dyDescent="0.25">
      <c r="B26" s="275"/>
      <c r="J26" s="277"/>
    </row>
    <row r="27" spans="2:14" ht="34.5" customHeight="1" x14ac:dyDescent="0.25">
      <c r="B27" s="275"/>
      <c r="J27" s="277"/>
    </row>
    <row r="28" spans="2:14" x14ac:dyDescent="0.25">
      <c r="B28" s="275"/>
      <c r="J28" s="277"/>
    </row>
    <row r="29" spans="2:14" x14ac:dyDescent="0.25">
      <c r="B29" s="275"/>
      <c r="J29" s="277"/>
    </row>
    <row r="30" spans="2:14" x14ac:dyDescent="0.25">
      <c r="B30" s="275"/>
      <c r="J30" s="277"/>
    </row>
    <row r="31" spans="2:14" x14ac:dyDescent="0.25">
      <c r="B31" s="275"/>
      <c r="J31" s="277"/>
    </row>
    <row r="32" spans="2:14" x14ac:dyDescent="0.25">
      <c r="B32" s="275"/>
      <c r="J32" s="277"/>
    </row>
    <row r="33" spans="2:10" x14ac:dyDescent="0.25">
      <c r="B33" s="275"/>
      <c r="J33" s="277"/>
    </row>
    <row r="34" spans="2:10" x14ac:dyDescent="0.25">
      <c r="B34" s="275"/>
      <c r="J34" s="277"/>
    </row>
    <row r="35" spans="2:10" x14ac:dyDescent="0.25">
      <c r="B35" s="275"/>
      <c r="J35" s="277"/>
    </row>
    <row r="36" spans="2:10" x14ac:dyDescent="0.25">
      <c r="B36" s="275"/>
      <c r="J36" s="277"/>
    </row>
    <row r="37" spans="2:10" ht="15.75" thickBot="1" x14ac:dyDescent="0.3">
      <c r="B37" s="287"/>
      <c r="C37" s="288"/>
      <c r="D37" s="288"/>
      <c r="E37" s="288"/>
      <c r="F37" s="288"/>
      <c r="G37" s="288"/>
      <c r="H37" s="288"/>
      <c r="I37" s="288"/>
      <c r="J37" s="289"/>
    </row>
  </sheetData>
  <pageMargins left="0.51181102362204722" right="0.51181102362204722" top="0.78740157480314965" bottom="0.78740157480314965" header="0.31496062992125984" footer="0.31496062992125984"/>
  <pageSetup paperSize="9" scale="99" orientation="portrait" verticalDpi="599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J21"/>
  <sheetViews>
    <sheetView zoomScaleNormal="100" workbookViewId="0">
      <selection activeCell="B17" sqref="B17"/>
    </sheetView>
  </sheetViews>
  <sheetFormatPr defaultColWidth="9.140625" defaultRowHeight="12" x14ac:dyDescent="0.2"/>
  <cols>
    <col min="1" max="1" width="23.5703125" style="9" customWidth="1"/>
    <col min="2" max="2" width="34.85546875" style="9" customWidth="1"/>
    <col min="3" max="3" width="18.42578125" style="9" customWidth="1"/>
    <col min="4" max="4" width="10.85546875" style="9" customWidth="1"/>
    <col min="5" max="5" width="16" style="9" customWidth="1"/>
    <col min="6" max="6" width="8.140625" style="9" customWidth="1"/>
    <col min="7" max="7" width="5.85546875" style="9" customWidth="1"/>
    <col min="8" max="8" width="6.5703125" style="9" customWidth="1"/>
    <col min="9" max="16384" width="9.140625" style="9"/>
  </cols>
  <sheetData>
    <row r="1" spans="1:10" ht="24.75" customHeight="1" x14ac:dyDescent="0.2">
      <c r="A1" s="340" t="s">
        <v>0</v>
      </c>
      <c r="B1" s="341"/>
      <c r="C1" s="341"/>
      <c r="D1" s="341"/>
      <c r="E1" s="341"/>
      <c r="F1" s="341"/>
      <c r="G1" s="341"/>
      <c r="H1" s="342"/>
      <c r="I1" s="8"/>
    </row>
    <row r="2" spans="1:10" ht="24" customHeight="1" x14ac:dyDescent="0.2">
      <c r="A2" s="10" t="s">
        <v>1</v>
      </c>
      <c r="B2" s="335"/>
      <c r="C2" s="336"/>
      <c r="D2" s="346" t="s">
        <v>2</v>
      </c>
      <c r="E2" s="347"/>
      <c r="F2" s="335"/>
      <c r="G2" s="345"/>
      <c r="H2" s="336"/>
      <c r="I2" s="8"/>
      <c r="J2" s="11" t="s">
        <v>3</v>
      </c>
    </row>
    <row r="3" spans="1:10" ht="18.75" customHeight="1" x14ac:dyDescent="0.2">
      <c r="A3" s="344" t="s">
        <v>4</v>
      </c>
      <c r="B3" s="344"/>
      <c r="C3" s="344"/>
      <c r="D3" s="344"/>
      <c r="E3" s="344"/>
      <c r="F3" s="344"/>
      <c r="G3" s="344"/>
      <c r="H3" s="344"/>
      <c r="I3" s="8"/>
      <c r="J3" s="11" t="s">
        <v>5</v>
      </c>
    </row>
    <row r="4" spans="1:10" ht="18" customHeight="1" x14ac:dyDescent="0.2">
      <c r="A4" s="12" t="s">
        <v>6</v>
      </c>
      <c r="B4" s="335"/>
      <c r="C4" s="345"/>
      <c r="D4" s="345"/>
      <c r="E4" s="345"/>
      <c r="F4" s="345"/>
      <c r="G4" s="345"/>
      <c r="H4" s="336"/>
      <c r="I4" s="8"/>
    </row>
    <row r="5" spans="1:10" ht="18" customHeight="1" x14ac:dyDescent="0.2">
      <c r="A5" s="12" t="s">
        <v>7</v>
      </c>
      <c r="B5" s="335"/>
      <c r="C5" s="345"/>
      <c r="D5" s="345"/>
      <c r="E5" s="345"/>
      <c r="F5" s="345"/>
      <c r="G5" s="345"/>
      <c r="H5" s="336"/>
      <c r="I5" s="8"/>
    </row>
    <row r="6" spans="1:10" ht="18" customHeight="1" x14ac:dyDescent="0.2">
      <c r="A6" s="12" t="s">
        <v>8</v>
      </c>
      <c r="B6" s="335"/>
      <c r="C6" s="345"/>
      <c r="D6" s="345"/>
      <c r="E6" s="345"/>
      <c r="F6" s="345"/>
      <c r="G6" s="345"/>
      <c r="H6" s="336"/>
      <c r="I6" s="8"/>
    </row>
    <row r="7" spans="1:10" ht="18" customHeight="1" x14ac:dyDescent="0.2">
      <c r="A7" s="12" t="s">
        <v>9</v>
      </c>
      <c r="B7" s="335"/>
      <c r="C7" s="336"/>
      <c r="D7" s="13" t="s">
        <v>10</v>
      </c>
      <c r="E7" s="335"/>
      <c r="F7" s="336"/>
      <c r="G7" s="14" t="s">
        <v>11</v>
      </c>
      <c r="H7" s="15"/>
      <c r="I7" s="8"/>
    </row>
    <row r="8" spans="1:10" ht="18" customHeight="1" x14ac:dyDescent="0.2">
      <c r="A8" s="12" t="s">
        <v>12</v>
      </c>
      <c r="B8" s="158"/>
      <c r="C8" s="16" t="s">
        <v>13</v>
      </c>
      <c r="D8" s="348"/>
      <c r="E8" s="349"/>
      <c r="F8" s="349"/>
      <c r="G8" s="349"/>
      <c r="H8" s="350"/>
      <c r="I8" s="8"/>
    </row>
    <row r="9" spans="1:10" ht="24.75" customHeight="1" x14ac:dyDescent="0.2">
      <c r="A9" s="12" t="s">
        <v>14</v>
      </c>
      <c r="B9" s="335"/>
      <c r="C9" s="345"/>
      <c r="D9" s="345"/>
      <c r="E9" s="345"/>
      <c r="F9" s="345"/>
      <c r="G9" s="345"/>
      <c r="H9" s="336"/>
      <c r="I9" s="8"/>
    </row>
    <row r="10" spans="1:10" ht="21.75" customHeight="1" x14ac:dyDescent="0.2">
      <c r="A10" s="344" t="s">
        <v>15</v>
      </c>
      <c r="B10" s="344"/>
      <c r="C10" s="344"/>
      <c r="D10" s="344"/>
      <c r="E10" s="344"/>
      <c r="F10" s="344"/>
      <c r="G10" s="344"/>
      <c r="H10" s="344"/>
      <c r="I10" s="8"/>
    </row>
    <row r="11" spans="1:10" ht="36" x14ac:dyDescent="0.2">
      <c r="A11" s="338" t="s">
        <v>16</v>
      </c>
      <c r="B11" s="338" t="s">
        <v>17</v>
      </c>
      <c r="C11" s="338" t="s">
        <v>14</v>
      </c>
      <c r="D11" s="338"/>
      <c r="E11" s="338" t="s">
        <v>13</v>
      </c>
      <c r="F11" s="160" t="s">
        <v>18</v>
      </c>
      <c r="G11" s="339" t="s">
        <v>19</v>
      </c>
      <c r="H11" s="339"/>
      <c r="I11" s="8"/>
    </row>
    <row r="12" spans="1:10" x14ac:dyDescent="0.2">
      <c r="A12" s="338"/>
      <c r="B12" s="338"/>
      <c r="C12" s="338"/>
      <c r="D12" s="338"/>
      <c r="E12" s="338"/>
      <c r="F12" s="162" t="s">
        <v>20</v>
      </c>
      <c r="G12" s="337" t="s">
        <v>20</v>
      </c>
      <c r="H12" s="337"/>
      <c r="I12" s="8"/>
    </row>
    <row r="13" spans="1:10" ht="34.5" customHeight="1" x14ac:dyDescent="0.2">
      <c r="A13" s="15"/>
      <c r="B13" s="15"/>
      <c r="C13" s="335"/>
      <c r="D13" s="336"/>
      <c r="E13" s="15"/>
      <c r="F13" s="17"/>
      <c r="G13" s="333"/>
      <c r="H13" s="334"/>
      <c r="I13" s="8"/>
    </row>
    <row r="14" spans="1:10" ht="34.5" customHeight="1" x14ac:dyDescent="0.2">
      <c r="A14" s="15"/>
      <c r="B14" s="15"/>
      <c r="C14" s="335"/>
      <c r="D14" s="336"/>
      <c r="E14" s="15"/>
      <c r="F14" s="17"/>
      <c r="G14" s="333"/>
      <c r="H14" s="334"/>
      <c r="I14" s="8"/>
    </row>
    <row r="15" spans="1:10" ht="34.5" customHeight="1" x14ac:dyDescent="0.2">
      <c r="A15" s="15"/>
      <c r="B15" s="15"/>
      <c r="C15" s="335"/>
      <c r="D15" s="336"/>
      <c r="E15" s="15"/>
      <c r="F15" s="17"/>
      <c r="G15" s="333"/>
      <c r="H15" s="334"/>
      <c r="I15" s="8"/>
    </row>
    <row r="16" spans="1:10" ht="34.5" customHeight="1" x14ac:dyDescent="0.2">
      <c r="A16" s="15"/>
      <c r="B16" s="15"/>
      <c r="C16" s="335"/>
      <c r="D16" s="336"/>
      <c r="E16" s="15"/>
      <c r="F16" s="17"/>
      <c r="G16" s="333"/>
      <c r="H16" s="334"/>
      <c r="I16" s="8"/>
    </row>
    <row r="17" spans="1:9" ht="34.5" customHeight="1" x14ac:dyDescent="0.2">
      <c r="A17" s="15"/>
      <c r="B17" s="15"/>
      <c r="C17" s="335"/>
      <c r="D17" s="336"/>
      <c r="E17" s="15"/>
      <c r="F17" s="17"/>
      <c r="G17" s="333"/>
      <c r="H17" s="334"/>
      <c r="I17" s="8"/>
    </row>
    <row r="18" spans="1:9" ht="34.5" customHeight="1" x14ac:dyDescent="0.2">
      <c r="A18" s="15"/>
      <c r="B18" s="15"/>
      <c r="C18" s="335"/>
      <c r="D18" s="336"/>
      <c r="E18" s="15"/>
      <c r="F18" s="17"/>
      <c r="G18" s="333"/>
      <c r="H18" s="334"/>
      <c r="I18" s="8"/>
    </row>
    <row r="19" spans="1:9" ht="19.5" customHeight="1" x14ac:dyDescent="0.2">
      <c r="A19" s="159" t="s">
        <v>21</v>
      </c>
      <c r="B19" s="159" t="s">
        <v>22</v>
      </c>
      <c r="C19" s="338" t="s">
        <v>23</v>
      </c>
      <c r="D19" s="338"/>
      <c r="E19" s="338"/>
      <c r="F19" s="338"/>
      <c r="G19" s="338"/>
      <c r="H19" s="338"/>
      <c r="I19" s="8"/>
    </row>
    <row r="20" spans="1:9" ht="29.25" customHeight="1" x14ac:dyDescent="0.2">
      <c r="A20" s="161"/>
      <c r="B20" s="18"/>
      <c r="C20" s="343"/>
      <c r="D20" s="343"/>
      <c r="E20" s="343"/>
      <c r="F20" s="343"/>
      <c r="G20" s="343"/>
      <c r="H20" s="343"/>
      <c r="I20" s="8"/>
    </row>
    <row r="21" spans="1:9" x14ac:dyDescent="0.2">
      <c r="A21" s="19"/>
      <c r="B21" s="19"/>
      <c r="C21" s="19"/>
      <c r="D21" s="19"/>
      <c r="E21" s="19"/>
      <c r="F21" s="19"/>
      <c r="G21" s="19"/>
      <c r="H21" s="19"/>
    </row>
  </sheetData>
  <mergeCells count="33">
    <mergeCell ref="B9:H9"/>
    <mergeCell ref="B7:C7"/>
    <mergeCell ref="D2:E2"/>
    <mergeCell ref="D8:H8"/>
    <mergeCell ref="B4:H4"/>
    <mergeCell ref="B5:H5"/>
    <mergeCell ref="B6:H6"/>
    <mergeCell ref="A1:H1"/>
    <mergeCell ref="E7:F7"/>
    <mergeCell ref="B2:C2"/>
    <mergeCell ref="C19:H19"/>
    <mergeCell ref="C20:H20"/>
    <mergeCell ref="C17:D17"/>
    <mergeCell ref="G17:H17"/>
    <mergeCell ref="C18:D18"/>
    <mergeCell ref="G18:H18"/>
    <mergeCell ref="C15:D15"/>
    <mergeCell ref="A3:H3"/>
    <mergeCell ref="F2:H2"/>
    <mergeCell ref="G14:H14"/>
    <mergeCell ref="A10:H10"/>
    <mergeCell ref="A11:A12"/>
    <mergeCell ref="B11:B12"/>
    <mergeCell ref="G15:H15"/>
    <mergeCell ref="C16:D16"/>
    <mergeCell ref="G16:H16"/>
    <mergeCell ref="G12:H12"/>
    <mergeCell ref="C13:D13"/>
    <mergeCell ref="G13:H13"/>
    <mergeCell ref="C14:D14"/>
    <mergeCell ref="C11:D12"/>
    <mergeCell ref="E11:E12"/>
    <mergeCell ref="G11:H11"/>
  </mergeCells>
  <dataValidations count="1">
    <dataValidation type="list" allowBlank="1" showInputMessage="1" showErrorMessage="1" sqref="F13:H18" xr:uid="{00000000-0002-0000-0100-000000000000}">
      <formula1>$J$1:$J$3</formula1>
    </dataValidation>
  </dataValidations>
  <pageMargins left="0.51181102362204722" right="0.19685039370078741" top="0.78740157480314965" bottom="0.78740157480314965" header="0.31496062992125984" footer="0.31496062992125984"/>
  <pageSetup paperSize="9" scale="75" orientation="portrait" r:id="rId1"/>
  <headerFooter>
    <oddHeader>&amp;C&amp;"-,Negrito"PLANILHA DE COMPOSIÇÃO DE CUSTOSDADOS CADASTRAIS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T190"/>
  <sheetViews>
    <sheetView showGridLines="0" topLeftCell="A112" zoomScaleNormal="100" zoomScaleSheetLayoutView="100" workbookViewId="0">
      <selection activeCell="I127" sqref="I127:I131"/>
    </sheetView>
  </sheetViews>
  <sheetFormatPr defaultColWidth="9.140625" defaultRowHeight="15" customHeight="1" x14ac:dyDescent="0.2"/>
  <cols>
    <col min="1" max="1" width="7.140625" style="55" customWidth="1"/>
    <col min="2" max="3" width="14.85546875" style="55" customWidth="1"/>
    <col min="4" max="4" width="11.42578125" style="55" customWidth="1"/>
    <col min="5" max="5" width="15.42578125" style="55" customWidth="1"/>
    <col min="6" max="9" width="11.42578125" style="55" customWidth="1"/>
    <col min="10" max="10" width="15.5703125" style="55" customWidth="1"/>
    <col min="11" max="11" width="11.28515625" style="9" bestFit="1" customWidth="1"/>
    <col min="12" max="12" width="12.140625" style="9" bestFit="1" customWidth="1"/>
    <col min="13" max="13" width="15.140625" style="39" customWidth="1"/>
    <col min="14" max="14" width="9.42578125" style="39" customWidth="1"/>
    <col min="15" max="15" width="2.42578125" style="9" customWidth="1"/>
    <col min="16" max="16" width="10.5703125" style="9" bestFit="1" customWidth="1"/>
    <col min="17" max="16384" width="9.140625" style="9"/>
  </cols>
  <sheetData>
    <row r="1" spans="1:20" ht="15" customHeight="1" x14ac:dyDescent="0.2">
      <c r="A1" s="391" t="s">
        <v>24</v>
      </c>
      <c r="B1" s="391"/>
      <c r="C1" s="391"/>
      <c r="D1" s="391"/>
      <c r="E1" s="391"/>
      <c r="F1" s="391"/>
      <c r="G1" s="391"/>
      <c r="H1" s="391"/>
      <c r="I1" s="391"/>
      <c r="J1" s="391"/>
      <c r="L1" s="60"/>
      <c r="M1" s="37" t="s">
        <v>5</v>
      </c>
      <c r="N1" s="37" t="s">
        <v>25</v>
      </c>
      <c r="O1" s="11"/>
      <c r="P1" s="11"/>
      <c r="Q1" s="11"/>
      <c r="R1" s="11"/>
      <c r="S1" s="60"/>
      <c r="T1" s="60"/>
    </row>
    <row r="2" spans="1:20" ht="13.9" customHeight="1" x14ac:dyDescent="0.2">
      <c r="A2" s="392" t="s">
        <v>6</v>
      </c>
      <c r="B2" s="392"/>
      <c r="C2" s="392"/>
      <c r="D2" s="392"/>
      <c r="E2" s="392"/>
      <c r="F2" s="394" t="str">
        <f>IF('Dados Cadastrais'!B4=0,"",'Dados Cadastrais'!B4)</f>
        <v/>
      </c>
      <c r="G2" s="394"/>
      <c r="H2" s="394"/>
      <c r="I2" s="394"/>
      <c r="J2" s="394"/>
      <c r="K2" s="8"/>
      <c r="L2" s="60"/>
      <c r="M2" s="11" t="s">
        <v>3</v>
      </c>
      <c r="N2" s="37" t="s">
        <v>26</v>
      </c>
      <c r="O2" s="11"/>
      <c r="P2" s="11"/>
      <c r="Q2" s="11"/>
      <c r="R2" s="11"/>
      <c r="S2" s="60"/>
      <c r="T2" s="60"/>
    </row>
    <row r="3" spans="1:20" ht="13.9" customHeight="1" x14ac:dyDescent="0.2">
      <c r="A3" s="392" t="s">
        <v>7</v>
      </c>
      <c r="B3" s="392"/>
      <c r="C3" s="392"/>
      <c r="D3" s="392"/>
      <c r="E3" s="392"/>
      <c r="F3" s="394" t="str">
        <f>IF('Dados Cadastrais'!B5=0,"",'Dados Cadastrais'!B5)</f>
        <v/>
      </c>
      <c r="G3" s="394"/>
      <c r="H3" s="394"/>
      <c r="I3" s="394"/>
      <c r="J3" s="394"/>
      <c r="K3" s="8"/>
      <c r="L3" s="60"/>
      <c r="M3" s="11"/>
      <c r="N3" s="37" t="s">
        <v>27</v>
      </c>
      <c r="O3" s="11"/>
      <c r="P3" s="11"/>
      <c r="Q3" s="11"/>
      <c r="R3" s="11"/>
      <c r="S3" s="60"/>
      <c r="T3" s="60"/>
    </row>
    <row r="4" spans="1:20" ht="14.45" customHeight="1" x14ac:dyDescent="0.2">
      <c r="A4" s="392" t="s">
        <v>28</v>
      </c>
      <c r="B4" s="392"/>
      <c r="C4" s="392"/>
      <c r="D4" s="392"/>
      <c r="E4" s="392"/>
      <c r="F4" s="395"/>
      <c r="G4" s="396"/>
      <c r="H4" s="396"/>
      <c r="I4" s="396"/>
      <c r="J4" s="397"/>
      <c r="K4" s="8"/>
      <c r="L4" s="60"/>
      <c r="M4" s="60"/>
      <c r="N4" s="61"/>
      <c r="O4" s="60"/>
      <c r="P4" s="60"/>
      <c r="Q4" s="60"/>
      <c r="R4" s="60"/>
      <c r="S4" s="60"/>
      <c r="T4" s="60"/>
    </row>
    <row r="5" spans="1:20" ht="13.9" customHeight="1" x14ac:dyDescent="0.2">
      <c r="A5" s="392" t="s">
        <v>29</v>
      </c>
      <c r="B5" s="392"/>
      <c r="C5" s="392"/>
      <c r="D5" s="392"/>
      <c r="E5" s="392"/>
      <c r="F5" s="395"/>
      <c r="G5" s="396"/>
      <c r="H5" s="396"/>
      <c r="I5" s="396"/>
      <c r="J5" s="397"/>
      <c r="K5" s="8"/>
      <c r="L5" s="60"/>
      <c r="M5" s="60"/>
      <c r="N5" s="61"/>
      <c r="O5" s="60"/>
      <c r="P5" s="60"/>
      <c r="Q5" s="60"/>
      <c r="R5" s="60"/>
      <c r="S5" s="60"/>
      <c r="T5" s="60"/>
    </row>
    <row r="6" spans="1:20" ht="13.9" customHeight="1" x14ac:dyDescent="0.2">
      <c r="A6" s="393" t="s">
        <v>30</v>
      </c>
      <c r="B6" s="393"/>
      <c r="C6" s="393"/>
      <c r="D6" s="393"/>
      <c r="E6" s="393"/>
      <c r="F6" s="34" t="s">
        <v>3</v>
      </c>
      <c r="G6" s="403"/>
      <c r="H6" s="403"/>
      <c r="I6" s="403"/>
      <c r="J6" s="403"/>
      <c r="K6" s="38"/>
      <c r="L6" s="60"/>
      <c r="M6" s="60"/>
      <c r="N6" s="61"/>
      <c r="O6" s="60"/>
      <c r="P6" s="60"/>
      <c r="Q6" s="60"/>
      <c r="R6" s="60"/>
      <c r="S6" s="60"/>
      <c r="T6" s="60"/>
    </row>
    <row r="7" spans="1:20" ht="13.9" customHeight="1" x14ac:dyDescent="0.2">
      <c r="A7" s="392" t="s">
        <v>31</v>
      </c>
      <c r="B7" s="392"/>
      <c r="C7" s="392"/>
      <c r="D7" s="392"/>
      <c r="E7" s="392"/>
      <c r="F7" s="400" t="s">
        <v>25</v>
      </c>
      <c r="G7" s="401"/>
      <c r="H7" s="401"/>
      <c r="I7" s="401"/>
      <c r="J7" s="402"/>
      <c r="K7" s="38"/>
      <c r="L7" s="60"/>
      <c r="M7" s="60"/>
      <c r="N7" s="60"/>
      <c r="O7" s="60"/>
      <c r="P7" s="60"/>
      <c r="Q7" s="60"/>
      <c r="R7" s="60"/>
      <c r="S7" s="60"/>
      <c r="T7" s="60"/>
    </row>
    <row r="8" spans="1:20" ht="13.9" customHeight="1" x14ac:dyDescent="0.2">
      <c r="A8" s="392" t="s">
        <v>32</v>
      </c>
      <c r="B8" s="392"/>
      <c r="C8" s="392"/>
      <c r="D8" s="392"/>
      <c r="E8" s="392"/>
      <c r="F8" s="395"/>
      <c r="G8" s="396"/>
      <c r="H8" s="396"/>
      <c r="I8" s="396"/>
      <c r="J8" s="397"/>
      <c r="K8" s="8"/>
      <c r="L8" s="60"/>
      <c r="M8" s="60"/>
      <c r="N8" s="60"/>
      <c r="O8" s="60"/>
      <c r="P8" s="60"/>
      <c r="Q8" s="60"/>
      <c r="R8" s="60"/>
      <c r="S8" s="60"/>
      <c r="T8" s="60"/>
    </row>
    <row r="9" spans="1:20" ht="13.9" customHeight="1" x14ac:dyDescent="0.2">
      <c r="A9" s="392" t="s">
        <v>33</v>
      </c>
      <c r="B9" s="392"/>
      <c r="C9" s="392"/>
      <c r="D9" s="392"/>
      <c r="E9" s="392"/>
      <c r="F9" s="395"/>
      <c r="G9" s="398"/>
      <c r="H9" s="398"/>
      <c r="I9" s="398"/>
      <c r="J9" s="399"/>
      <c r="K9" s="8"/>
      <c r="L9" s="60"/>
      <c r="M9" s="60"/>
      <c r="N9" s="60"/>
      <c r="O9" s="60"/>
      <c r="P9" s="60"/>
      <c r="Q9" s="60"/>
      <c r="R9" s="60"/>
      <c r="S9" s="60"/>
      <c r="T9" s="60"/>
    </row>
    <row r="10" spans="1:20" ht="13.9" customHeight="1" x14ac:dyDescent="0.2">
      <c r="A10" s="392" t="s">
        <v>34</v>
      </c>
      <c r="B10" s="392"/>
      <c r="C10" s="392"/>
      <c r="D10" s="392"/>
      <c r="E10" s="392"/>
      <c r="F10" s="395"/>
      <c r="G10" s="398"/>
      <c r="H10" s="398"/>
      <c r="I10" s="398"/>
      <c r="J10" s="399"/>
      <c r="K10" s="8"/>
      <c r="L10" s="60"/>
      <c r="M10" s="60"/>
      <c r="N10" s="60"/>
      <c r="O10" s="60"/>
      <c r="P10" s="60"/>
      <c r="Q10" s="60"/>
      <c r="R10" s="60"/>
      <c r="S10" s="60"/>
      <c r="T10" s="60"/>
    </row>
    <row r="11" spans="1:20" ht="13.9" customHeight="1" x14ac:dyDescent="0.2">
      <c r="A11" s="392" t="s">
        <v>35</v>
      </c>
      <c r="B11" s="392"/>
      <c r="C11" s="392"/>
      <c r="D11" s="392"/>
      <c r="E11" s="392"/>
      <c r="F11" s="395"/>
      <c r="G11" s="398"/>
      <c r="H11" s="398"/>
      <c r="I11" s="398"/>
      <c r="J11" s="399"/>
      <c r="K11" s="8"/>
      <c r="L11" s="60"/>
      <c r="M11" s="60"/>
      <c r="N11" s="60"/>
      <c r="O11" s="60"/>
      <c r="P11" s="60"/>
      <c r="Q11" s="60"/>
      <c r="R11" s="60"/>
      <c r="S11" s="60"/>
      <c r="T11" s="60"/>
    </row>
    <row r="12" spans="1:20" ht="13.9" customHeight="1" x14ac:dyDescent="0.2">
      <c r="A12" s="392" t="s">
        <v>36</v>
      </c>
      <c r="B12" s="392"/>
      <c r="C12" s="392"/>
      <c r="D12" s="392"/>
      <c r="E12" s="392"/>
      <c r="F12" s="395"/>
      <c r="G12" s="398"/>
      <c r="H12" s="398"/>
      <c r="I12" s="398"/>
      <c r="J12" s="399"/>
      <c r="K12" s="8"/>
      <c r="L12" s="60"/>
      <c r="M12" s="60"/>
      <c r="N12" s="60"/>
      <c r="O12" s="60"/>
      <c r="P12" s="60"/>
      <c r="Q12" s="60"/>
      <c r="R12" s="60"/>
      <c r="S12" s="60"/>
      <c r="T12" s="60"/>
    </row>
    <row r="13" spans="1:20" ht="13.9" customHeight="1" x14ac:dyDescent="0.2">
      <c r="A13" s="392" t="s">
        <v>37</v>
      </c>
      <c r="B13" s="392"/>
      <c r="C13" s="392"/>
      <c r="D13" s="392"/>
      <c r="E13" s="392"/>
      <c r="F13" s="395"/>
      <c r="G13" s="398"/>
      <c r="H13" s="398"/>
      <c r="I13" s="398"/>
      <c r="J13" s="399"/>
      <c r="K13" s="8"/>
      <c r="L13" s="60"/>
      <c r="M13" s="60"/>
      <c r="N13" s="60"/>
      <c r="O13" s="60"/>
      <c r="P13" s="60"/>
      <c r="Q13" s="60"/>
      <c r="R13" s="60"/>
      <c r="S13" s="60"/>
      <c r="T13" s="60"/>
    </row>
    <row r="14" spans="1:20" ht="13.9" customHeight="1" x14ac:dyDescent="0.2">
      <c r="A14" s="392" t="s">
        <v>38</v>
      </c>
      <c r="B14" s="392"/>
      <c r="C14" s="392"/>
      <c r="D14" s="392"/>
      <c r="E14" s="392"/>
      <c r="F14" s="70">
        <v>12</v>
      </c>
      <c r="G14" s="405" t="s">
        <v>39</v>
      </c>
      <c r="H14" s="405"/>
      <c r="I14" s="405"/>
      <c r="J14" s="405"/>
      <c r="K14" s="8"/>
      <c r="L14" s="60"/>
      <c r="M14" s="60"/>
      <c r="N14" s="60"/>
      <c r="O14" s="60"/>
      <c r="P14" s="60"/>
      <c r="Q14" s="60"/>
      <c r="R14" s="60"/>
      <c r="S14" s="60"/>
      <c r="T14" s="60"/>
    </row>
    <row r="15" spans="1:20" ht="7.15" customHeight="1" x14ac:dyDescent="0.2">
      <c r="A15" s="40"/>
      <c r="B15" s="40"/>
      <c r="C15" s="40"/>
      <c r="D15" s="40"/>
      <c r="E15" s="40"/>
      <c r="F15" s="40"/>
      <c r="G15" s="40"/>
      <c r="H15" s="40"/>
      <c r="I15" s="40"/>
      <c r="J15" s="40"/>
      <c r="K15" s="8"/>
    </row>
    <row r="16" spans="1:20" ht="15" customHeight="1" x14ac:dyDescent="0.2">
      <c r="A16" s="373" t="s">
        <v>40</v>
      </c>
      <c r="B16" s="373"/>
      <c r="C16" s="373"/>
      <c r="D16" s="373"/>
      <c r="E16" s="373"/>
      <c r="F16" s="373"/>
      <c r="G16" s="373"/>
      <c r="H16" s="373"/>
      <c r="I16" s="373"/>
      <c r="J16" s="41" t="s">
        <v>41</v>
      </c>
      <c r="K16" s="8"/>
    </row>
    <row r="17" spans="1:11" ht="15" customHeight="1" x14ac:dyDescent="0.2">
      <c r="A17" s="42">
        <v>1</v>
      </c>
      <c r="B17" s="353" t="s">
        <v>42</v>
      </c>
      <c r="C17" s="355"/>
      <c r="D17" s="355"/>
      <c r="E17" s="355"/>
      <c r="F17" s="355"/>
      <c r="G17" s="355"/>
      <c r="H17" s="355"/>
      <c r="I17" s="354"/>
      <c r="J17" s="2">
        <f>IF($F$13&gt;0%,0,20%)</f>
        <v>0.2</v>
      </c>
      <c r="K17" s="8"/>
    </row>
    <row r="18" spans="1:11" ht="15" customHeight="1" x14ac:dyDescent="0.2">
      <c r="A18" s="42">
        <v>2</v>
      </c>
      <c r="B18" s="353" t="s">
        <v>43</v>
      </c>
      <c r="C18" s="355"/>
      <c r="D18" s="355"/>
      <c r="E18" s="355"/>
      <c r="F18" s="355"/>
      <c r="G18" s="355"/>
      <c r="H18" s="355"/>
      <c r="I18" s="354"/>
      <c r="J18" s="2">
        <f>IF($F$7="Simples Nacional",0,IF($F$7&lt;&gt;"",1.5%,"Informar regime tributário"))</f>
        <v>1.4999999999999999E-2</v>
      </c>
      <c r="K18" s="8"/>
    </row>
    <row r="19" spans="1:11" ht="15" customHeight="1" x14ac:dyDescent="0.2">
      <c r="A19" s="42">
        <v>3</v>
      </c>
      <c r="B19" s="353" t="s">
        <v>44</v>
      </c>
      <c r="C19" s="355"/>
      <c r="D19" s="355"/>
      <c r="E19" s="355"/>
      <c r="F19" s="355"/>
      <c r="G19" s="355"/>
      <c r="H19" s="355"/>
      <c r="I19" s="354"/>
      <c r="J19" s="2">
        <f>IF($F$7="Simples Nacional",0,IF($F$7&lt;&gt;"",1%,"Informar regime tributário"))</f>
        <v>0.01</v>
      </c>
      <c r="K19" s="8"/>
    </row>
    <row r="20" spans="1:11" ht="15" customHeight="1" x14ac:dyDescent="0.2">
      <c r="A20" s="42">
        <v>4</v>
      </c>
      <c r="B20" s="353" t="s">
        <v>45</v>
      </c>
      <c r="C20" s="355"/>
      <c r="D20" s="355"/>
      <c r="E20" s="355"/>
      <c r="F20" s="355"/>
      <c r="G20" s="355"/>
      <c r="H20" s="355"/>
      <c r="I20" s="354"/>
      <c r="J20" s="2">
        <f>IF($F$7="Simples Nacional",0,IF($F$7&lt;&gt;"",0.2%,"Informar regime tributário"))</f>
        <v>2E-3</v>
      </c>
      <c r="K20" s="8"/>
    </row>
    <row r="21" spans="1:11" ht="15" customHeight="1" x14ac:dyDescent="0.2">
      <c r="A21" s="42">
        <v>5</v>
      </c>
      <c r="B21" s="353" t="s">
        <v>46</v>
      </c>
      <c r="C21" s="355"/>
      <c r="D21" s="355"/>
      <c r="E21" s="355"/>
      <c r="F21" s="355"/>
      <c r="G21" s="355"/>
      <c r="H21" s="355"/>
      <c r="I21" s="354"/>
      <c r="J21" s="2">
        <f>IF($F$7="Simples Nacional",0,IF($F$7&lt;&gt;"",2.5%,"Informar regime tributário"))</f>
        <v>2.5000000000000001E-2</v>
      </c>
      <c r="K21" s="8"/>
    </row>
    <row r="22" spans="1:11" ht="15" customHeight="1" x14ac:dyDescent="0.2">
      <c r="A22" s="42">
        <v>6</v>
      </c>
      <c r="B22" s="353" t="s">
        <v>47</v>
      </c>
      <c r="C22" s="355"/>
      <c r="D22" s="355"/>
      <c r="E22" s="355"/>
      <c r="F22" s="355"/>
      <c r="G22" s="355"/>
      <c r="H22" s="355"/>
      <c r="I22" s="354"/>
      <c r="J22" s="2">
        <v>0.08</v>
      </c>
      <c r="K22" s="8"/>
    </row>
    <row r="23" spans="1:11" ht="15" customHeight="1" x14ac:dyDescent="0.2">
      <c r="A23" s="42">
        <v>7</v>
      </c>
      <c r="B23" s="353" t="s">
        <v>48</v>
      </c>
      <c r="C23" s="355"/>
      <c r="D23" s="355"/>
      <c r="E23" s="355"/>
      <c r="F23" s="355"/>
      <c r="G23" s="355"/>
      <c r="H23" s="355"/>
      <c r="I23" s="354"/>
      <c r="J23" s="2" t="str">
        <f>IF(F8=0,"Informar SAT",$F$8)</f>
        <v>Informar SAT</v>
      </c>
      <c r="K23" s="8"/>
    </row>
    <row r="24" spans="1:11" ht="15" customHeight="1" x14ac:dyDescent="0.2">
      <c r="A24" s="42">
        <v>8</v>
      </c>
      <c r="B24" s="353" t="s">
        <v>49</v>
      </c>
      <c r="C24" s="355"/>
      <c r="D24" s="355"/>
      <c r="E24" s="355"/>
      <c r="F24" s="355"/>
      <c r="G24" s="355"/>
      <c r="H24" s="355"/>
      <c r="I24" s="354"/>
      <c r="J24" s="2">
        <f>IF($F$7="Simples Nacional",0,IF($F$7&lt;&gt;"",0.6%,"Informar regime tributário"))</f>
        <v>6.0000000000000001E-3</v>
      </c>
      <c r="K24" s="8"/>
    </row>
    <row r="25" spans="1:11" ht="15" customHeight="1" x14ac:dyDescent="0.2">
      <c r="A25" s="375" t="s">
        <v>50</v>
      </c>
      <c r="B25" s="376"/>
      <c r="C25" s="376"/>
      <c r="D25" s="376"/>
      <c r="E25" s="376"/>
      <c r="F25" s="376"/>
      <c r="G25" s="376"/>
      <c r="H25" s="376"/>
      <c r="I25" s="377"/>
      <c r="J25" s="43">
        <f>SUM(J17:J24)</f>
        <v>0.33800000000000008</v>
      </c>
      <c r="K25" s="8"/>
    </row>
    <row r="26" spans="1:11" ht="7.15" customHeight="1" x14ac:dyDescent="0.2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8"/>
    </row>
    <row r="27" spans="1:11" ht="15" customHeight="1" x14ac:dyDescent="0.2">
      <c r="A27" s="373" t="s">
        <v>51</v>
      </c>
      <c r="B27" s="373"/>
      <c r="C27" s="373"/>
      <c r="D27" s="373"/>
      <c r="E27" s="373"/>
      <c r="F27" s="373"/>
      <c r="G27" s="373"/>
      <c r="H27" s="373"/>
      <c r="I27" s="373"/>
      <c r="J27" s="373"/>
      <c r="K27" s="8"/>
    </row>
    <row r="28" spans="1:11" ht="15" customHeight="1" x14ac:dyDescent="0.2">
      <c r="A28" s="42">
        <v>1</v>
      </c>
      <c r="B28" s="353" t="s">
        <v>52</v>
      </c>
      <c r="C28" s="355"/>
      <c r="D28" s="355"/>
      <c r="E28" s="355"/>
      <c r="F28" s="355"/>
      <c r="G28" s="355"/>
      <c r="H28" s="355"/>
      <c r="I28" s="354"/>
      <c r="J28" s="293">
        <f>ROUND(5/56,4)</f>
        <v>8.9300000000000004E-2</v>
      </c>
      <c r="K28" s="8"/>
    </row>
    <row r="29" spans="1:11" ht="15" customHeight="1" x14ac:dyDescent="0.2">
      <c r="A29" s="42">
        <v>2</v>
      </c>
      <c r="B29" s="353" t="s">
        <v>53</v>
      </c>
      <c r="C29" s="355"/>
      <c r="D29" s="355"/>
      <c r="E29" s="355"/>
      <c r="F29" s="355"/>
      <c r="G29" s="355"/>
      <c r="H29" s="355"/>
      <c r="I29" s="354"/>
      <c r="J29" s="293">
        <f>ROUND(J28/3,4)</f>
        <v>2.98E-2</v>
      </c>
      <c r="K29" s="8"/>
    </row>
    <row r="30" spans="1:11" ht="15" customHeight="1" x14ac:dyDescent="0.2">
      <c r="A30" s="42">
        <v>3</v>
      </c>
      <c r="B30" s="353" t="s">
        <v>54</v>
      </c>
      <c r="C30" s="355"/>
      <c r="D30" s="355"/>
      <c r="E30" s="355"/>
      <c r="F30" s="355"/>
      <c r="G30" s="355"/>
      <c r="H30" s="355"/>
      <c r="I30" s="354"/>
      <c r="J30" s="293">
        <f>ROUND((J28+J29)*J25,4)</f>
        <v>4.0300000000000002E-2</v>
      </c>
      <c r="K30" s="8"/>
    </row>
    <row r="31" spans="1:11" ht="15" customHeight="1" x14ac:dyDescent="0.2">
      <c r="A31" s="375" t="s">
        <v>55</v>
      </c>
      <c r="B31" s="376"/>
      <c r="C31" s="376"/>
      <c r="D31" s="376"/>
      <c r="E31" s="376"/>
      <c r="F31" s="376"/>
      <c r="G31" s="376"/>
      <c r="H31" s="376"/>
      <c r="I31" s="377"/>
      <c r="J31" s="43">
        <f>SUM(J28:J30)</f>
        <v>0.15940000000000001</v>
      </c>
      <c r="K31" s="8"/>
    </row>
    <row r="32" spans="1:11" ht="7.15" customHeight="1" x14ac:dyDescent="0.2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8"/>
    </row>
    <row r="33" spans="1:14" ht="15" customHeight="1" x14ac:dyDescent="0.2">
      <c r="A33" s="373" t="s">
        <v>56</v>
      </c>
      <c r="B33" s="373"/>
      <c r="C33" s="373"/>
      <c r="D33" s="373"/>
      <c r="E33" s="373"/>
      <c r="F33" s="373"/>
      <c r="G33" s="373"/>
      <c r="H33" s="373"/>
      <c r="I33" s="373"/>
      <c r="J33" s="373"/>
      <c r="K33" s="8"/>
      <c r="M33" s="44"/>
      <c r="N33" s="44"/>
    </row>
    <row r="34" spans="1:14" ht="15" customHeight="1" x14ac:dyDescent="0.2">
      <c r="A34" s="42">
        <v>1</v>
      </c>
      <c r="B34" s="353" t="s">
        <v>54</v>
      </c>
      <c r="C34" s="355"/>
      <c r="D34" s="355"/>
      <c r="E34" s="355"/>
      <c r="F34" s="355"/>
      <c r="G34" s="355"/>
      <c r="H34" s="355"/>
      <c r="I34" s="354"/>
      <c r="J34" s="2">
        <f>((120*0.6794*64.589%*70.91%*5.5714%)/220.2768)*J22</f>
        <v>7.5554163675678747E-4</v>
      </c>
      <c r="K34" s="242"/>
    </row>
    <row r="35" spans="1:14" ht="15" customHeight="1" x14ac:dyDescent="0.2">
      <c r="A35" s="375" t="s">
        <v>57</v>
      </c>
      <c r="B35" s="376"/>
      <c r="C35" s="376"/>
      <c r="D35" s="376"/>
      <c r="E35" s="376"/>
      <c r="F35" s="376"/>
      <c r="G35" s="376"/>
      <c r="H35" s="376"/>
      <c r="I35" s="377"/>
      <c r="J35" s="43">
        <f>SUM(J34:J34)</f>
        <v>7.5554163675678747E-4</v>
      </c>
      <c r="K35" s="8"/>
    </row>
    <row r="36" spans="1:14" ht="7.15" customHeight="1" x14ac:dyDescent="0.2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8"/>
    </row>
    <row r="37" spans="1:14" ht="15" customHeight="1" x14ac:dyDescent="0.2">
      <c r="A37" s="373" t="s">
        <v>58</v>
      </c>
      <c r="B37" s="373"/>
      <c r="C37" s="373"/>
      <c r="D37" s="373"/>
      <c r="E37" s="373"/>
      <c r="F37" s="373"/>
      <c r="G37" s="373"/>
      <c r="H37" s="373"/>
      <c r="I37" s="373"/>
      <c r="J37" s="373"/>
      <c r="K37" s="8"/>
      <c r="M37" s="45"/>
    </row>
    <row r="38" spans="1:14" ht="15" customHeight="1" x14ac:dyDescent="0.2">
      <c r="A38" s="42">
        <v>1</v>
      </c>
      <c r="B38" s="353" t="s">
        <v>59</v>
      </c>
      <c r="C38" s="355"/>
      <c r="D38" s="355"/>
      <c r="E38" s="355"/>
      <c r="F38" s="355"/>
      <c r="G38" s="355"/>
      <c r="H38" s="355"/>
      <c r="I38" s="354"/>
      <c r="J38" s="2">
        <f>ROUND((98%*27.7988%*33)/220.2768,4)</f>
        <v>4.0800000000000003E-2</v>
      </c>
      <c r="K38" s="46"/>
      <c r="M38" s="47"/>
    </row>
    <row r="39" spans="1:14" ht="15" customHeight="1" x14ac:dyDescent="0.2">
      <c r="A39" s="42">
        <v>2</v>
      </c>
      <c r="B39" s="353" t="s">
        <v>60</v>
      </c>
      <c r="C39" s="355"/>
      <c r="D39" s="355"/>
      <c r="E39" s="355"/>
      <c r="F39" s="355"/>
      <c r="G39" s="355"/>
      <c r="H39" s="355"/>
      <c r="I39" s="354"/>
      <c r="J39" s="293">
        <f>ROUND(J38*$J$22,4)</f>
        <v>3.3E-3</v>
      </c>
      <c r="K39" s="8"/>
      <c r="M39" s="45"/>
    </row>
    <row r="40" spans="1:14" ht="15" customHeight="1" x14ac:dyDescent="0.2">
      <c r="A40" s="42">
        <v>3</v>
      </c>
      <c r="B40" s="353" t="s">
        <v>61</v>
      </c>
      <c r="C40" s="355"/>
      <c r="D40" s="355"/>
      <c r="E40" s="355"/>
      <c r="F40" s="355"/>
      <c r="G40" s="355"/>
      <c r="H40" s="355"/>
      <c r="I40" s="354"/>
      <c r="J40" s="293">
        <f>ROUND(J39*40%,4)</f>
        <v>1.2999999999999999E-3</v>
      </c>
      <c r="K40" s="8"/>
      <c r="M40" s="47"/>
    </row>
    <row r="41" spans="1:14" ht="15" customHeight="1" x14ac:dyDescent="0.2">
      <c r="A41" s="42">
        <v>4</v>
      </c>
      <c r="B41" s="353" t="s">
        <v>62</v>
      </c>
      <c r="C41" s="355"/>
      <c r="D41" s="355"/>
      <c r="E41" s="355"/>
      <c r="F41" s="355"/>
      <c r="G41" s="355"/>
      <c r="H41" s="355"/>
      <c r="I41" s="354"/>
      <c r="J41" s="293">
        <f>ROUND((7*0.6794*2%*27.7988%/220.2768),4)</f>
        <v>1E-4</v>
      </c>
      <c r="K41" s="8"/>
      <c r="M41" s="303"/>
    </row>
    <row r="42" spans="1:14" ht="15" customHeight="1" x14ac:dyDescent="0.2">
      <c r="A42" s="42">
        <v>5</v>
      </c>
      <c r="B42" s="353" t="s">
        <v>63</v>
      </c>
      <c r="C42" s="355"/>
      <c r="D42" s="355"/>
      <c r="E42" s="355"/>
      <c r="F42" s="355"/>
      <c r="G42" s="355"/>
      <c r="H42" s="355"/>
      <c r="I42" s="354"/>
      <c r="J42" s="293">
        <f>ROUND(J41*$J$25,4)</f>
        <v>0</v>
      </c>
      <c r="K42" s="8"/>
      <c r="L42" s="301"/>
      <c r="M42" s="299"/>
      <c r="N42" s="49"/>
    </row>
    <row r="43" spans="1:14" ht="15" customHeight="1" x14ac:dyDescent="0.2">
      <c r="A43" s="42">
        <v>6</v>
      </c>
      <c r="B43" s="353" t="s">
        <v>64</v>
      </c>
      <c r="C43" s="355"/>
      <c r="D43" s="355"/>
      <c r="E43" s="355"/>
      <c r="F43" s="355"/>
      <c r="G43" s="355"/>
      <c r="H43" s="355"/>
      <c r="I43" s="354"/>
      <c r="J43" s="293">
        <f>ROUND(J41*8%*40%,4)</f>
        <v>0</v>
      </c>
      <c r="K43" s="8"/>
      <c r="L43" s="302"/>
      <c r="M43" s="300"/>
      <c r="N43" s="49"/>
    </row>
    <row r="44" spans="1:14" ht="15" customHeight="1" x14ac:dyDescent="0.2">
      <c r="A44" s="295">
        <v>7</v>
      </c>
      <c r="B44" s="353" t="s">
        <v>65</v>
      </c>
      <c r="C44" s="355"/>
      <c r="D44" s="355"/>
      <c r="E44" s="355"/>
      <c r="F44" s="355"/>
      <c r="G44" s="355"/>
      <c r="H44" s="355"/>
      <c r="I44" s="354"/>
      <c r="J44" s="296">
        <f>ROUND((1%*(1/12)),4)</f>
        <v>8.0000000000000004E-4</v>
      </c>
      <c r="K44" s="298"/>
      <c r="L44" s="297"/>
      <c r="M44" s="304"/>
    </row>
    <row r="45" spans="1:14" ht="15" customHeight="1" x14ac:dyDescent="0.2">
      <c r="A45" s="311">
        <v>8</v>
      </c>
      <c r="B45" s="378" t="s">
        <v>66</v>
      </c>
      <c r="C45" s="379"/>
      <c r="D45" s="379"/>
      <c r="E45" s="379"/>
      <c r="F45" s="379"/>
      <c r="G45" s="379"/>
      <c r="H45" s="379"/>
      <c r="I45" s="379"/>
      <c r="J45" s="296">
        <f>ROUND(8%*40%*27.7988%*(1+(0.944%+J56+J57+J58+J59)),5)</f>
        <v>9.2099999999999994E-3</v>
      </c>
      <c r="K45" s="8"/>
      <c r="L45" s="305"/>
    </row>
    <row r="46" spans="1:14" ht="15" customHeight="1" x14ac:dyDescent="0.2">
      <c r="A46" s="404" t="s">
        <v>67</v>
      </c>
      <c r="B46" s="376"/>
      <c r="C46" s="376"/>
      <c r="D46" s="376"/>
      <c r="E46" s="376"/>
      <c r="F46" s="376"/>
      <c r="G46" s="376"/>
      <c r="H46" s="376"/>
      <c r="I46" s="377"/>
      <c r="J46" s="43">
        <f>SUM(J38:J45)</f>
        <v>5.5510000000000004E-2</v>
      </c>
      <c r="K46" s="8"/>
      <c r="L46" s="60"/>
    </row>
    <row r="47" spans="1:14" ht="7.15" customHeight="1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8"/>
      <c r="L47" s="60"/>
    </row>
    <row r="48" spans="1:14" ht="15" customHeight="1" x14ac:dyDescent="0.2">
      <c r="A48" s="373" t="s">
        <v>68</v>
      </c>
      <c r="B48" s="373"/>
      <c r="C48" s="373"/>
      <c r="D48" s="373"/>
      <c r="E48" s="373"/>
      <c r="F48" s="373"/>
      <c r="G48" s="373"/>
      <c r="H48" s="373"/>
      <c r="I48" s="373"/>
      <c r="J48" s="373"/>
      <c r="K48" s="8"/>
      <c r="L48" s="60"/>
    </row>
    <row r="49" spans="1:12" ht="15" customHeight="1" x14ac:dyDescent="0.2">
      <c r="A49" s="42">
        <v>1</v>
      </c>
      <c r="B49" s="353" t="s">
        <v>69</v>
      </c>
      <c r="C49" s="355"/>
      <c r="D49" s="355"/>
      <c r="E49" s="355"/>
      <c r="F49" s="355"/>
      <c r="G49" s="355"/>
      <c r="H49" s="355"/>
      <c r="I49" s="354"/>
      <c r="J49" s="306">
        <f>ROUND(1*8%*40%*90%,4)</f>
        <v>2.8799999999999999E-2</v>
      </c>
      <c r="K49" s="8"/>
      <c r="L49" s="60"/>
    </row>
    <row r="50" spans="1:12" ht="15" customHeight="1" x14ac:dyDescent="0.2">
      <c r="A50" s="42">
        <v>2</v>
      </c>
      <c r="B50" s="353" t="s">
        <v>70</v>
      </c>
      <c r="C50" s="355"/>
      <c r="D50" s="355"/>
      <c r="E50" s="355"/>
      <c r="F50" s="355"/>
      <c r="G50" s="355"/>
      <c r="H50" s="355"/>
      <c r="I50" s="354"/>
      <c r="J50" s="293">
        <f>ROUND(($J$28+$J$29)*8%*40%*90%,4)</f>
        <v>3.3999999999999998E-3</v>
      </c>
      <c r="K50" s="38"/>
      <c r="L50" s="60"/>
    </row>
    <row r="51" spans="1:12" ht="15" customHeight="1" x14ac:dyDescent="0.2">
      <c r="A51" s="42">
        <v>3</v>
      </c>
      <c r="B51" s="353" t="s">
        <v>71</v>
      </c>
      <c r="C51" s="355"/>
      <c r="D51" s="355"/>
      <c r="E51" s="355"/>
      <c r="F51" s="355"/>
      <c r="G51" s="355"/>
      <c r="H51" s="355"/>
      <c r="I51" s="354"/>
      <c r="J51" s="293">
        <f>ROUND(J28*8%*40%*90%,4)</f>
        <v>2.5999999999999999E-3</v>
      </c>
      <c r="K51" s="8"/>
      <c r="L51" s="60"/>
    </row>
    <row r="52" spans="1:12" ht="15" customHeight="1" x14ac:dyDescent="0.2">
      <c r="A52" s="375" t="s">
        <v>72</v>
      </c>
      <c r="B52" s="376"/>
      <c r="C52" s="376"/>
      <c r="D52" s="376"/>
      <c r="E52" s="376"/>
      <c r="F52" s="376"/>
      <c r="G52" s="376"/>
      <c r="H52" s="376"/>
      <c r="I52" s="377"/>
      <c r="J52" s="43">
        <f>SUM(J49:J51)</f>
        <v>3.4799999999999998E-2</v>
      </c>
      <c r="K52" s="8"/>
    </row>
    <row r="53" spans="1:12" ht="7.15" customHeight="1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8"/>
    </row>
    <row r="54" spans="1:12" ht="15" customHeight="1" x14ac:dyDescent="0.2">
      <c r="A54" s="373" t="s">
        <v>73</v>
      </c>
      <c r="B54" s="373"/>
      <c r="C54" s="373"/>
      <c r="D54" s="373"/>
      <c r="E54" s="373"/>
      <c r="F54" s="373"/>
      <c r="G54" s="373"/>
      <c r="H54" s="373"/>
      <c r="I54" s="373"/>
      <c r="J54" s="373"/>
      <c r="K54" s="8"/>
    </row>
    <row r="55" spans="1:12" ht="13.9" customHeight="1" x14ac:dyDescent="0.2">
      <c r="A55" s="42">
        <v>1</v>
      </c>
      <c r="B55" s="353" t="s">
        <v>74</v>
      </c>
      <c r="C55" s="355"/>
      <c r="D55" s="355"/>
      <c r="E55" s="355"/>
      <c r="F55" s="355"/>
      <c r="G55" s="355"/>
      <c r="H55" s="355"/>
      <c r="I55" s="354"/>
      <c r="J55" s="293">
        <f>J28</f>
        <v>8.9300000000000004E-2</v>
      </c>
      <c r="K55" s="8"/>
      <c r="L55" s="307"/>
    </row>
    <row r="56" spans="1:12" ht="13.9" customHeight="1" x14ac:dyDescent="0.2">
      <c r="A56" s="42">
        <v>2</v>
      </c>
      <c r="B56" s="353" t="s">
        <v>75</v>
      </c>
      <c r="C56" s="355"/>
      <c r="D56" s="355"/>
      <c r="E56" s="355"/>
      <c r="F56" s="355"/>
      <c r="G56" s="355"/>
      <c r="H56" s="355"/>
      <c r="I56" s="354"/>
      <c r="J56" s="293">
        <f>ROUND((5*0.6794/220.2768),4)</f>
        <v>1.54E-2</v>
      </c>
      <c r="K56" s="8"/>
    </row>
    <row r="57" spans="1:12" ht="13.9" customHeight="1" x14ac:dyDescent="0.2">
      <c r="A57" s="42">
        <v>3</v>
      </c>
      <c r="B57" s="353" t="s">
        <v>76</v>
      </c>
      <c r="C57" s="355"/>
      <c r="D57" s="355"/>
      <c r="E57" s="355"/>
      <c r="F57" s="355"/>
      <c r="G57" s="355"/>
      <c r="H57" s="355"/>
      <c r="I57" s="354"/>
      <c r="J57" s="293">
        <f>ROUND((5*0.6794*35.411%*99.9511%*5.5714%)/220.2768,4)</f>
        <v>2.9999999999999997E-4</v>
      </c>
      <c r="K57" s="290"/>
    </row>
    <row r="58" spans="1:12" ht="13.9" customHeight="1" x14ac:dyDescent="0.2">
      <c r="A58" s="42">
        <v>4</v>
      </c>
      <c r="B58" s="353" t="s">
        <v>77</v>
      </c>
      <c r="C58" s="355"/>
      <c r="D58" s="355"/>
      <c r="E58" s="355"/>
      <c r="F58" s="355"/>
      <c r="G58" s="355"/>
      <c r="H58" s="355"/>
      <c r="I58" s="354"/>
      <c r="J58" s="294">
        <v>9.1000000000000004E-3</v>
      </c>
      <c r="K58" s="8"/>
    </row>
    <row r="59" spans="1:12" ht="13.9" customHeight="1" x14ac:dyDescent="0.2">
      <c r="A59" s="42">
        <v>5</v>
      </c>
      <c r="B59" s="353" t="s">
        <v>78</v>
      </c>
      <c r="C59" s="355"/>
      <c r="D59" s="355"/>
      <c r="E59" s="355"/>
      <c r="F59" s="355"/>
      <c r="G59" s="355"/>
      <c r="H59" s="355"/>
      <c r="I59" s="354"/>
      <c r="J59" s="293">
        <f>ROUND((15*0.6794*1.754%)/220.2768,4)</f>
        <v>8.0000000000000004E-4</v>
      </c>
      <c r="K59" s="291"/>
    </row>
    <row r="60" spans="1:12" ht="13.9" customHeight="1" x14ac:dyDescent="0.2">
      <c r="A60" s="42">
        <v>6</v>
      </c>
      <c r="B60" s="353" t="s">
        <v>54</v>
      </c>
      <c r="C60" s="355"/>
      <c r="D60" s="355"/>
      <c r="E60" s="355"/>
      <c r="F60" s="355"/>
      <c r="G60" s="355"/>
      <c r="H60" s="355"/>
      <c r="I60" s="354"/>
      <c r="J60" s="293">
        <f>ROUND(SUM(J55:J59)*$J$25,4)</f>
        <v>3.8800000000000001E-2</v>
      </c>
      <c r="K60" s="8"/>
    </row>
    <row r="61" spans="1:12" ht="15" customHeight="1" x14ac:dyDescent="0.2">
      <c r="A61" s="375" t="s">
        <v>79</v>
      </c>
      <c r="B61" s="376"/>
      <c r="C61" s="376"/>
      <c r="D61" s="376"/>
      <c r="E61" s="376"/>
      <c r="F61" s="376"/>
      <c r="G61" s="376"/>
      <c r="H61" s="376"/>
      <c r="I61" s="377"/>
      <c r="J61" s="43">
        <f>SUM(J55:J60)</f>
        <v>0.1537</v>
      </c>
      <c r="K61" s="8"/>
    </row>
    <row r="62" spans="1:12" ht="7.15" customHeight="1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8"/>
    </row>
    <row r="63" spans="1:12" ht="15" customHeight="1" x14ac:dyDescent="0.2">
      <c r="A63" s="381" t="s">
        <v>80</v>
      </c>
      <c r="B63" s="381"/>
      <c r="C63" s="381"/>
      <c r="D63" s="381"/>
      <c r="E63" s="381"/>
      <c r="F63" s="381"/>
      <c r="G63" s="381"/>
      <c r="H63" s="381"/>
      <c r="I63" s="381"/>
      <c r="J63" s="48">
        <f>J61+J52+J46+J35+J31+J25</f>
        <v>0.74216554163675685</v>
      </c>
      <c r="K63" s="8"/>
    </row>
    <row r="64" spans="1:12" ht="7.15" customHeight="1" x14ac:dyDescent="0.2">
      <c r="A64" s="40"/>
      <c r="B64" s="40"/>
      <c r="C64" s="40"/>
      <c r="D64" s="40"/>
      <c r="E64" s="40"/>
      <c r="F64" s="40"/>
      <c r="G64" s="40"/>
      <c r="H64" s="40"/>
      <c r="I64" s="40"/>
      <c r="J64" s="40"/>
      <c r="K64" s="8"/>
    </row>
    <row r="65" spans="1:14" ht="15" customHeight="1" x14ac:dyDescent="0.2">
      <c r="A65" s="366" t="s">
        <v>81</v>
      </c>
      <c r="B65" s="366"/>
      <c r="C65" s="366"/>
      <c r="D65" s="366"/>
      <c r="E65" s="366"/>
      <c r="F65" s="366"/>
      <c r="G65" s="366"/>
      <c r="H65" s="366"/>
      <c r="I65" s="366"/>
      <c r="J65" s="366"/>
      <c r="K65" s="8"/>
      <c r="L65" s="39"/>
      <c r="N65" s="9"/>
    </row>
    <row r="66" spans="1:14" ht="15" customHeight="1" x14ac:dyDescent="0.2">
      <c r="A66" s="42">
        <v>1</v>
      </c>
      <c r="B66" s="351" t="s">
        <v>71</v>
      </c>
      <c r="C66" s="365"/>
      <c r="D66" s="365"/>
      <c r="E66" s="365"/>
      <c r="F66" s="365"/>
      <c r="G66" s="365"/>
      <c r="H66" s="365"/>
      <c r="I66" s="352"/>
      <c r="J66" s="293">
        <f>J28</f>
        <v>8.9300000000000004E-2</v>
      </c>
      <c r="K66" s="49"/>
      <c r="L66" s="39"/>
      <c r="M66" s="9"/>
      <c r="N66" s="9"/>
    </row>
    <row r="67" spans="1:14" ht="15" customHeight="1" x14ac:dyDescent="0.2">
      <c r="A67" s="42">
        <v>2</v>
      </c>
      <c r="B67" s="351" t="s">
        <v>74</v>
      </c>
      <c r="C67" s="365"/>
      <c r="D67" s="365"/>
      <c r="E67" s="365"/>
      <c r="F67" s="365"/>
      <c r="G67" s="365"/>
      <c r="H67" s="365"/>
      <c r="I67" s="352"/>
      <c r="J67" s="293">
        <f>J55</f>
        <v>8.9300000000000004E-2</v>
      </c>
      <c r="K67" s="49"/>
      <c r="L67" s="39"/>
      <c r="M67" s="9"/>
      <c r="N67" s="9"/>
    </row>
    <row r="68" spans="1:14" ht="15" customHeight="1" x14ac:dyDescent="0.2">
      <c r="A68" s="42">
        <v>3</v>
      </c>
      <c r="B68" s="351" t="s">
        <v>82</v>
      </c>
      <c r="C68" s="365"/>
      <c r="D68" s="365"/>
      <c r="E68" s="365"/>
      <c r="F68" s="365"/>
      <c r="G68" s="365"/>
      <c r="H68" s="365"/>
      <c r="I68" s="352"/>
      <c r="J68" s="293">
        <f>J29</f>
        <v>2.98E-2</v>
      </c>
      <c r="K68" s="49"/>
      <c r="L68" s="39"/>
      <c r="M68" s="9"/>
      <c r="N68" s="9"/>
    </row>
    <row r="69" spans="1:14" ht="15" customHeight="1" x14ac:dyDescent="0.2">
      <c r="A69" s="42">
        <v>4</v>
      </c>
      <c r="B69" s="351" t="s">
        <v>83</v>
      </c>
      <c r="C69" s="365"/>
      <c r="D69" s="365"/>
      <c r="E69" s="365"/>
      <c r="F69" s="365"/>
      <c r="G69" s="365"/>
      <c r="H69" s="365"/>
      <c r="I69" s="50">
        <f>$J$25</f>
        <v>0.33800000000000008</v>
      </c>
      <c r="J69" s="293">
        <f>ROUND(I69*SUM(J66:J68),4)</f>
        <v>7.0400000000000004E-2</v>
      </c>
      <c r="K69" s="49"/>
      <c r="L69" s="39"/>
      <c r="M69" s="9"/>
      <c r="N69" s="9"/>
    </row>
    <row r="70" spans="1:14" ht="15" customHeight="1" x14ac:dyDescent="0.2">
      <c r="A70" s="42">
        <v>5</v>
      </c>
      <c r="B70" s="351" t="s">
        <v>84</v>
      </c>
      <c r="C70" s="365"/>
      <c r="D70" s="365"/>
      <c r="E70" s="365"/>
      <c r="F70" s="365"/>
      <c r="G70" s="365"/>
      <c r="H70" s="365"/>
      <c r="I70" s="352"/>
      <c r="J70" s="293">
        <f>J52</f>
        <v>3.4799999999999998E-2</v>
      </c>
      <c r="K70" s="8"/>
      <c r="L70" s="39"/>
      <c r="N70" s="9"/>
    </row>
    <row r="71" spans="1:14" ht="15" customHeight="1" x14ac:dyDescent="0.2">
      <c r="A71" s="381" t="s">
        <v>85</v>
      </c>
      <c r="B71" s="381"/>
      <c r="C71" s="381"/>
      <c r="D71" s="381"/>
      <c r="E71" s="381"/>
      <c r="F71" s="381"/>
      <c r="G71" s="381"/>
      <c r="H71" s="381"/>
      <c r="I71" s="381"/>
      <c r="J71" s="48">
        <f>ROUND(SUM(J66:J70),4)</f>
        <v>0.31359999999999999</v>
      </c>
      <c r="K71" s="8"/>
      <c r="L71" s="39"/>
      <c r="N71" s="9"/>
    </row>
    <row r="72" spans="1:14" ht="7.15" customHeight="1" x14ac:dyDescent="0.2">
      <c r="A72" s="40"/>
      <c r="B72" s="40"/>
      <c r="C72" s="40"/>
      <c r="D72" s="40"/>
      <c r="E72" s="40"/>
      <c r="F72" s="40"/>
      <c r="G72" s="40"/>
      <c r="H72" s="40"/>
      <c r="I72" s="40"/>
      <c r="J72" s="40"/>
      <c r="K72" s="8"/>
    </row>
    <row r="73" spans="1:14" ht="15" customHeight="1" x14ac:dyDescent="0.2">
      <c r="A73" s="366" t="s">
        <v>86</v>
      </c>
      <c r="B73" s="366"/>
      <c r="C73" s="366"/>
      <c r="D73" s="366"/>
      <c r="E73" s="366"/>
      <c r="F73" s="366"/>
      <c r="G73" s="366"/>
      <c r="H73" s="366"/>
      <c r="I73" s="366"/>
      <c r="J73" s="366"/>
      <c r="M73" s="9"/>
      <c r="N73" s="9"/>
    </row>
    <row r="74" spans="1:14" ht="15" customHeight="1" x14ac:dyDescent="0.2">
      <c r="A74" s="42">
        <v>1</v>
      </c>
      <c r="B74" s="351" t="s">
        <v>87</v>
      </c>
      <c r="C74" s="365"/>
      <c r="D74" s="365"/>
      <c r="E74" s="365"/>
      <c r="F74" s="365"/>
      <c r="G74" s="365"/>
      <c r="H74" s="365"/>
      <c r="I74" s="352"/>
      <c r="J74" s="269">
        <v>21</v>
      </c>
      <c r="K74" s="49"/>
      <c r="L74" s="39"/>
      <c r="M74" s="9"/>
      <c r="N74" s="9"/>
    </row>
    <row r="75" spans="1:14" ht="15" customHeight="1" x14ac:dyDescent="0.2">
      <c r="A75" s="42">
        <v>2</v>
      </c>
      <c r="B75" s="351" t="s">
        <v>88</v>
      </c>
      <c r="C75" s="365"/>
      <c r="D75" s="365"/>
      <c r="E75" s="365"/>
      <c r="F75" s="365"/>
      <c r="G75" s="365"/>
      <c r="H75" s="365"/>
      <c r="I75" s="352"/>
      <c r="J75" s="269">
        <v>25.33</v>
      </c>
      <c r="K75" s="52"/>
      <c r="L75" s="39"/>
      <c r="M75" s="9"/>
      <c r="N75" s="9"/>
    </row>
    <row r="76" spans="1:14" ht="15" customHeight="1" x14ac:dyDescent="0.2">
      <c r="A76" s="42">
        <v>3</v>
      </c>
      <c r="B76" s="351" t="s">
        <v>89</v>
      </c>
      <c r="C76" s="365"/>
      <c r="D76" s="365"/>
      <c r="E76" s="365"/>
      <c r="F76" s="365"/>
      <c r="G76" s="365"/>
      <c r="H76" s="365"/>
      <c r="I76" s="352"/>
      <c r="J76" s="269">
        <v>6</v>
      </c>
      <c r="K76" s="49"/>
      <c r="L76" s="39"/>
      <c r="M76" s="9"/>
      <c r="N76" s="9"/>
    </row>
    <row r="77" spans="1:14" ht="15" customHeight="1" x14ac:dyDescent="0.2">
      <c r="A77" s="42">
        <v>4</v>
      </c>
      <c r="B77" s="351" t="s">
        <v>90</v>
      </c>
      <c r="C77" s="365"/>
      <c r="D77" s="365"/>
      <c r="E77" s="365"/>
      <c r="F77" s="365"/>
      <c r="G77" s="365"/>
      <c r="H77" s="365"/>
      <c r="I77" s="352"/>
      <c r="J77" s="269">
        <v>5</v>
      </c>
      <c r="K77" s="49"/>
      <c r="L77" s="39"/>
      <c r="M77" s="9"/>
      <c r="N77" s="9"/>
    </row>
    <row r="78" spans="1:14" ht="15" customHeight="1" x14ac:dyDescent="0.2">
      <c r="A78" s="42">
        <v>5</v>
      </c>
      <c r="B78" s="351" t="s">
        <v>91</v>
      </c>
      <c r="C78" s="365"/>
      <c r="D78" s="365"/>
      <c r="E78" s="365"/>
      <c r="F78" s="365"/>
      <c r="G78" s="365"/>
      <c r="H78" s="365"/>
      <c r="I78" s="352"/>
      <c r="J78" s="53">
        <v>0.3</v>
      </c>
      <c r="K78" s="49"/>
      <c r="L78" s="39"/>
      <c r="M78" s="9"/>
      <c r="N78" s="9"/>
    </row>
    <row r="79" spans="1:14" ht="15" customHeight="1" x14ac:dyDescent="0.2">
      <c r="A79" s="42">
        <v>6</v>
      </c>
      <c r="B79" s="351" t="s">
        <v>92</v>
      </c>
      <c r="C79" s="365"/>
      <c r="D79" s="365"/>
      <c r="E79" s="365"/>
      <c r="F79" s="365"/>
      <c r="G79" s="365"/>
      <c r="H79" s="365"/>
      <c r="I79" s="352"/>
      <c r="J79" s="143">
        <v>0.2</v>
      </c>
      <c r="K79" s="49"/>
      <c r="L79" s="39"/>
      <c r="M79" s="9"/>
      <c r="N79" s="9"/>
    </row>
    <row r="80" spans="1:14" ht="15" customHeight="1" x14ac:dyDescent="0.2">
      <c r="A80" s="42">
        <v>7</v>
      </c>
      <c r="B80" s="351" t="s">
        <v>93</v>
      </c>
      <c r="C80" s="365"/>
      <c r="D80" s="365"/>
      <c r="E80" s="365"/>
      <c r="F80" s="365"/>
      <c r="G80" s="365"/>
      <c r="H80" s="365"/>
      <c r="I80" s="352"/>
      <c r="J80" s="53">
        <v>0.2</v>
      </c>
      <c r="K80" s="49"/>
      <c r="L80" s="39"/>
      <c r="M80" s="9"/>
      <c r="N80" s="9"/>
    </row>
    <row r="81" spans="1:19" ht="15" customHeight="1" x14ac:dyDescent="0.2">
      <c r="A81" s="42">
        <v>8</v>
      </c>
      <c r="B81" s="351" t="s">
        <v>94</v>
      </c>
      <c r="C81" s="365"/>
      <c r="D81" s="365"/>
      <c r="E81" s="365"/>
      <c r="F81" s="365"/>
      <c r="G81" s="365"/>
      <c r="H81" s="365"/>
      <c r="I81" s="352"/>
      <c r="J81" s="53">
        <v>0.4</v>
      </c>
      <c r="K81" s="49"/>
      <c r="L81" s="39"/>
      <c r="M81" s="9"/>
      <c r="N81" s="9"/>
    </row>
    <row r="82" spans="1:19" ht="15" customHeight="1" x14ac:dyDescent="0.2">
      <c r="A82" s="42">
        <v>9</v>
      </c>
      <c r="B82" s="351" t="s">
        <v>95</v>
      </c>
      <c r="C82" s="365"/>
      <c r="D82" s="365"/>
      <c r="E82" s="365"/>
      <c r="F82" s="365"/>
      <c r="G82" s="365"/>
      <c r="H82" s="365"/>
      <c r="I82" s="352"/>
      <c r="J82" s="53">
        <v>0.2</v>
      </c>
      <c r="K82" s="49"/>
      <c r="L82" s="39"/>
      <c r="M82" s="9"/>
      <c r="N82" s="9"/>
    </row>
    <row r="83" spans="1:19" ht="15" customHeight="1" x14ac:dyDescent="0.2">
      <c r="A83" s="42">
        <v>10</v>
      </c>
      <c r="B83" s="351" t="s">
        <v>96</v>
      </c>
      <c r="C83" s="365"/>
      <c r="D83" s="365"/>
      <c r="E83" s="365"/>
      <c r="F83" s="365"/>
      <c r="G83" s="365"/>
      <c r="H83" s="365"/>
      <c r="I83" s="352"/>
      <c r="J83" s="269">
        <v>1518</v>
      </c>
      <c r="K83" s="255"/>
      <c r="L83" s="257"/>
      <c r="M83" s="9"/>
      <c r="N83" s="9"/>
    </row>
    <row r="84" spans="1:19" ht="15" hidden="1" customHeight="1" x14ac:dyDescent="0.2">
      <c r="A84" s="42">
        <v>12</v>
      </c>
      <c r="B84" s="351"/>
      <c r="C84" s="365"/>
      <c r="D84" s="365"/>
      <c r="E84" s="365"/>
      <c r="F84" s="365"/>
      <c r="G84" s="365"/>
      <c r="H84" s="365"/>
      <c r="I84" s="352"/>
      <c r="J84" s="51"/>
      <c r="K84" s="49"/>
      <c r="L84" s="39"/>
      <c r="M84" s="9"/>
      <c r="N84" s="9"/>
    </row>
    <row r="85" spans="1:19" ht="15" hidden="1" customHeight="1" x14ac:dyDescent="0.2">
      <c r="A85" s="42">
        <v>13</v>
      </c>
      <c r="B85" s="351"/>
      <c r="C85" s="365"/>
      <c r="D85" s="365"/>
      <c r="E85" s="365"/>
      <c r="F85" s="365"/>
      <c r="G85" s="365"/>
      <c r="H85" s="365"/>
      <c r="I85" s="352"/>
      <c r="J85" s="51"/>
      <c r="K85" s="49"/>
      <c r="L85" s="39"/>
      <c r="M85" s="9"/>
      <c r="N85" s="9"/>
    </row>
    <row r="86" spans="1:19" ht="15" hidden="1" customHeight="1" x14ac:dyDescent="0.2">
      <c r="A86" s="42">
        <v>14</v>
      </c>
      <c r="B86" s="351"/>
      <c r="C86" s="365"/>
      <c r="D86" s="365"/>
      <c r="E86" s="365"/>
      <c r="F86" s="365"/>
      <c r="G86" s="365"/>
      <c r="H86" s="365"/>
      <c r="I86" s="352"/>
      <c r="J86" s="51"/>
      <c r="K86" s="49"/>
      <c r="L86" s="39"/>
      <c r="M86" s="9"/>
      <c r="N86" s="9"/>
    </row>
    <row r="87" spans="1:19" ht="15" hidden="1" customHeight="1" x14ac:dyDescent="0.2">
      <c r="A87" s="42">
        <v>15</v>
      </c>
      <c r="B87" s="351"/>
      <c r="C87" s="365"/>
      <c r="D87" s="365"/>
      <c r="E87" s="365"/>
      <c r="F87" s="365"/>
      <c r="G87" s="365"/>
      <c r="H87" s="365"/>
      <c r="I87" s="352"/>
      <c r="J87" s="51"/>
      <c r="K87" s="49"/>
      <c r="L87" s="39"/>
      <c r="M87" s="9"/>
      <c r="N87" s="9"/>
    </row>
    <row r="88" spans="1:19" ht="7.15" customHeight="1" x14ac:dyDescent="0.2">
      <c r="A88" s="40"/>
      <c r="B88" s="40"/>
      <c r="C88" s="40"/>
      <c r="D88" s="40"/>
      <c r="E88" s="40"/>
      <c r="F88" s="40"/>
      <c r="G88" s="40"/>
      <c r="H88" s="40"/>
      <c r="I88" s="40"/>
      <c r="J88" s="40"/>
      <c r="K88" s="8"/>
    </row>
    <row r="89" spans="1:19" ht="14.45" customHeight="1" x14ac:dyDescent="0.2">
      <c r="A89" s="187" t="s">
        <v>97</v>
      </c>
      <c r="B89" s="340" t="s">
        <v>98</v>
      </c>
      <c r="C89" s="341"/>
      <c r="D89" s="341"/>
      <c r="E89" s="341"/>
      <c r="F89" s="341"/>
      <c r="G89" s="341"/>
      <c r="H89" s="341"/>
      <c r="I89" s="341"/>
      <c r="J89" s="342"/>
      <c r="K89" s="8"/>
    </row>
    <row r="90" spans="1:19" ht="12" x14ac:dyDescent="0.2">
      <c r="A90" s="64">
        <v>690020</v>
      </c>
      <c r="B90" s="351" t="s">
        <v>99</v>
      </c>
      <c r="C90" s="365"/>
      <c r="D90" s="365"/>
      <c r="E90" s="365"/>
      <c r="F90" s="365"/>
      <c r="G90" s="365"/>
      <c r="H90" s="365"/>
      <c r="I90" s="352"/>
      <c r="J90" s="69"/>
      <c r="K90" s="271"/>
      <c r="L90" s="62"/>
      <c r="N90" s="249"/>
    </row>
    <row r="91" spans="1:19" ht="12" x14ac:dyDescent="0.2">
      <c r="A91" s="64">
        <v>690021</v>
      </c>
      <c r="B91" s="351" t="s">
        <v>100</v>
      </c>
      <c r="C91" s="365"/>
      <c r="D91" s="365"/>
      <c r="E91" s="365"/>
      <c r="F91" s="365"/>
      <c r="G91" s="365"/>
      <c r="H91" s="365"/>
      <c r="I91" s="352"/>
      <c r="J91" s="69"/>
      <c r="K91" s="38"/>
      <c r="L91" s="62"/>
      <c r="M91" s="244"/>
      <c r="N91" s="45"/>
      <c r="P91" s="248"/>
    </row>
    <row r="92" spans="1:19" ht="12" x14ac:dyDescent="0.2">
      <c r="A92" s="64">
        <v>690029</v>
      </c>
      <c r="B92" s="351" t="s">
        <v>101</v>
      </c>
      <c r="C92" s="365"/>
      <c r="D92" s="365"/>
      <c r="E92" s="365"/>
      <c r="F92" s="365"/>
      <c r="G92" s="365"/>
      <c r="H92" s="365"/>
      <c r="I92" s="352"/>
      <c r="J92" s="69"/>
      <c r="K92" s="38"/>
      <c r="L92" s="62"/>
      <c r="M92" s="244"/>
      <c r="N92" s="45"/>
      <c r="P92" s="248"/>
    </row>
    <row r="93" spans="1:19" ht="7.15" customHeight="1" x14ac:dyDescent="0.2">
      <c r="A93" s="40"/>
      <c r="B93" s="40"/>
      <c r="C93" s="40"/>
      <c r="D93" s="40"/>
      <c r="E93" s="40"/>
      <c r="F93" s="40"/>
      <c r="G93" s="40"/>
      <c r="H93" s="40"/>
      <c r="I93" s="40"/>
      <c r="J93" s="40"/>
      <c r="K93" s="8"/>
    </row>
    <row r="94" spans="1:19" ht="15" customHeight="1" x14ac:dyDescent="0.2">
      <c r="A94" s="366" t="s">
        <v>102</v>
      </c>
      <c r="B94" s="366"/>
      <c r="C94" s="366"/>
      <c r="D94" s="366"/>
      <c r="E94" s="366"/>
      <c r="F94" s="366"/>
      <c r="G94" s="366"/>
      <c r="H94" s="366"/>
      <c r="I94" s="366"/>
      <c r="J94" s="366"/>
      <c r="M94" s="9"/>
      <c r="N94" s="9"/>
    </row>
    <row r="95" spans="1:19" s="68" customFormat="1" ht="26.25" customHeight="1" x14ac:dyDescent="0.2">
      <c r="A95" s="245" t="s">
        <v>103</v>
      </c>
      <c r="B95" s="374" t="s">
        <v>104</v>
      </c>
      <c r="C95" s="374"/>
      <c r="D95" s="374"/>
      <c r="E95" s="374"/>
      <c r="F95" s="66" t="s">
        <v>105</v>
      </c>
      <c r="G95" s="66" t="s">
        <v>106</v>
      </c>
      <c r="H95" s="66" t="s">
        <v>107</v>
      </c>
      <c r="I95" s="66" t="s">
        <v>108</v>
      </c>
      <c r="J95" s="66" t="s">
        <v>109</v>
      </c>
      <c r="K95" s="67"/>
    </row>
    <row r="96" spans="1:19" ht="15" customHeight="1" x14ac:dyDescent="0.2">
      <c r="A96" s="42">
        <v>1</v>
      </c>
      <c r="B96" s="351" t="s">
        <v>110</v>
      </c>
      <c r="C96" s="365"/>
      <c r="D96" s="365"/>
      <c r="E96" s="352"/>
      <c r="F96" s="69"/>
      <c r="G96" s="176">
        <v>0</v>
      </c>
      <c r="H96" s="176">
        <f>ROUND((6*$J$74)*(F96/220)*'Indicadores Financeiros'!$J$79,2)+ROUND((6*$J$74)*(F96/220)*((60/52.5)-1)*(1+'Indicadores Financeiros'!$J$79),2)</f>
        <v>0</v>
      </c>
      <c r="I96" s="176">
        <v>0</v>
      </c>
      <c r="J96" s="176">
        <f>ROUND($F96*$J$82,2)</f>
        <v>0</v>
      </c>
      <c r="K96" s="250"/>
      <c r="L96" s="251"/>
      <c r="M96" s="244"/>
      <c r="N96" s="9"/>
      <c r="P96" s="62"/>
      <c r="R96" s="62"/>
      <c r="S96" s="62"/>
    </row>
    <row r="97" spans="1:19" ht="15" customHeight="1" x14ac:dyDescent="0.2">
      <c r="A97" s="42">
        <v>2</v>
      </c>
      <c r="B97" s="351" t="s">
        <v>111</v>
      </c>
      <c r="C97" s="365"/>
      <c r="D97" s="365"/>
      <c r="E97" s="352"/>
      <c r="F97" s="69"/>
      <c r="G97" s="176">
        <v>0</v>
      </c>
      <c r="H97" s="176">
        <v>0</v>
      </c>
      <c r="I97" s="176">
        <v>0</v>
      </c>
      <c r="J97" s="176">
        <f>ROUND($F97*$J$82,2)</f>
        <v>0</v>
      </c>
      <c r="K97" s="250"/>
      <c r="L97" s="39"/>
      <c r="N97" s="9"/>
    </row>
    <row r="98" spans="1:19" ht="15" customHeight="1" x14ac:dyDescent="0.2">
      <c r="A98" s="42">
        <v>3</v>
      </c>
      <c r="B98" s="351" t="s">
        <v>112</v>
      </c>
      <c r="C98" s="365"/>
      <c r="D98" s="365"/>
      <c r="E98" s="352"/>
      <c r="F98" s="69"/>
      <c r="G98" s="176">
        <v>0</v>
      </c>
      <c r="H98" s="176">
        <v>0</v>
      </c>
      <c r="I98" s="176">
        <f>IF(F98=0,0,ROUND($J$83*$J$80,2))</f>
        <v>0</v>
      </c>
      <c r="J98" s="176">
        <v>0</v>
      </c>
      <c r="K98" s="250"/>
      <c r="L98" s="39"/>
      <c r="N98" s="9"/>
    </row>
    <row r="99" spans="1:19" ht="15" customHeight="1" x14ac:dyDescent="0.2">
      <c r="A99" s="42">
        <v>4</v>
      </c>
      <c r="B99" s="351" t="s">
        <v>113</v>
      </c>
      <c r="C99" s="365"/>
      <c r="D99" s="365"/>
      <c r="E99" s="352"/>
      <c r="F99" s="69"/>
      <c r="G99" s="176">
        <v>0</v>
      </c>
      <c r="H99" s="176">
        <f>ROUND((6*$J$74)*((F99+I99)/220)*'Indicadores Financeiros'!$J$79,2)+ROUND((6*$J$74)*((F99+I99)/220)*((60/52.5)-1)*(1+'Indicadores Financeiros'!$J$79),2)</f>
        <v>0</v>
      </c>
      <c r="I99" s="176">
        <f>IF(F99=0,0,ROUND($J$83*$J$81,2))</f>
        <v>0</v>
      </c>
      <c r="J99" s="243">
        <v>0</v>
      </c>
      <c r="K99" s="250"/>
      <c r="L99" s="244"/>
      <c r="M99" s="244"/>
      <c r="N99" s="9"/>
      <c r="P99" s="62"/>
      <c r="R99" s="62"/>
      <c r="S99" s="62"/>
    </row>
    <row r="100" spans="1:19" ht="15" customHeight="1" x14ac:dyDescent="0.2">
      <c r="A100" s="42">
        <v>7</v>
      </c>
      <c r="B100" s="351" t="s">
        <v>114</v>
      </c>
      <c r="C100" s="365"/>
      <c r="D100" s="365"/>
      <c r="E100" s="352"/>
      <c r="F100" s="69"/>
      <c r="G100" s="176">
        <v>0</v>
      </c>
      <c r="H100" s="176">
        <f>ROUND((6*$J$74)*(F100/220)*'Indicadores Financeiros'!$J$79,2)+ROUND((6*$J$74)*(F100/220)*((60/52.5)-1)*(1+'Indicadores Financeiros'!$J$79),2)</f>
        <v>0</v>
      </c>
      <c r="I100" s="176">
        <v>0</v>
      </c>
      <c r="J100" s="176">
        <v>0</v>
      </c>
      <c r="K100" s="250"/>
      <c r="L100" s="244"/>
      <c r="M100" s="244"/>
      <c r="N100" s="9"/>
      <c r="P100" s="62"/>
      <c r="R100" s="62"/>
      <c r="S100" s="62"/>
    </row>
    <row r="101" spans="1:19" ht="6.75" customHeight="1" x14ac:dyDescent="0.2">
      <c r="A101" s="9"/>
      <c r="B101" s="19"/>
      <c r="C101" s="19"/>
      <c r="D101" s="19"/>
      <c r="E101" s="19"/>
      <c r="F101" s="19"/>
      <c r="G101" s="19"/>
      <c r="H101" s="19"/>
      <c r="I101" s="19"/>
      <c r="J101" s="19"/>
      <c r="K101" s="49"/>
      <c r="L101" s="39"/>
      <c r="M101" s="9"/>
      <c r="N101" s="9"/>
    </row>
    <row r="102" spans="1:19" ht="15" customHeight="1" x14ac:dyDescent="0.2">
      <c r="A102" s="364" t="s">
        <v>115</v>
      </c>
      <c r="B102" s="364"/>
      <c r="C102" s="364"/>
      <c r="D102" s="364"/>
      <c r="E102" s="364"/>
      <c r="F102" s="364"/>
      <c r="G102" s="364"/>
      <c r="H102" s="364"/>
      <c r="I102" s="364"/>
      <c r="J102" s="364"/>
      <c r="K102" s="8"/>
      <c r="M102" s="9"/>
      <c r="N102" s="9"/>
    </row>
    <row r="103" spans="1:19" ht="15" customHeight="1" x14ac:dyDescent="0.2">
      <c r="A103" s="364"/>
      <c r="B103" s="364"/>
      <c r="C103" s="364"/>
      <c r="D103" s="364" t="s">
        <v>116</v>
      </c>
      <c r="E103" s="367" t="s">
        <v>117</v>
      </c>
      <c r="F103" s="368"/>
      <c r="G103" s="369"/>
      <c r="H103" s="370" t="s">
        <v>118</v>
      </c>
      <c r="I103" s="371"/>
      <c r="J103" s="372"/>
      <c r="K103" s="8"/>
      <c r="M103" s="9"/>
      <c r="N103" s="9"/>
    </row>
    <row r="104" spans="1:19" s="68" customFormat="1" ht="24" x14ac:dyDescent="0.2">
      <c r="A104" s="364"/>
      <c r="B104" s="364"/>
      <c r="C104" s="364"/>
      <c r="D104" s="364"/>
      <c r="E104" s="66" t="s">
        <v>119</v>
      </c>
      <c r="F104" s="66" t="s">
        <v>120</v>
      </c>
      <c r="G104" s="66" t="s">
        <v>121</v>
      </c>
      <c r="H104" s="66" t="s">
        <v>119</v>
      </c>
      <c r="I104" s="66" t="s">
        <v>120</v>
      </c>
      <c r="J104" s="66" t="s">
        <v>121</v>
      </c>
      <c r="K104" s="67"/>
    </row>
    <row r="105" spans="1:19" ht="13.9" customHeight="1" x14ac:dyDescent="0.2">
      <c r="A105" s="42">
        <v>1</v>
      </c>
      <c r="B105" s="351" t="s">
        <v>122</v>
      </c>
      <c r="C105" s="352"/>
      <c r="D105" s="56" t="s">
        <v>123</v>
      </c>
      <c r="E105" s="69"/>
      <c r="F105" s="69"/>
      <c r="G105" s="51">
        <f t="shared" ref="G105:G113" si="0">ROUND(E105-F105,2)</f>
        <v>0</v>
      </c>
      <c r="H105" s="69"/>
      <c r="I105" s="69"/>
      <c r="J105" s="51">
        <f t="shared" ref="J105:J113" si="1">ROUND(H105-I105,2)</f>
        <v>0</v>
      </c>
      <c r="K105" s="8"/>
      <c r="M105" s="9"/>
      <c r="N105" s="9"/>
    </row>
    <row r="106" spans="1:19" ht="13.9" customHeight="1" x14ac:dyDescent="0.2">
      <c r="A106" s="42">
        <v>2</v>
      </c>
      <c r="B106" s="351" t="s">
        <v>124</v>
      </c>
      <c r="C106" s="352"/>
      <c r="D106" s="56" t="s">
        <v>123</v>
      </c>
      <c r="E106" s="69"/>
      <c r="F106" s="51"/>
      <c r="G106" s="51">
        <f t="shared" si="0"/>
        <v>0</v>
      </c>
      <c r="H106" s="69"/>
      <c r="I106" s="51"/>
      <c r="J106" s="51">
        <f t="shared" si="1"/>
        <v>0</v>
      </c>
      <c r="K106" s="8"/>
      <c r="M106" s="9"/>
      <c r="N106" s="9"/>
    </row>
    <row r="107" spans="1:19" ht="13.9" customHeight="1" x14ac:dyDescent="0.2">
      <c r="A107" s="42">
        <v>3</v>
      </c>
      <c r="B107" s="351" t="s">
        <v>125</v>
      </c>
      <c r="C107" s="352"/>
      <c r="D107" s="56" t="s">
        <v>123</v>
      </c>
      <c r="E107" s="69"/>
      <c r="F107" s="51"/>
      <c r="G107" s="51">
        <f t="shared" si="0"/>
        <v>0</v>
      </c>
      <c r="H107" s="69"/>
      <c r="I107" s="51"/>
      <c r="J107" s="51">
        <f t="shared" si="1"/>
        <v>0</v>
      </c>
      <c r="K107" s="8"/>
      <c r="M107" s="9"/>
      <c r="N107" s="9"/>
    </row>
    <row r="108" spans="1:19" ht="13.9" customHeight="1" x14ac:dyDescent="0.2">
      <c r="A108" s="42">
        <v>4</v>
      </c>
      <c r="B108" s="351" t="s">
        <v>126</v>
      </c>
      <c r="C108" s="352"/>
      <c r="D108" s="56" t="s">
        <v>123</v>
      </c>
      <c r="E108" s="69"/>
      <c r="F108" s="51"/>
      <c r="G108" s="51">
        <f t="shared" si="0"/>
        <v>0</v>
      </c>
      <c r="H108" s="69"/>
      <c r="I108" s="51"/>
      <c r="J108" s="51">
        <f t="shared" si="1"/>
        <v>0</v>
      </c>
      <c r="K108" s="8"/>
      <c r="M108" s="9"/>
      <c r="N108" s="9"/>
    </row>
    <row r="109" spans="1:19" ht="13.9" customHeight="1" x14ac:dyDescent="0.2">
      <c r="A109" s="42">
        <v>5</v>
      </c>
      <c r="B109" s="351" t="s">
        <v>127</v>
      </c>
      <c r="C109" s="352"/>
      <c r="D109" s="56" t="s">
        <v>123</v>
      </c>
      <c r="E109" s="69"/>
      <c r="F109" s="69"/>
      <c r="G109" s="51">
        <f t="shared" si="0"/>
        <v>0</v>
      </c>
      <c r="H109" s="69"/>
      <c r="I109" s="69"/>
      <c r="J109" s="51">
        <f t="shared" si="1"/>
        <v>0</v>
      </c>
      <c r="K109" s="8"/>
      <c r="M109" s="9"/>
      <c r="N109" s="9"/>
    </row>
    <row r="110" spans="1:19" ht="13.9" customHeight="1" x14ac:dyDescent="0.2">
      <c r="A110" s="42">
        <v>6</v>
      </c>
      <c r="B110" s="353" t="s">
        <v>128</v>
      </c>
      <c r="C110" s="354"/>
      <c r="D110" s="56" t="s">
        <v>123</v>
      </c>
      <c r="E110" s="69"/>
      <c r="F110" s="51"/>
      <c r="G110" s="51">
        <f t="shared" si="0"/>
        <v>0</v>
      </c>
      <c r="H110" s="69"/>
      <c r="I110" s="51"/>
      <c r="J110" s="51">
        <f t="shared" si="1"/>
        <v>0</v>
      </c>
      <c r="K110" s="8"/>
      <c r="M110" s="9"/>
      <c r="N110" s="9"/>
    </row>
    <row r="111" spans="1:19" ht="13.9" customHeight="1" x14ac:dyDescent="0.2">
      <c r="A111" s="42">
        <v>7</v>
      </c>
      <c r="B111" s="351" t="s">
        <v>129</v>
      </c>
      <c r="C111" s="352"/>
      <c r="D111" s="56" t="s">
        <v>123</v>
      </c>
      <c r="E111" s="69"/>
      <c r="F111" s="51"/>
      <c r="G111" s="51">
        <f t="shared" si="0"/>
        <v>0</v>
      </c>
      <c r="H111" s="69"/>
      <c r="I111" s="51"/>
      <c r="J111" s="51">
        <f t="shared" si="1"/>
        <v>0</v>
      </c>
      <c r="K111" s="8"/>
      <c r="M111" s="9"/>
      <c r="N111" s="9"/>
    </row>
    <row r="112" spans="1:19" ht="13.9" customHeight="1" x14ac:dyDescent="0.2">
      <c r="A112" s="42">
        <v>8</v>
      </c>
      <c r="B112" s="351" t="s">
        <v>130</v>
      </c>
      <c r="C112" s="352"/>
      <c r="D112" s="56" t="s">
        <v>123</v>
      </c>
      <c r="E112" s="69"/>
      <c r="F112" s="51"/>
      <c r="G112" s="51">
        <f t="shared" si="0"/>
        <v>0</v>
      </c>
      <c r="H112" s="69"/>
      <c r="I112" s="51"/>
      <c r="J112" s="51">
        <f t="shared" si="1"/>
        <v>0</v>
      </c>
      <c r="K112" s="8"/>
      <c r="L112" s="62"/>
      <c r="M112" s="9"/>
      <c r="N112" s="9"/>
    </row>
    <row r="113" spans="1:18" ht="13.9" customHeight="1" x14ac:dyDescent="0.2">
      <c r="A113" s="42">
        <v>9</v>
      </c>
      <c r="B113" s="351" t="s">
        <v>131</v>
      </c>
      <c r="C113" s="352"/>
      <c r="D113" s="56" t="s">
        <v>132</v>
      </c>
      <c r="E113" s="69"/>
      <c r="F113" s="69"/>
      <c r="G113" s="51">
        <f t="shared" si="0"/>
        <v>0</v>
      </c>
      <c r="H113" s="69"/>
      <c r="I113" s="69"/>
      <c r="J113" s="51">
        <f t="shared" si="1"/>
        <v>0</v>
      </c>
      <c r="K113" s="270"/>
      <c r="L113" s="38"/>
      <c r="M113" s="9"/>
      <c r="N113" s="9"/>
    </row>
    <row r="114" spans="1:18" ht="22.5" customHeight="1" x14ac:dyDescent="0.2">
      <c r="A114" s="42">
        <v>10</v>
      </c>
      <c r="B114" s="356" t="s">
        <v>133</v>
      </c>
      <c r="C114" s="357"/>
      <c r="D114" s="56" t="s">
        <v>132</v>
      </c>
      <c r="E114" s="69"/>
      <c r="F114" s="51"/>
      <c r="G114" s="51">
        <f t="shared" ref="G114:G115" si="2">ROUND(E114-F114,2)</f>
        <v>0</v>
      </c>
      <c r="H114" s="69"/>
      <c r="I114" s="51"/>
      <c r="J114" s="51">
        <f t="shared" ref="J114:J115" si="3">ROUND(H114-I114,2)</f>
        <v>0</v>
      </c>
      <c r="K114" s="38"/>
      <c r="L114" s="62"/>
      <c r="M114" s="9"/>
      <c r="N114" s="9"/>
    </row>
    <row r="115" spans="1:18" ht="25.5" customHeight="1" x14ac:dyDescent="0.2">
      <c r="A115" s="42">
        <v>11</v>
      </c>
      <c r="B115" s="356" t="s">
        <v>134</v>
      </c>
      <c r="C115" s="357"/>
      <c r="D115" s="56" t="s">
        <v>123</v>
      </c>
      <c r="E115" s="69"/>
      <c r="F115" s="51"/>
      <c r="G115" s="51">
        <f t="shared" si="2"/>
        <v>0</v>
      </c>
      <c r="H115" s="69"/>
      <c r="I115" s="51"/>
      <c r="J115" s="51">
        <f t="shared" si="3"/>
        <v>0</v>
      </c>
      <c r="K115" s="38"/>
      <c r="L115" s="62"/>
      <c r="M115" s="9"/>
      <c r="N115" s="9"/>
    </row>
    <row r="116" spans="1:18" ht="12" x14ac:dyDescent="0.2">
      <c r="A116" s="365" t="s">
        <v>135</v>
      </c>
      <c r="B116" s="365"/>
      <c r="C116" s="365"/>
      <c r="D116" s="365"/>
      <c r="E116" s="365"/>
      <c r="F116" s="365"/>
      <c r="G116" s="365"/>
      <c r="H116" s="365"/>
      <c r="I116" s="365"/>
      <c r="J116" s="365"/>
      <c r="K116" s="8"/>
    </row>
    <row r="117" spans="1:18" ht="12" x14ac:dyDescent="0.2">
      <c r="A117" s="366" t="s">
        <v>136</v>
      </c>
      <c r="B117" s="366"/>
      <c r="C117" s="366"/>
      <c r="D117" s="366"/>
      <c r="E117" s="366"/>
      <c r="F117" s="366"/>
      <c r="G117" s="366"/>
      <c r="H117" s="366"/>
      <c r="I117" s="366"/>
      <c r="J117" s="366"/>
      <c r="K117" s="8"/>
    </row>
    <row r="118" spans="1:18" ht="25.9" customHeight="1" x14ac:dyDescent="0.2">
      <c r="A118" s="41" t="s">
        <v>103</v>
      </c>
      <c r="B118" s="388" t="s">
        <v>104</v>
      </c>
      <c r="C118" s="389"/>
      <c r="D118" s="389"/>
      <c r="E118" s="389"/>
      <c r="F118" s="389"/>
      <c r="G118" s="389"/>
      <c r="H118" s="390"/>
      <c r="I118" s="66" t="s">
        <v>137</v>
      </c>
      <c r="J118" s="66" t="s">
        <v>138</v>
      </c>
      <c r="K118" s="8"/>
    </row>
    <row r="119" spans="1:18" ht="12" x14ac:dyDescent="0.2">
      <c r="A119" s="42">
        <v>1</v>
      </c>
      <c r="B119" s="351" t="s">
        <v>110</v>
      </c>
      <c r="C119" s="365"/>
      <c r="D119" s="365"/>
      <c r="E119" s="365"/>
      <c r="F119" s="365"/>
      <c r="G119" s="365"/>
      <c r="H119" s="352"/>
      <c r="I119" s="69"/>
      <c r="J119" s="71">
        <v>0.12</v>
      </c>
      <c r="K119" s="256"/>
      <c r="R119" s="62"/>
    </row>
    <row r="120" spans="1:18" ht="12" x14ac:dyDescent="0.2">
      <c r="A120" s="42">
        <v>2</v>
      </c>
      <c r="B120" s="351" t="s">
        <v>111</v>
      </c>
      <c r="C120" s="365"/>
      <c r="D120" s="365"/>
      <c r="E120" s="365"/>
      <c r="F120" s="365"/>
      <c r="G120" s="365"/>
      <c r="H120" s="352"/>
      <c r="I120" s="69"/>
      <c r="J120" s="71">
        <v>0.12</v>
      </c>
      <c r="K120" s="256"/>
      <c r="R120" s="62"/>
    </row>
    <row r="121" spans="1:18" ht="12" x14ac:dyDescent="0.2">
      <c r="A121" s="42">
        <v>3</v>
      </c>
      <c r="B121" s="351" t="s">
        <v>112</v>
      </c>
      <c r="C121" s="365"/>
      <c r="D121" s="365"/>
      <c r="E121" s="365"/>
      <c r="F121" s="365"/>
      <c r="G121" s="365"/>
      <c r="H121" s="352"/>
      <c r="I121" s="69"/>
      <c r="J121" s="71">
        <v>0.12</v>
      </c>
      <c r="K121" s="256"/>
      <c r="R121" s="62"/>
    </row>
    <row r="122" spans="1:18" ht="12" x14ac:dyDescent="0.2">
      <c r="A122" s="42">
        <v>4</v>
      </c>
      <c r="B122" s="351" t="s">
        <v>113</v>
      </c>
      <c r="C122" s="365"/>
      <c r="D122" s="365"/>
      <c r="E122" s="365"/>
      <c r="F122" s="365"/>
      <c r="G122" s="365"/>
      <c r="H122" s="352"/>
      <c r="I122" s="69"/>
      <c r="J122" s="71">
        <v>0.12</v>
      </c>
      <c r="K122" s="256"/>
      <c r="R122" s="62"/>
    </row>
    <row r="123" spans="1:18" ht="12" x14ac:dyDescent="0.2">
      <c r="A123" s="42">
        <v>7</v>
      </c>
      <c r="B123" s="351" t="s">
        <v>114</v>
      </c>
      <c r="C123" s="365"/>
      <c r="D123" s="365"/>
      <c r="E123" s="365"/>
      <c r="F123" s="365"/>
      <c r="G123" s="365"/>
      <c r="H123" s="352"/>
      <c r="I123" s="69"/>
      <c r="J123" s="71">
        <v>0.12</v>
      </c>
      <c r="K123" s="256"/>
      <c r="R123" s="62"/>
    </row>
    <row r="124" spans="1:18" ht="12" x14ac:dyDescent="0.2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8"/>
    </row>
    <row r="125" spans="1:18" ht="12" x14ac:dyDescent="0.2">
      <c r="A125" s="380" t="s">
        <v>139</v>
      </c>
      <c r="B125" s="380"/>
      <c r="C125" s="380"/>
      <c r="D125" s="380"/>
      <c r="E125" s="380"/>
      <c r="F125" s="380"/>
      <c r="G125" s="380"/>
      <c r="H125" s="380"/>
      <c r="I125" s="380"/>
      <c r="J125" s="380"/>
      <c r="K125" s="49"/>
      <c r="M125" s="9"/>
      <c r="N125" s="9"/>
    </row>
    <row r="126" spans="1:18" ht="34.5" customHeight="1" x14ac:dyDescent="0.2">
      <c r="A126" s="5" t="s">
        <v>140</v>
      </c>
      <c r="B126" s="313" t="s">
        <v>141</v>
      </c>
      <c r="C126" s="382" t="s">
        <v>142</v>
      </c>
      <c r="D126" s="383"/>
      <c r="E126" s="383"/>
      <c r="F126" s="384"/>
      <c r="G126" s="5" t="s">
        <v>143</v>
      </c>
      <c r="H126" s="5" t="s">
        <v>144</v>
      </c>
      <c r="I126" s="5" t="s">
        <v>145</v>
      </c>
      <c r="J126" s="5" t="s">
        <v>146</v>
      </c>
      <c r="K126" s="49"/>
      <c r="M126" s="9"/>
      <c r="N126" s="9"/>
    </row>
    <row r="127" spans="1:18" s="321" customFormat="1" ht="12" customHeight="1" x14ac:dyDescent="0.2">
      <c r="A127" s="4">
        <v>1</v>
      </c>
      <c r="B127" s="4">
        <v>316</v>
      </c>
      <c r="C127" s="385" t="str">
        <f>IF(B127=0,"-",VLOOKUP($B127,BIP!A:F,6,FALSE))</f>
        <v>São Paulo - Fórum Fazenda Pública - Hely Lopes Meirelles</v>
      </c>
      <c r="D127" s="386"/>
      <c r="E127" s="386"/>
      <c r="F127" s="387"/>
      <c r="G127" s="317">
        <v>0.02</v>
      </c>
      <c r="H127" s="318">
        <f>IF(B127=0,"-",ROUND((1+$F$9)*(1+$F$10)/(1-$F$12-$F$11-$G127-$F$13)-1,4))</f>
        <v>2.0400000000000001E-2</v>
      </c>
      <c r="I127" s="319"/>
      <c r="J127" s="35">
        <v>1</v>
      </c>
      <c r="K127" s="320"/>
    </row>
    <row r="128" spans="1:18" s="321" customFormat="1" ht="12" customHeight="1" x14ac:dyDescent="0.2">
      <c r="A128" s="4">
        <v>2</v>
      </c>
      <c r="B128" s="4">
        <v>339</v>
      </c>
      <c r="C128" s="385" t="str">
        <f>IF(B128=0,"-",VLOOKUP($B128,BIP!A:F,6,FALSE))</f>
        <v>São Paulo - Consolação EPM</v>
      </c>
      <c r="D128" s="386"/>
      <c r="E128" s="386"/>
      <c r="F128" s="387"/>
      <c r="G128" s="317">
        <v>0.02</v>
      </c>
      <c r="H128" s="318">
        <f t="shared" ref="H128:H131" si="4">IF(B128=0,"-",ROUND((1+$F$9)*(1+$F$10)/(1-$F$12-$F$11-$G128-$F$13)-1,4))</f>
        <v>2.0400000000000001E-2</v>
      </c>
      <c r="I128" s="319"/>
      <c r="J128" s="35">
        <v>1</v>
      </c>
      <c r="K128" s="320"/>
    </row>
    <row r="129" spans="1:11" s="321" customFormat="1" ht="12" customHeight="1" x14ac:dyDescent="0.2">
      <c r="A129" s="4">
        <v>3</v>
      </c>
      <c r="B129" s="4">
        <v>629</v>
      </c>
      <c r="C129" s="385" t="str">
        <f>IF(B129=0,"-",VLOOKUP($B129,BIP!A:F,6,FALSE))</f>
        <v>São Paulo - JEC / JECRIM I - Central</v>
      </c>
      <c r="D129" s="386"/>
      <c r="E129" s="386"/>
      <c r="F129" s="387"/>
      <c r="G129" s="317">
        <v>0.02</v>
      </c>
      <c r="H129" s="318">
        <f t="shared" si="4"/>
        <v>2.0400000000000001E-2</v>
      </c>
      <c r="I129" s="319"/>
      <c r="J129" s="35">
        <v>1</v>
      </c>
      <c r="K129" s="320"/>
    </row>
    <row r="130" spans="1:11" s="321" customFormat="1" ht="12" customHeight="1" x14ac:dyDescent="0.2">
      <c r="A130" s="4">
        <v>4</v>
      </c>
      <c r="B130" s="4">
        <v>353</v>
      </c>
      <c r="C130" s="385" t="str">
        <f>IF(B130=0,"-",VLOOKUP($B130,BIP!A:F,6,FALSE))</f>
        <v>São Paulo - JEC / JECRIM II - Central Vergueiro</v>
      </c>
      <c r="D130" s="386"/>
      <c r="E130" s="386"/>
      <c r="F130" s="387"/>
      <c r="G130" s="317">
        <v>0.02</v>
      </c>
      <c r="H130" s="318">
        <f t="shared" si="4"/>
        <v>2.0400000000000001E-2</v>
      </c>
      <c r="I130" s="319"/>
      <c r="J130" s="35">
        <v>1</v>
      </c>
      <c r="K130" s="320"/>
    </row>
    <row r="131" spans="1:11" s="321" customFormat="1" ht="12" customHeight="1" x14ac:dyDescent="0.2">
      <c r="A131" s="4">
        <v>5</v>
      </c>
      <c r="B131" s="4">
        <v>615</v>
      </c>
      <c r="C131" s="385" t="str">
        <f>IF(B131=0,"-",VLOOKUP($B131,BIP!A:F,6,FALSE))</f>
        <v>São Paulo - Unidade(s) Administrativa(s) I - Praça do Patriarca</v>
      </c>
      <c r="D131" s="386"/>
      <c r="E131" s="386"/>
      <c r="F131" s="387"/>
      <c r="G131" s="317">
        <v>0.02</v>
      </c>
      <c r="H131" s="318">
        <f t="shared" si="4"/>
        <v>2.0400000000000001E-2</v>
      </c>
      <c r="I131" s="319"/>
      <c r="J131" s="35">
        <v>1</v>
      </c>
      <c r="K131" s="320"/>
    </row>
    <row r="132" spans="1:11" ht="8.25" customHeight="1" x14ac:dyDescent="0.2">
      <c r="A132" s="9"/>
      <c r="B132" s="9"/>
      <c r="C132" s="9"/>
      <c r="D132" s="9"/>
      <c r="E132" s="9"/>
      <c r="F132" s="9"/>
      <c r="G132" s="9"/>
      <c r="H132" s="9"/>
      <c r="I132" s="9"/>
      <c r="J132" s="9"/>
    </row>
    <row r="133" spans="1:11" ht="15" customHeight="1" x14ac:dyDescent="0.2">
      <c r="A133" s="358" t="s">
        <v>147</v>
      </c>
      <c r="B133" s="359"/>
      <c r="C133" s="359"/>
      <c r="D133" s="359"/>
      <c r="E133" s="359"/>
      <c r="F133" s="359"/>
      <c r="G133" s="359"/>
      <c r="H133" s="359"/>
      <c r="I133" s="359"/>
      <c r="J133" s="360"/>
    </row>
    <row r="134" spans="1:11" ht="15" customHeight="1" x14ac:dyDescent="0.2">
      <c r="A134" s="361" t="s">
        <v>148</v>
      </c>
      <c r="B134" s="362"/>
      <c r="C134" s="362"/>
      <c r="D134" s="362"/>
      <c r="E134" s="362"/>
      <c r="F134" s="362"/>
      <c r="G134" s="362"/>
      <c r="H134" s="362"/>
      <c r="I134" s="362"/>
      <c r="J134" s="363"/>
    </row>
    <row r="135" spans="1:11" ht="6" customHeight="1" x14ac:dyDescent="0.2">
      <c r="A135" s="58"/>
      <c r="B135" s="58"/>
      <c r="C135" s="58"/>
      <c r="D135" s="58"/>
      <c r="E135" s="58"/>
      <c r="F135" s="58"/>
      <c r="G135" s="59"/>
      <c r="H135" s="58"/>
      <c r="I135" s="59"/>
      <c r="J135" s="58"/>
    </row>
    <row r="136" spans="1:11" ht="15" customHeight="1" x14ac:dyDescent="0.2">
      <c r="A136" s="135"/>
      <c r="B136" s="135"/>
      <c r="C136" s="135"/>
      <c r="D136" s="135"/>
      <c r="E136" s="135"/>
      <c r="F136" s="135"/>
      <c r="G136" s="135"/>
      <c r="H136" s="135"/>
      <c r="I136" s="135"/>
      <c r="J136" s="136"/>
    </row>
    <row r="137" spans="1:11" ht="15" customHeight="1" x14ac:dyDescent="0.2">
      <c r="A137" s="137"/>
      <c r="B137" s="137"/>
      <c r="C137" s="137"/>
      <c r="D137" s="137"/>
      <c r="E137" s="137"/>
      <c r="F137" s="137"/>
      <c r="G137" s="137"/>
      <c r="H137" s="137"/>
      <c r="I137" s="137"/>
      <c r="J137" s="138"/>
    </row>
    <row r="138" spans="1:11" ht="15" customHeight="1" x14ac:dyDescent="0.2">
      <c r="A138" s="137"/>
      <c r="B138" s="137"/>
      <c r="C138" s="137"/>
      <c r="D138" s="137"/>
      <c r="E138" s="137"/>
      <c r="F138" s="137"/>
      <c r="G138" s="137"/>
      <c r="H138" s="137"/>
      <c r="I138" s="137"/>
      <c r="J138" s="138"/>
    </row>
    <row r="139" spans="1:11" ht="15" customHeight="1" x14ac:dyDescent="0.2">
      <c r="A139" s="137"/>
      <c r="B139" s="137"/>
      <c r="C139" s="137"/>
      <c r="D139" s="137"/>
      <c r="E139" s="137"/>
      <c r="F139" s="137"/>
      <c r="G139" s="137"/>
      <c r="H139" s="137"/>
      <c r="I139" s="137"/>
      <c r="J139" s="138"/>
    </row>
    <row r="140" spans="1:11" ht="15" customHeight="1" x14ac:dyDescent="0.2">
      <c r="A140" s="137"/>
      <c r="B140" s="137"/>
      <c r="C140" s="137"/>
      <c r="D140" s="137"/>
      <c r="E140" s="137"/>
      <c r="F140" s="137"/>
      <c r="G140" s="137"/>
      <c r="H140" s="137"/>
      <c r="I140" s="137"/>
      <c r="J140" s="138"/>
    </row>
    <row r="141" spans="1:11" ht="15" customHeight="1" x14ac:dyDescent="0.2">
      <c r="A141" s="139"/>
      <c r="B141" s="139"/>
      <c r="C141" s="139"/>
      <c r="D141" s="139"/>
      <c r="E141" s="139"/>
      <c r="F141" s="139"/>
      <c r="G141" s="139"/>
      <c r="H141" s="139"/>
      <c r="I141" s="139"/>
      <c r="J141" s="140"/>
    </row>
    <row r="142" spans="1:11" ht="15" customHeight="1" x14ac:dyDescent="0.2">
      <c r="A142" s="9"/>
      <c r="B142" s="9"/>
      <c r="C142" s="9"/>
      <c r="D142" s="9"/>
      <c r="E142" s="9"/>
      <c r="F142" s="9"/>
      <c r="G142" s="54"/>
      <c r="H142" s="9"/>
      <c r="I142" s="54"/>
      <c r="J142" s="9"/>
    </row>
    <row r="143" spans="1:11" ht="15" customHeight="1" x14ac:dyDescent="0.2">
      <c r="A143" s="9"/>
      <c r="B143" s="9"/>
      <c r="C143" s="9"/>
      <c r="D143" s="9"/>
      <c r="E143" s="9"/>
      <c r="F143" s="9"/>
      <c r="G143" s="54"/>
      <c r="H143" s="9"/>
      <c r="I143" s="54"/>
      <c r="J143" s="9"/>
    </row>
    <row r="144" spans="1:11" ht="15" customHeight="1" x14ac:dyDescent="0.2">
      <c r="A144" s="9"/>
      <c r="B144" s="9"/>
      <c r="C144" s="9"/>
      <c r="D144" s="9"/>
      <c r="E144" s="9"/>
      <c r="F144" s="9"/>
      <c r="G144" s="54"/>
      <c r="H144" s="9"/>
      <c r="I144" s="54"/>
      <c r="J144" s="9"/>
    </row>
    <row r="145" spans="1:11" ht="15" customHeight="1" x14ac:dyDescent="0.2">
      <c r="A145" s="9"/>
      <c r="B145" s="9"/>
      <c r="C145" s="9"/>
      <c r="D145" s="9"/>
      <c r="E145" s="9"/>
      <c r="F145" s="9"/>
      <c r="G145" s="54"/>
      <c r="H145" s="9"/>
      <c r="I145" s="54"/>
      <c r="J145" s="9"/>
    </row>
    <row r="146" spans="1:11" ht="97.9" customHeight="1" x14ac:dyDescent="0.2">
      <c r="A146" s="9"/>
      <c r="B146" s="9"/>
      <c r="C146" s="9"/>
      <c r="D146" s="9"/>
      <c r="E146" s="9"/>
      <c r="F146" s="9"/>
      <c r="G146" s="54"/>
      <c r="H146" s="9"/>
      <c r="I146" s="54"/>
      <c r="J146" s="9"/>
      <c r="K146" s="8"/>
    </row>
    <row r="147" spans="1:11" ht="15" customHeight="1" x14ac:dyDescent="0.2">
      <c r="A147" s="9"/>
      <c r="B147" s="9"/>
      <c r="C147" s="9"/>
      <c r="D147" s="9"/>
      <c r="E147" s="9"/>
      <c r="F147" s="9"/>
      <c r="G147" s="54"/>
      <c r="H147" s="9"/>
      <c r="I147" s="54"/>
      <c r="J147" s="9"/>
    </row>
    <row r="148" spans="1:11" ht="15" customHeight="1" x14ac:dyDescent="0.2">
      <c r="A148" s="9"/>
      <c r="B148" s="9"/>
      <c r="C148" s="9"/>
      <c r="D148" s="9"/>
      <c r="E148" s="9"/>
      <c r="F148" s="9"/>
      <c r="G148" s="54"/>
      <c r="H148" s="9"/>
      <c r="I148" s="54"/>
      <c r="J148" s="9"/>
    </row>
    <row r="149" spans="1:11" ht="15" customHeight="1" x14ac:dyDescent="0.2">
      <c r="A149" s="9"/>
      <c r="B149" s="9"/>
      <c r="C149" s="9"/>
      <c r="D149" s="9"/>
      <c r="E149" s="9"/>
      <c r="F149" s="9"/>
      <c r="G149" s="54"/>
      <c r="H149" s="9"/>
      <c r="I149" s="54"/>
      <c r="J149" s="9"/>
    </row>
    <row r="150" spans="1:11" ht="15" customHeight="1" x14ac:dyDescent="0.2">
      <c r="A150" s="9"/>
      <c r="B150" s="9"/>
      <c r="C150" s="9"/>
      <c r="D150" s="9"/>
      <c r="E150" s="9"/>
      <c r="F150" s="9"/>
      <c r="G150" s="54"/>
      <c r="H150" s="9"/>
      <c r="I150" s="54"/>
      <c r="J150" s="9"/>
    </row>
    <row r="151" spans="1:11" ht="15" customHeight="1" x14ac:dyDescent="0.2">
      <c r="A151" s="9"/>
      <c r="B151" s="9"/>
      <c r="C151" s="9"/>
      <c r="D151" s="9"/>
      <c r="E151" s="9"/>
      <c r="F151" s="9"/>
      <c r="G151" s="54"/>
      <c r="H151" s="9"/>
      <c r="I151" s="54"/>
      <c r="J151" s="9"/>
    </row>
    <row r="152" spans="1:11" ht="15" customHeight="1" x14ac:dyDescent="0.2">
      <c r="A152" s="9"/>
      <c r="B152" s="9"/>
      <c r="C152" s="9"/>
      <c r="D152" s="9"/>
      <c r="E152" s="9"/>
      <c r="F152" s="9"/>
      <c r="G152" s="54"/>
      <c r="H152" s="9"/>
      <c r="I152" s="54"/>
      <c r="J152" s="9"/>
    </row>
    <row r="153" spans="1:11" ht="15" customHeight="1" x14ac:dyDescent="0.2">
      <c r="A153" s="9"/>
      <c r="B153" s="9"/>
      <c r="C153" s="9"/>
      <c r="D153" s="9"/>
      <c r="E153" s="9"/>
      <c r="F153" s="9"/>
      <c r="G153" s="54"/>
      <c r="H153" s="9"/>
      <c r="I153" s="54"/>
      <c r="J153" s="9"/>
    </row>
    <row r="154" spans="1:11" ht="15" customHeight="1" x14ac:dyDescent="0.2">
      <c r="A154" s="9"/>
      <c r="B154" s="9"/>
      <c r="C154" s="9"/>
      <c r="D154" s="9"/>
      <c r="E154" s="9"/>
      <c r="F154" s="9"/>
      <c r="G154" s="54"/>
      <c r="H154" s="9"/>
      <c r="I154" s="54"/>
      <c r="J154" s="9"/>
    </row>
    <row r="155" spans="1:11" ht="15" customHeight="1" x14ac:dyDescent="0.2">
      <c r="A155" s="9"/>
      <c r="B155" s="9"/>
      <c r="C155" s="9"/>
      <c r="D155" s="9"/>
      <c r="E155" s="9"/>
      <c r="F155" s="9"/>
      <c r="G155" s="54"/>
      <c r="H155" s="9"/>
      <c r="I155" s="54"/>
      <c r="J155" s="9"/>
    </row>
    <row r="156" spans="1:11" ht="15" customHeight="1" x14ac:dyDescent="0.2">
      <c r="A156" s="9"/>
      <c r="B156" s="9"/>
      <c r="C156" s="9"/>
      <c r="D156" s="9"/>
      <c r="E156" s="9"/>
      <c r="F156" s="9"/>
      <c r="G156" s="54"/>
      <c r="H156" s="9"/>
      <c r="I156" s="54"/>
      <c r="J156" s="9"/>
    </row>
    <row r="157" spans="1:11" ht="15" customHeight="1" x14ac:dyDescent="0.2">
      <c r="A157" s="9"/>
      <c r="B157" s="9"/>
      <c r="C157" s="9"/>
      <c r="D157" s="9"/>
      <c r="E157" s="9"/>
      <c r="F157" s="9"/>
      <c r="G157" s="54"/>
      <c r="H157" s="9"/>
      <c r="I157" s="54"/>
      <c r="J157" s="9"/>
    </row>
    <row r="158" spans="1:11" ht="15" customHeight="1" x14ac:dyDescent="0.2">
      <c r="A158" s="9"/>
      <c r="B158" s="9"/>
      <c r="C158" s="9"/>
      <c r="D158" s="9"/>
      <c r="E158" s="9"/>
      <c r="F158" s="9"/>
      <c r="G158" s="54"/>
      <c r="H158" s="9"/>
      <c r="I158" s="54"/>
      <c r="J158" s="9"/>
    </row>
    <row r="159" spans="1:11" ht="15" customHeight="1" x14ac:dyDescent="0.2">
      <c r="A159" s="9"/>
      <c r="B159" s="9"/>
      <c r="C159" s="9"/>
      <c r="D159" s="9"/>
      <c r="E159" s="9"/>
      <c r="F159" s="9"/>
      <c r="G159" s="54"/>
      <c r="H159" s="9"/>
      <c r="I159" s="54"/>
      <c r="J159" s="9"/>
    </row>
    <row r="160" spans="1:11" ht="15" customHeight="1" x14ac:dyDescent="0.2">
      <c r="A160" s="9"/>
      <c r="B160" s="9"/>
      <c r="C160" s="9"/>
      <c r="D160" s="9"/>
      <c r="E160" s="9"/>
      <c r="F160" s="9"/>
      <c r="G160" s="54"/>
      <c r="H160" s="9"/>
      <c r="I160" s="54"/>
      <c r="J160" s="9"/>
    </row>
    <row r="161" spans="1:10" ht="15" customHeight="1" x14ac:dyDescent="0.2">
      <c r="A161" s="9"/>
      <c r="B161" s="9"/>
      <c r="C161" s="9"/>
      <c r="D161" s="9"/>
      <c r="E161" s="9"/>
      <c r="F161" s="9"/>
      <c r="G161" s="54"/>
      <c r="H161" s="9"/>
      <c r="I161" s="54"/>
      <c r="J161" s="9"/>
    </row>
    <row r="162" spans="1:10" ht="15" customHeight="1" x14ac:dyDescent="0.2">
      <c r="A162" s="9"/>
      <c r="B162" s="9"/>
      <c r="C162" s="9"/>
      <c r="D162" s="9"/>
      <c r="E162" s="9"/>
      <c r="F162" s="9"/>
      <c r="G162" s="54"/>
      <c r="H162" s="9"/>
      <c r="I162" s="54"/>
      <c r="J162" s="9"/>
    </row>
    <row r="163" spans="1:10" ht="15" customHeight="1" x14ac:dyDescent="0.2">
      <c r="A163" s="9"/>
      <c r="B163" s="9"/>
      <c r="C163" s="9"/>
      <c r="D163" s="9"/>
      <c r="E163" s="9"/>
      <c r="F163" s="9"/>
      <c r="G163" s="54"/>
      <c r="H163" s="9"/>
      <c r="I163" s="54"/>
      <c r="J163" s="9"/>
    </row>
    <row r="164" spans="1:10" ht="15" customHeight="1" x14ac:dyDescent="0.2">
      <c r="A164" s="9"/>
      <c r="B164" s="9"/>
      <c r="C164" s="9"/>
      <c r="D164" s="9"/>
      <c r="E164" s="9"/>
      <c r="F164" s="9"/>
      <c r="G164" s="54"/>
      <c r="H164" s="9"/>
      <c r="I164" s="54"/>
      <c r="J164" s="9"/>
    </row>
    <row r="165" spans="1:10" ht="15" customHeight="1" x14ac:dyDescent="0.2">
      <c r="A165" s="9"/>
      <c r="B165" s="9"/>
      <c r="C165" s="9"/>
      <c r="D165" s="9"/>
      <c r="E165" s="9"/>
      <c r="F165" s="9"/>
      <c r="G165" s="54"/>
      <c r="H165" s="9"/>
      <c r="I165" s="54"/>
      <c r="J165" s="9"/>
    </row>
    <row r="166" spans="1:10" ht="15" customHeight="1" x14ac:dyDescent="0.2">
      <c r="A166" s="9"/>
      <c r="B166" s="9"/>
      <c r="C166" s="9"/>
      <c r="D166" s="9"/>
      <c r="E166" s="9"/>
      <c r="F166" s="9"/>
      <c r="G166" s="54"/>
      <c r="H166" s="9"/>
      <c r="I166" s="54"/>
      <c r="J166" s="9"/>
    </row>
    <row r="167" spans="1:10" ht="15" customHeight="1" x14ac:dyDescent="0.2">
      <c r="A167" s="9"/>
      <c r="B167" s="9"/>
      <c r="C167" s="9"/>
      <c r="D167" s="9"/>
      <c r="E167" s="9"/>
      <c r="F167" s="9"/>
      <c r="G167" s="54"/>
      <c r="H167" s="9"/>
      <c r="I167" s="54"/>
      <c r="J167" s="9"/>
    </row>
    <row r="168" spans="1:10" ht="15" customHeight="1" x14ac:dyDescent="0.2">
      <c r="A168" s="9"/>
      <c r="B168" s="9"/>
      <c r="C168" s="9"/>
      <c r="D168" s="9"/>
      <c r="E168" s="9"/>
      <c r="F168" s="9"/>
      <c r="G168" s="54"/>
      <c r="H168" s="9"/>
      <c r="I168" s="54"/>
      <c r="J168" s="9"/>
    </row>
    <row r="169" spans="1:10" ht="15" customHeight="1" x14ac:dyDescent="0.2">
      <c r="A169" s="9"/>
      <c r="B169" s="9"/>
      <c r="C169" s="9"/>
      <c r="D169" s="9"/>
      <c r="E169" s="9"/>
      <c r="F169" s="9"/>
      <c r="G169" s="54"/>
      <c r="H169" s="9"/>
      <c r="I169" s="54"/>
      <c r="J169" s="9"/>
    </row>
    <row r="170" spans="1:10" ht="15" customHeight="1" x14ac:dyDescent="0.2">
      <c r="A170" s="9"/>
      <c r="B170" s="9"/>
      <c r="C170" s="9"/>
      <c r="D170" s="9"/>
      <c r="E170" s="9"/>
      <c r="F170" s="9"/>
      <c r="G170" s="54"/>
      <c r="H170" s="9"/>
      <c r="I170" s="54"/>
      <c r="J170" s="9"/>
    </row>
    <row r="171" spans="1:10" ht="15" customHeight="1" x14ac:dyDescent="0.2">
      <c r="A171" s="9"/>
      <c r="B171" s="9"/>
      <c r="C171" s="9"/>
      <c r="D171" s="9"/>
      <c r="E171" s="9"/>
      <c r="F171" s="9"/>
      <c r="G171" s="54"/>
      <c r="H171" s="9"/>
      <c r="I171" s="54"/>
      <c r="J171" s="9"/>
    </row>
    <row r="172" spans="1:10" ht="15" customHeight="1" x14ac:dyDescent="0.2">
      <c r="A172" s="9"/>
      <c r="B172" s="9"/>
      <c r="C172" s="9"/>
      <c r="D172" s="9"/>
      <c r="E172" s="9"/>
      <c r="F172" s="9"/>
      <c r="G172" s="54"/>
      <c r="H172" s="9"/>
      <c r="I172" s="54"/>
      <c r="J172" s="9"/>
    </row>
    <row r="173" spans="1:10" ht="15" customHeight="1" x14ac:dyDescent="0.2">
      <c r="A173" s="9"/>
      <c r="B173" s="9"/>
      <c r="C173" s="9"/>
      <c r="D173" s="9"/>
      <c r="E173" s="9"/>
      <c r="F173" s="9"/>
      <c r="G173" s="54"/>
      <c r="H173" s="9"/>
      <c r="I173" s="54"/>
      <c r="J173" s="9"/>
    </row>
    <row r="174" spans="1:10" ht="15" customHeight="1" x14ac:dyDescent="0.2">
      <c r="A174" s="9"/>
      <c r="B174" s="9"/>
      <c r="C174" s="9"/>
      <c r="D174" s="9"/>
      <c r="E174" s="9"/>
      <c r="F174" s="9"/>
      <c r="G174" s="54"/>
      <c r="H174" s="9"/>
      <c r="I174" s="54"/>
      <c r="J174" s="9"/>
    </row>
    <row r="175" spans="1:10" ht="15" customHeight="1" x14ac:dyDescent="0.2">
      <c r="A175" s="9"/>
      <c r="B175" s="9"/>
      <c r="C175" s="9"/>
      <c r="D175" s="9"/>
      <c r="E175" s="9"/>
      <c r="F175" s="9"/>
      <c r="G175" s="54"/>
      <c r="H175" s="9"/>
      <c r="I175" s="54"/>
      <c r="J175" s="9"/>
    </row>
    <row r="176" spans="1:10" ht="15" customHeight="1" x14ac:dyDescent="0.2">
      <c r="A176" s="9"/>
      <c r="B176" s="9"/>
      <c r="C176" s="9"/>
      <c r="D176" s="9"/>
      <c r="E176" s="9"/>
      <c r="F176" s="9"/>
      <c r="G176" s="54"/>
      <c r="H176" s="9"/>
      <c r="I176" s="54"/>
      <c r="J176" s="9"/>
    </row>
    <row r="177" spans="1:10" ht="15" customHeight="1" x14ac:dyDescent="0.2">
      <c r="A177" s="9"/>
      <c r="B177" s="9"/>
      <c r="C177" s="9"/>
      <c r="D177" s="9"/>
      <c r="E177" s="9"/>
      <c r="F177" s="9"/>
      <c r="G177" s="54"/>
      <c r="H177" s="9"/>
      <c r="I177" s="54"/>
      <c r="J177" s="9"/>
    </row>
    <row r="178" spans="1:10" ht="15" customHeight="1" x14ac:dyDescent="0.2">
      <c r="A178" s="9"/>
      <c r="B178" s="9"/>
      <c r="C178" s="9"/>
      <c r="D178" s="9"/>
      <c r="E178" s="9"/>
      <c r="F178" s="9"/>
      <c r="G178" s="54"/>
      <c r="H178" s="9"/>
      <c r="I178" s="54"/>
      <c r="J178" s="9"/>
    </row>
    <row r="179" spans="1:10" ht="15" customHeight="1" x14ac:dyDescent="0.2">
      <c r="A179" s="9"/>
      <c r="B179" s="9"/>
      <c r="C179" s="9"/>
      <c r="D179" s="9"/>
      <c r="E179" s="9"/>
      <c r="F179" s="9"/>
      <c r="G179" s="54"/>
      <c r="H179" s="9"/>
      <c r="I179" s="54"/>
      <c r="J179" s="9"/>
    </row>
    <row r="180" spans="1:10" ht="15" customHeight="1" x14ac:dyDescent="0.2">
      <c r="A180" s="9"/>
      <c r="B180" s="9"/>
      <c r="C180" s="9"/>
      <c r="D180" s="9"/>
      <c r="E180" s="9"/>
      <c r="F180" s="9"/>
      <c r="G180" s="54"/>
      <c r="H180" s="9"/>
      <c r="I180" s="54"/>
      <c r="J180" s="9"/>
    </row>
    <row r="181" spans="1:10" ht="15" customHeight="1" x14ac:dyDescent="0.2">
      <c r="A181" s="9"/>
      <c r="B181" s="9"/>
      <c r="C181" s="9"/>
      <c r="D181" s="9"/>
      <c r="E181" s="9"/>
      <c r="F181" s="9"/>
      <c r="G181" s="54"/>
      <c r="H181" s="9"/>
      <c r="I181" s="54"/>
      <c r="J181" s="9"/>
    </row>
    <row r="182" spans="1:10" ht="15" customHeight="1" x14ac:dyDescent="0.2">
      <c r="A182" s="9"/>
      <c r="B182" s="9"/>
      <c r="C182" s="9"/>
      <c r="D182" s="9"/>
      <c r="E182" s="9"/>
      <c r="F182" s="9"/>
      <c r="G182" s="54"/>
      <c r="H182" s="9"/>
      <c r="I182" s="54"/>
      <c r="J182" s="9"/>
    </row>
    <row r="183" spans="1:10" ht="15" customHeight="1" x14ac:dyDescent="0.2">
      <c r="A183" s="9"/>
      <c r="B183" s="9"/>
      <c r="C183" s="9"/>
      <c r="D183" s="9"/>
      <c r="E183" s="9"/>
      <c r="F183" s="9"/>
      <c r="G183" s="54"/>
      <c r="H183" s="9"/>
      <c r="I183" s="54"/>
      <c r="J183" s="9"/>
    </row>
    <row r="184" spans="1:10" ht="15" customHeight="1" x14ac:dyDescent="0.2">
      <c r="A184" s="9"/>
      <c r="B184" s="9"/>
      <c r="C184" s="9"/>
      <c r="D184" s="9"/>
      <c r="E184" s="9"/>
      <c r="F184" s="9"/>
      <c r="G184" s="54"/>
      <c r="H184" s="9"/>
      <c r="I184" s="54"/>
      <c r="J184" s="9"/>
    </row>
    <row r="185" spans="1:10" ht="15" customHeight="1" x14ac:dyDescent="0.2">
      <c r="A185" s="9"/>
      <c r="B185" s="9"/>
      <c r="C185" s="9"/>
      <c r="D185" s="9"/>
      <c r="E185" s="9"/>
      <c r="F185" s="9"/>
      <c r="G185" s="9"/>
      <c r="H185" s="9"/>
      <c r="I185" s="9"/>
      <c r="J185" s="9"/>
    </row>
    <row r="186" spans="1:10" ht="15" customHeight="1" x14ac:dyDescent="0.2">
      <c r="A186" s="9"/>
      <c r="B186" s="9"/>
      <c r="C186" s="9"/>
      <c r="D186" s="9"/>
      <c r="E186" s="9"/>
      <c r="F186" s="9"/>
      <c r="G186" s="9"/>
      <c r="H186" s="9"/>
      <c r="I186" s="9"/>
      <c r="J186" s="9"/>
    </row>
    <row r="187" spans="1:10" ht="15" customHeight="1" x14ac:dyDescent="0.2">
      <c r="A187" s="9"/>
      <c r="B187" s="9"/>
      <c r="C187" s="9"/>
      <c r="D187" s="9"/>
      <c r="E187" s="9"/>
      <c r="F187" s="9"/>
      <c r="G187" s="9"/>
      <c r="H187" s="9"/>
      <c r="I187" s="9"/>
      <c r="J187" s="9"/>
    </row>
    <row r="188" spans="1:10" ht="15" customHeight="1" x14ac:dyDescent="0.2">
      <c r="A188" s="9"/>
      <c r="B188" s="9"/>
      <c r="C188" s="9"/>
      <c r="D188" s="9"/>
      <c r="E188" s="9"/>
      <c r="F188" s="9"/>
      <c r="G188" s="9"/>
      <c r="H188" s="9"/>
      <c r="I188" s="9"/>
      <c r="J188" s="9"/>
    </row>
    <row r="189" spans="1:10" ht="15" customHeight="1" x14ac:dyDescent="0.2">
      <c r="A189" s="9"/>
      <c r="B189" s="9"/>
      <c r="C189" s="9"/>
      <c r="D189" s="9"/>
      <c r="E189" s="9"/>
      <c r="F189" s="9"/>
      <c r="G189" s="9"/>
      <c r="H189" s="9"/>
      <c r="I189" s="9"/>
      <c r="J189" s="9"/>
    </row>
    <row r="190" spans="1:10" ht="15" customHeight="1" x14ac:dyDescent="0.2">
      <c r="A190" s="9"/>
      <c r="B190" s="9"/>
      <c r="C190" s="9"/>
      <c r="D190" s="9"/>
      <c r="E190" s="9"/>
      <c r="F190" s="9"/>
      <c r="G190" s="9"/>
      <c r="H190" s="9"/>
      <c r="I190" s="9"/>
      <c r="J190" s="9"/>
    </row>
  </sheetData>
  <sheetProtection algorithmName="SHA-512" hashValue="WoXWIEZ/VxHLTPGqZjN9cJUDscZ27Nz460pEKcvVLz36tlTgwtNFieFTGCK99PIwCUHyrPhs0gQlVJiehX4yfw==" saltValue="6xuH4Eg1wqEs5Xa2lsPj/g==" spinCount="100000" sheet="1" objects="1" scenarios="1"/>
  <sortState xmlns:xlrd2="http://schemas.microsoft.com/office/spreadsheetml/2017/richdata2" ref="A105:J113">
    <sortCondition ref="B105:B113"/>
  </sortState>
  <dataConsolidate/>
  <mergeCells count="135">
    <mergeCell ref="A46:I46"/>
    <mergeCell ref="B44:I44"/>
    <mergeCell ref="B39:I39"/>
    <mergeCell ref="B40:I40"/>
    <mergeCell ref="B41:I41"/>
    <mergeCell ref="B42:I42"/>
    <mergeCell ref="B43:I43"/>
    <mergeCell ref="A8:E8"/>
    <mergeCell ref="A9:E9"/>
    <mergeCell ref="A13:E13"/>
    <mergeCell ref="F13:J13"/>
    <mergeCell ref="A33:J33"/>
    <mergeCell ref="A16:I16"/>
    <mergeCell ref="B38:I38"/>
    <mergeCell ref="B34:I34"/>
    <mergeCell ref="A10:E10"/>
    <mergeCell ref="G14:J14"/>
    <mergeCell ref="A31:I31"/>
    <mergeCell ref="A35:I35"/>
    <mergeCell ref="A37:J37"/>
    <mergeCell ref="B17:I17"/>
    <mergeCell ref="B18:I18"/>
    <mergeCell ref="B19:I19"/>
    <mergeCell ref="B20:I20"/>
    <mergeCell ref="B21:I21"/>
    <mergeCell ref="B22:I22"/>
    <mergeCell ref="B23:I23"/>
    <mergeCell ref="B24:I24"/>
    <mergeCell ref="B28:I28"/>
    <mergeCell ref="B29:I29"/>
    <mergeCell ref="B30:I30"/>
    <mergeCell ref="A25:I25"/>
    <mergeCell ref="A1:J1"/>
    <mergeCell ref="A2:E2"/>
    <mergeCell ref="A27:J27"/>
    <mergeCell ref="A11:E11"/>
    <mergeCell ref="A12:E12"/>
    <mergeCell ref="A3:E3"/>
    <mergeCell ref="A4:E4"/>
    <mergeCell ref="A6:E6"/>
    <mergeCell ref="A7:E7"/>
    <mergeCell ref="A14:E14"/>
    <mergeCell ref="F2:J2"/>
    <mergeCell ref="F3:J3"/>
    <mergeCell ref="F8:J8"/>
    <mergeCell ref="F9:J9"/>
    <mergeCell ref="F10:J10"/>
    <mergeCell ref="F11:J11"/>
    <mergeCell ref="F12:J12"/>
    <mergeCell ref="A5:E5"/>
    <mergeCell ref="F5:J5"/>
    <mergeCell ref="F4:J4"/>
    <mergeCell ref="F7:J7"/>
    <mergeCell ref="G6:J6"/>
    <mergeCell ref="C126:F126"/>
    <mergeCell ref="C127:F127"/>
    <mergeCell ref="C128:F128"/>
    <mergeCell ref="C129:F129"/>
    <mergeCell ref="C130:F130"/>
    <mergeCell ref="C131:F131"/>
    <mergeCell ref="B123:H123"/>
    <mergeCell ref="B118:H118"/>
    <mergeCell ref="B119:H119"/>
    <mergeCell ref="B120:H120"/>
    <mergeCell ref="B121:H121"/>
    <mergeCell ref="B122:H122"/>
    <mergeCell ref="B45:I45"/>
    <mergeCell ref="B57:I57"/>
    <mergeCell ref="A125:J125"/>
    <mergeCell ref="A63:I63"/>
    <mergeCell ref="A61:I61"/>
    <mergeCell ref="A71:I71"/>
    <mergeCell ref="A65:J65"/>
    <mergeCell ref="B66:I66"/>
    <mergeCell ref="B67:I67"/>
    <mergeCell ref="B68:I68"/>
    <mergeCell ref="B69:H69"/>
    <mergeCell ref="B70:I70"/>
    <mergeCell ref="B74:I74"/>
    <mergeCell ref="B75:I75"/>
    <mergeCell ref="B76:I76"/>
    <mergeCell ref="B77:I77"/>
    <mergeCell ref="A94:J94"/>
    <mergeCell ref="B78:I78"/>
    <mergeCell ref="B79:I79"/>
    <mergeCell ref="B80:I80"/>
    <mergeCell ref="A73:J73"/>
    <mergeCell ref="A102:J102"/>
    <mergeCell ref="A54:J54"/>
    <mergeCell ref="B49:I49"/>
    <mergeCell ref="A48:J48"/>
    <mergeCell ref="B100:E100"/>
    <mergeCell ref="B90:I90"/>
    <mergeCell ref="B91:I91"/>
    <mergeCell ref="B92:I92"/>
    <mergeCell ref="B83:I83"/>
    <mergeCell ref="B84:I84"/>
    <mergeCell ref="B85:I85"/>
    <mergeCell ref="B86:I86"/>
    <mergeCell ref="B87:I87"/>
    <mergeCell ref="B99:E99"/>
    <mergeCell ref="B97:E97"/>
    <mergeCell ref="B98:E98"/>
    <mergeCell ref="B81:I81"/>
    <mergeCell ref="B82:I82"/>
    <mergeCell ref="B95:E95"/>
    <mergeCell ref="B60:I60"/>
    <mergeCell ref="A52:I52"/>
    <mergeCell ref="B50:I50"/>
    <mergeCell ref="B58:I58"/>
    <mergeCell ref="B59:I59"/>
    <mergeCell ref="B108:C108"/>
    <mergeCell ref="B109:C109"/>
    <mergeCell ref="B110:C110"/>
    <mergeCell ref="B51:I51"/>
    <mergeCell ref="B55:I55"/>
    <mergeCell ref="B56:I56"/>
    <mergeCell ref="B115:C115"/>
    <mergeCell ref="A133:J133"/>
    <mergeCell ref="A134:J134"/>
    <mergeCell ref="B107:C107"/>
    <mergeCell ref="A103:C104"/>
    <mergeCell ref="B89:J89"/>
    <mergeCell ref="B105:C105"/>
    <mergeCell ref="B106:C106"/>
    <mergeCell ref="D103:D104"/>
    <mergeCell ref="B113:C113"/>
    <mergeCell ref="B96:E96"/>
    <mergeCell ref="A117:J117"/>
    <mergeCell ref="B114:C114"/>
    <mergeCell ref="B112:C112"/>
    <mergeCell ref="E103:G103"/>
    <mergeCell ref="H103:J103"/>
    <mergeCell ref="B111:C111"/>
    <mergeCell ref="A116:J116"/>
  </mergeCells>
  <conditionalFormatting sqref="E105:E115">
    <cfRule type="cellIs" dxfId="10" priority="5" operator="greaterThan">
      <formula>0</formula>
    </cfRule>
  </conditionalFormatting>
  <conditionalFormatting sqref="F4:F5 G6 J127:J131">
    <cfRule type="cellIs" dxfId="9" priority="91" operator="greaterThan">
      <formula>0</formula>
    </cfRule>
  </conditionalFormatting>
  <conditionalFormatting sqref="F4:F5 J90:J92 G127:G131 I127:I131">
    <cfRule type="cellIs" dxfId="8" priority="90" operator="greaterThan">
      <formula>0</formula>
    </cfRule>
  </conditionalFormatting>
  <conditionalFormatting sqref="F4:F7">
    <cfRule type="notContainsBlanks" dxfId="7" priority="93">
      <formula>LEN(TRIM(F4))&gt;0</formula>
    </cfRule>
  </conditionalFormatting>
  <conditionalFormatting sqref="F8:F14">
    <cfRule type="cellIs" dxfId="6" priority="7" operator="greaterThan">
      <formula>0</formula>
    </cfRule>
    <cfRule type="cellIs" dxfId="5" priority="8" operator="greaterThan">
      <formula>0</formula>
    </cfRule>
  </conditionalFormatting>
  <conditionalFormatting sqref="F96:F100 B114:B115 I119:J123">
    <cfRule type="cellIs" dxfId="4" priority="1" operator="greaterThan">
      <formula>0</formula>
    </cfRule>
  </conditionalFormatting>
  <conditionalFormatting sqref="F105 F109 F113">
    <cfRule type="cellIs" dxfId="3" priority="4" operator="greaterThan">
      <formula>0</formula>
    </cfRule>
  </conditionalFormatting>
  <conditionalFormatting sqref="H105:H115">
    <cfRule type="cellIs" dxfId="2" priority="9" operator="greaterThan">
      <formula>0</formula>
    </cfRule>
  </conditionalFormatting>
  <conditionalFormatting sqref="I105 I109 I113">
    <cfRule type="cellIs" dxfId="1" priority="3" operator="greaterThan">
      <formula>0</formula>
    </cfRule>
  </conditionalFormatting>
  <dataValidations count="5">
    <dataValidation type="decimal" operator="greaterThanOrEqual" allowBlank="1" showInputMessage="1" showErrorMessage="1" sqref="J69 F8:F14 G127:J131" xr:uid="{00000000-0002-0000-0200-000000000000}">
      <formula1>0</formula1>
    </dataValidation>
    <dataValidation operator="greaterThanOrEqual" allowBlank="1" showInputMessage="1" showErrorMessage="1" sqref="G14" xr:uid="{00000000-0002-0000-0200-000001000000}"/>
    <dataValidation type="list" showInputMessage="1" showErrorMessage="1" sqref="F7" xr:uid="{00000000-0002-0000-0200-000002000000}">
      <formula1>$N$1:$N$3</formula1>
    </dataValidation>
    <dataValidation type="list" operator="greaterThan" allowBlank="1" showInputMessage="1" showErrorMessage="1" sqref="F6" xr:uid="{00000000-0002-0000-0200-000003000000}">
      <formula1>$M$1:$M$2</formula1>
    </dataValidation>
    <dataValidation operator="greaterThan" allowBlank="1" showInputMessage="1" showErrorMessage="1" sqref="G6" xr:uid="{00000000-0002-0000-0200-000004000000}"/>
  </dataValidations>
  <pageMargins left="0.6692913385826772" right="0.15748031496062992" top="0.43307086614173229" bottom="0.31496062992125984" header="0.23622047244094491" footer="0.11811023622047245"/>
  <pageSetup paperSize="9" scale="65" fitToHeight="2" orientation="portrait" r:id="rId1"/>
  <headerFooter>
    <oddHeader>&amp;C&amp;"-,Negrito"PLANILHA DE COMPOSIÇÃO DE CUSTOS</oddHeader>
    <oddFooter>&amp;R&amp;8&amp;P/&amp;N</oddFooter>
  </headerFooter>
  <rowBreaks count="1" manualBreakCount="1">
    <brk id="88" max="9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pageSetUpPr fitToPage="1"/>
  </sheetPr>
  <dimension ref="A1:MI567"/>
  <sheetViews>
    <sheetView showGridLines="0" zoomScale="120" zoomScaleNormal="120" workbookViewId="0">
      <pane xSplit="11" ySplit="2" topLeftCell="W29" activePane="bottomRight" state="frozen"/>
      <selection pane="topRight" activeCell="L1" sqref="L1"/>
      <selection pane="bottomLeft" activeCell="A3" sqref="A3"/>
      <selection pane="bottomRight" activeCell="K35" sqref="K35"/>
    </sheetView>
  </sheetViews>
  <sheetFormatPr defaultColWidth="9.140625" defaultRowHeight="12" x14ac:dyDescent="0.25"/>
  <cols>
    <col min="1" max="1" width="8.140625" style="6" customWidth="1"/>
    <col min="2" max="2" width="9.7109375" style="178" bestFit="1" customWidth="1"/>
    <col min="3" max="3" width="24.7109375" style="6" bestFit="1" customWidth="1"/>
    <col min="4" max="4" width="9.7109375" style="182" bestFit="1" customWidth="1"/>
    <col min="5" max="5" width="6.7109375" style="6" bestFit="1" customWidth="1"/>
    <col min="6" max="6" width="39.140625" style="28" customWidth="1"/>
    <col min="7" max="8" width="8.7109375" style="28" customWidth="1"/>
    <col min="9" max="9" width="8.7109375" style="141" customWidth="1"/>
    <col min="10" max="10" width="8.7109375" style="28" customWidth="1"/>
    <col min="11" max="12" width="10" style="28" customWidth="1"/>
    <col min="13" max="13" width="13.85546875" style="29" customWidth="1"/>
    <col min="14" max="14" width="10.28515625" style="29" customWidth="1"/>
    <col min="15" max="15" width="10.85546875" style="29" bestFit="1" customWidth="1"/>
    <col min="16" max="16" width="9.140625" style="29" customWidth="1"/>
    <col min="17" max="17" width="8.28515625" style="29" customWidth="1"/>
    <col min="18" max="18" width="8.7109375" style="29" bestFit="1" customWidth="1"/>
    <col min="19" max="19" width="10.28515625" style="30" customWidth="1"/>
    <col min="20" max="20" width="7.42578125" style="30" customWidth="1"/>
    <col min="21" max="22" width="10.85546875" style="30" customWidth="1"/>
    <col min="23" max="23" width="7.28515625" style="30" customWidth="1"/>
    <col min="24" max="24" width="12.7109375" style="25" customWidth="1"/>
    <col min="25" max="25" width="2.28515625" style="25" customWidth="1"/>
    <col min="26" max="26" width="11" style="25" customWidth="1"/>
    <col min="27" max="27" width="9.7109375" style="25" customWidth="1"/>
    <col min="28" max="28" width="1.28515625" style="25" customWidth="1"/>
    <col min="29" max="30" width="9.7109375" style="25" customWidth="1"/>
    <col min="31" max="31" width="11" style="25" hidden="1" customWidth="1"/>
    <col min="32" max="32" width="10.140625" style="25" bestFit="1" customWidth="1"/>
    <col min="33" max="33" width="12.5703125" style="25" customWidth="1"/>
    <col min="34" max="34" width="10" style="25" bestFit="1" customWidth="1"/>
    <col min="35" max="347" width="9.140625" style="25"/>
    <col min="348" max="16384" width="9.140625" style="6"/>
  </cols>
  <sheetData>
    <row r="1" spans="1:347" ht="12" customHeight="1" x14ac:dyDescent="0.25">
      <c r="A1" s="408" t="s">
        <v>140</v>
      </c>
      <c r="B1" s="408" t="s">
        <v>149</v>
      </c>
      <c r="C1" s="408" t="s">
        <v>150</v>
      </c>
      <c r="D1" s="408" t="s">
        <v>151</v>
      </c>
      <c r="E1" s="408" t="s">
        <v>97</v>
      </c>
      <c r="F1" s="408" t="s">
        <v>152</v>
      </c>
      <c r="G1" s="406" t="s">
        <v>153</v>
      </c>
      <c r="H1" s="406" t="s">
        <v>154</v>
      </c>
      <c r="I1" s="410" t="s">
        <v>155</v>
      </c>
      <c r="J1" s="406" t="s">
        <v>156</v>
      </c>
      <c r="K1" s="406" t="s">
        <v>157</v>
      </c>
      <c r="L1" s="406" t="s">
        <v>158</v>
      </c>
      <c r="M1" s="406" t="s">
        <v>159</v>
      </c>
      <c r="N1" s="406" t="s">
        <v>160</v>
      </c>
      <c r="O1" s="406" t="s">
        <v>161</v>
      </c>
      <c r="P1" s="406" t="s">
        <v>162</v>
      </c>
      <c r="Q1" s="406" t="s">
        <v>137</v>
      </c>
      <c r="R1" s="406" t="s">
        <v>163</v>
      </c>
      <c r="S1" s="406" t="s">
        <v>164</v>
      </c>
      <c r="T1" s="406" t="s">
        <v>165</v>
      </c>
      <c r="U1" s="406" t="s">
        <v>166</v>
      </c>
      <c r="V1" s="406" t="s">
        <v>167</v>
      </c>
      <c r="W1" s="406" t="s">
        <v>168</v>
      </c>
      <c r="X1" s="406" t="s">
        <v>169</v>
      </c>
      <c r="Y1" s="74"/>
      <c r="Z1" s="406" t="s">
        <v>170</v>
      </c>
      <c r="AA1" s="406" t="s">
        <v>171</v>
      </c>
      <c r="AC1" s="406" t="s">
        <v>172</v>
      </c>
      <c r="AD1" s="406" t="s">
        <v>173</v>
      </c>
      <c r="AE1" s="406" t="s">
        <v>174</v>
      </c>
      <c r="MI1" s="6"/>
    </row>
    <row r="2" spans="1:347" ht="63" customHeight="1" x14ac:dyDescent="0.25">
      <c r="A2" s="409"/>
      <c r="B2" s="409"/>
      <c r="C2" s="409"/>
      <c r="D2" s="409"/>
      <c r="E2" s="409"/>
      <c r="F2" s="409"/>
      <c r="G2" s="407"/>
      <c r="H2" s="407"/>
      <c r="I2" s="411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74"/>
      <c r="Z2" s="407"/>
      <c r="AA2" s="407"/>
      <c r="AC2" s="407"/>
      <c r="AD2" s="407"/>
      <c r="AE2" s="407"/>
      <c r="AF2" s="31"/>
      <c r="MI2" s="6"/>
    </row>
    <row r="3" spans="1:347" s="26" customFormat="1" ht="36" x14ac:dyDescent="0.25">
      <c r="A3" s="21">
        <v>1</v>
      </c>
      <c r="B3" s="21">
        <f>VLOOKUP($A3,'Indicadores Financeiros'!$A$127:$J$229,2,FALSE)</f>
        <v>316</v>
      </c>
      <c r="C3" s="22" t="str">
        <f>VLOOKUP($A3,'Indicadores Financeiros'!$A$127:$J$229,3,FALSE)</f>
        <v>São Paulo - Fórum Fazenda Pública - Hely Lopes Meirelles</v>
      </c>
      <c r="D3" s="326" t="str">
        <f>VLOOKUP($B3,BIP!A:E,5,FALSE)</f>
        <v>São Paulo</v>
      </c>
      <c r="E3" s="73">
        <v>690001</v>
      </c>
      <c r="F3" s="7" t="str">
        <f>VLOOKUP($E3,'Tabela de Códigos e Valores'!$A:$M,2,FALSE)</f>
        <v>Auxiliar de limpeza - diurno - 44 horas semanais (segunda a sexta-feira)</v>
      </c>
      <c r="G3" s="7" t="str">
        <f>VLOOKUP($E3,'Tabela de Códigos e Valores'!$A:$M,5,FALSE)</f>
        <v>Posto</v>
      </c>
      <c r="H3" s="7" t="str">
        <f>VLOOKUP($E3,'Tabela de Códigos e Valores'!$A:$M,6,FALSE)</f>
        <v>Mensal</v>
      </c>
      <c r="I3" s="175">
        <f>VLOOKUP($E3,'Tabela de Códigos e Valores'!$A:$M,7,FALSE)</f>
        <v>21</v>
      </c>
      <c r="J3" s="175">
        <f>VLOOKUP($E3,'Tabela de Códigos e Valores'!$A:$M,8,FALSE)</f>
        <v>0</v>
      </c>
      <c r="K3" s="263">
        <v>27</v>
      </c>
      <c r="L3" s="188">
        <f>IFERROR(VLOOKUP(E3,'Indicadores Financeiros'!$A$90:$J$92,10,FALSE),0)</f>
        <v>0</v>
      </c>
      <c r="M3" s="175">
        <f>VLOOKUP($E3,'Tabela de Códigos e Valores'!$A:$Z,16,FALSE)</f>
        <v>0</v>
      </c>
      <c r="N3" s="175">
        <f>VLOOKUP($E3,'Tabela de Códigos e Valores'!$A:$Z,17,FALSE)</f>
        <v>0</v>
      </c>
      <c r="O3" s="175">
        <f>VLOOKUP($E3,'Tabela de Códigos e Valores'!$A:$AAB,28,FALSE)</f>
        <v>0</v>
      </c>
      <c r="P3" s="175">
        <f>ROUND(IF($G3&lt;&gt;"M2",IF(VLOOKUP($E3,'Tabela de Códigos e Valores'!$A:$J,10,FALSE)*6%&gt;=VLOOKUP('Relatório Custo'!$A3,'Indicadores Financeiros'!$A$127:$I$131,9,FALSE)*'Relatório Custo'!I3,0,VLOOKUP('Relatório Custo'!$A3,'Indicadores Financeiros'!$A$127:$I$131,9,FALSE)*'Relatório Custo'!I3-VLOOKUP($E3,'Tabela de Códigos e Valores'!$A:$J,10,FALSE)*6%),0),2)</f>
        <v>0</v>
      </c>
      <c r="Q3" s="175">
        <f>VLOOKUP($E3,'Tabela de Códigos e Valores'!$A:$AAC,30,FALSE)</f>
        <v>0</v>
      </c>
      <c r="R3" s="175">
        <f>ROUND(ROUND(($M3+$N3+$O3+$P3+$Q3),2)*VLOOKUP($E3,'Tabela de Códigos e Valores'!$A:$AE,31,FALSE)/(1-VLOOKUP($E3,'Tabela de Códigos e Valores'!$A:$AE,31,FALSE)),2)</f>
        <v>0</v>
      </c>
      <c r="S3" s="24">
        <f>SUM(L3:R3)</f>
        <v>0</v>
      </c>
      <c r="T3" s="177">
        <f>VLOOKUP($A3,'Indicadores Financeiros'!$A$127:$J$131,8,FALSE)</f>
        <v>2.0400000000000001E-2</v>
      </c>
      <c r="U3" s="24">
        <f>ROUND(S3*(1+T3),2)</f>
        <v>0</v>
      </c>
      <c r="V3" s="32">
        <f>ROUND(U3*K3,2)</f>
        <v>0</v>
      </c>
      <c r="W3" s="234">
        <f>VLOOKUP($A3,'Indicadores Financeiros'!$A$127:$J$131,10)</f>
        <v>1</v>
      </c>
      <c r="X3" s="63">
        <f>U3*IF(H3="Mensal",('Indicadores Financeiros'!$F$14-W3+1),IF(H3="Trimestral",INT(('Indicadores Financeiros'!$F$14-W3+1)/3),INT(('Indicadores Financeiros'!$F$14-W3+1)/12)))*K3</f>
        <v>0</v>
      </c>
      <c r="Y3" s="74"/>
      <c r="Z3" s="63">
        <f>IF(G3="Posto",M3,0)*K3</f>
        <v>0</v>
      </c>
      <c r="AA3" s="63">
        <f>ROUND('Indicadores Financeiros'!$J$71*$Z3,4)</f>
        <v>0</v>
      </c>
      <c r="AB3" s="25"/>
      <c r="AC3" s="23">
        <f>ROUND(IF(OR($G3="Posto",$G3="Plantão"),$U3/$I3,0),2)</f>
        <v>0</v>
      </c>
      <c r="AD3" s="23">
        <f>ROUND((ROUND(VLOOKUP($E3,'Tabela de Códigos e Valores'!$A:$AB,26,FALSE)/I3,2)+ROUND(P3/I3,2)+ROUND(M3*'Indicadores Financeiros'!$J$61/I3,2)+ROUND(R3/I3,2))*(1+T3),2)</f>
        <v>0</v>
      </c>
      <c r="AE3" s="23">
        <f>IF(G3="posto",IF(OR(E3=690018,E3=690019),'Indicadores Financeiros'!$J$108,IF(OR(E3=690002,E3=690016,E3=690019,E3=690035,E3=690038,E3=690064),'Indicadores Financeiros'!$G$108/2*(1+T3),'Indicadores Financeiros'!$G$108*(1+T3))),0)</f>
        <v>0</v>
      </c>
      <c r="AF3" s="57"/>
      <c r="AG3" s="31"/>
      <c r="AH3" s="253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  <c r="LK3" s="25"/>
      <c r="LL3" s="25"/>
      <c r="LM3" s="25"/>
      <c r="LN3" s="25"/>
      <c r="LO3" s="25"/>
      <c r="LP3" s="25"/>
      <c r="LQ3" s="25"/>
      <c r="LR3" s="25"/>
      <c r="LS3" s="25"/>
      <c r="LT3" s="25"/>
      <c r="LU3" s="25"/>
      <c r="LV3" s="25"/>
      <c r="LW3" s="25"/>
      <c r="LX3" s="25"/>
      <c r="LY3" s="25"/>
      <c r="LZ3" s="25"/>
      <c r="MA3" s="25"/>
      <c r="MB3" s="25"/>
      <c r="MC3" s="25"/>
      <c r="MD3" s="25"/>
      <c r="ME3" s="25"/>
      <c r="MF3" s="25"/>
      <c r="MG3" s="25"/>
      <c r="MH3" s="25"/>
    </row>
    <row r="4" spans="1:347" s="26" customFormat="1" ht="36" x14ac:dyDescent="0.25">
      <c r="A4" s="21">
        <v>1</v>
      </c>
      <c r="B4" s="21">
        <f>VLOOKUP($A4,'Indicadores Financeiros'!$A$127:$J$229,2,FALSE)</f>
        <v>316</v>
      </c>
      <c r="C4" s="22" t="str">
        <f>VLOOKUP($A4,'Indicadores Financeiros'!$A$127:$J$229,3,FALSE)</f>
        <v>São Paulo - Fórum Fazenda Pública - Hely Lopes Meirelles</v>
      </c>
      <c r="D4" s="326" t="str">
        <f>VLOOKUP($B4,BIP!A:E,5,FALSE)</f>
        <v>São Paulo</v>
      </c>
      <c r="E4" s="72">
        <v>690020</v>
      </c>
      <c r="F4" s="7" t="str">
        <f>VLOOKUP($E4,'Tabela de Códigos e Valores'!$A:$M,2,FALSE)</f>
        <v>Serviço de Jardinagem</v>
      </c>
      <c r="G4" s="7" t="str">
        <f>VLOOKUP($E4,'Tabela de Códigos e Valores'!$A:$M,5,FALSE)</f>
        <v>M2</v>
      </c>
      <c r="H4" s="7" t="str">
        <f>VLOOKUP($E4,'Tabela de Códigos e Valores'!$A:$M,6,FALSE)</f>
        <v>Mensal</v>
      </c>
      <c r="I4" s="175">
        <f>VLOOKUP($E4,'Tabela de Códigos e Valores'!$A:$M,7,FALSE)</f>
        <v>0</v>
      </c>
      <c r="J4" s="175">
        <f>VLOOKUP($E4,'Tabela de Códigos e Valores'!$A:$M,8,FALSE)</f>
        <v>0</v>
      </c>
      <c r="K4" s="263">
        <v>90</v>
      </c>
      <c r="L4" s="188">
        <f>IFERROR(VLOOKUP(E4,'Indicadores Financeiros'!$A$90:$J$92,10,FALSE),0)</f>
        <v>0</v>
      </c>
      <c r="M4" s="175">
        <f>VLOOKUP($E4,'Tabela de Códigos e Valores'!$A:$Z,16,FALSE)</f>
        <v>0</v>
      </c>
      <c r="N4" s="175">
        <f>VLOOKUP($E4,'Tabela de Códigos e Valores'!$A:$Z,17,FALSE)</f>
        <v>0</v>
      </c>
      <c r="O4" s="175">
        <f>VLOOKUP($E4,'Tabela de Códigos e Valores'!$A:$AAB,28,FALSE)</f>
        <v>0</v>
      </c>
      <c r="P4" s="175">
        <f>ROUND(IF($G4&lt;&gt;"M2",IF(VLOOKUP($E4,'Tabela de Códigos e Valores'!$A:$J,10,FALSE)*6%&gt;=VLOOKUP('Relatório Custo'!$A4,'Indicadores Financeiros'!$A$127:$I$131,9,FALSE)*'Relatório Custo'!I4,0,VLOOKUP('Relatório Custo'!$A4,'Indicadores Financeiros'!$A$127:$I$131,9,FALSE)*'Relatório Custo'!I4-VLOOKUP($E4,'Tabela de Códigos e Valores'!$A:$J,10,FALSE)*6%),0),2)</f>
        <v>0</v>
      </c>
      <c r="Q4" s="175">
        <f>VLOOKUP($E4,'Tabela de Códigos e Valores'!$A:$AAC,30,FALSE)</f>
        <v>0</v>
      </c>
      <c r="R4" s="175">
        <f>ROUND(ROUND(($M4+$N4+$O4+$P4+$Q4),2)*VLOOKUP($E4,'Tabela de Códigos e Valores'!$A:$AE,31,FALSE)/(1-VLOOKUP($E4,'Tabela de Códigos e Valores'!$A:$AE,31,FALSE)),2)</f>
        <v>0</v>
      </c>
      <c r="S4" s="24">
        <f t="shared" ref="S4:S8" si="0">SUM(L4:R4)</f>
        <v>0</v>
      </c>
      <c r="T4" s="177">
        <f>VLOOKUP($A4,'Indicadores Financeiros'!$A$127:$J$131,8,FALSE)</f>
        <v>2.0400000000000001E-2</v>
      </c>
      <c r="U4" s="24">
        <f t="shared" ref="U4:U8" si="1">ROUND(S4*(1+T4),2)</f>
        <v>0</v>
      </c>
      <c r="V4" s="32">
        <f t="shared" ref="V4:V8" si="2">ROUND(U4*K4,2)</f>
        <v>0</v>
      </c>
      <c r="W4" s="234">
        <f>VLOOKUP($A4,'Indicadores Financeiros'!$A$127:$J$131,10)</f>
        <v>1</v>
      </c>
      <c r="X4" s="63">
        <f>U4*IF(H4="Mensal",('Indicadores Financeiros'!$F$14-W4+1),IF(H4="Trimestral",INT(('Indicadores Financeiros'!$F$14-W4+1)/3),INT(('Indicadores Financeiros'!$F$14-W4+1)/12)))*K4</f>
        <v>0</v>
      </c>
      <c r="Y4" s="74"/>
      <c r="Z4" s="63">
        <f t="shared" ref="Z4:Z8" si="3">IF(G4="Posto",M4,0)*K4</f>
        <v>0</v>
      </c>
      <c r="AA4" s="63">
        <f>ROUND('Indicadores Financeiros'!$J$71*$Z4,4)</f>
        <v>0</v>
      </c>
      <c r="AB4" s="25"/>
      <c r="AC4" s="23">
        <f>ROUND(IF(OR($G4="Posto",$G4="Plantão"),$U4/$I4,0),2)</f>
        <v>0</v>
      </c>
      <c r="AD4" s="23">
        <f>IF(G4="m2",0,ROUND((ROUND(VLOOKUP($E4,'Tabela de Códigos e Valores'!$A:$AB,26,FALSE)/I4,2)+ROUND(P4/I4,2)+ROUND(M4*'Indicadores Financeiros'!$J$61/I4,2)+ROUND(R4/I4,2))*(1+T4),2))</f>
        <v>0</v>
      </c>
      <c r="AE4" s="23">
        <f>IF(G4="posto",IF(OR(E4=690018,E4=690019),'Indicadores Financeiros'!$J$108,IF(OR(E4=690002,E4=690016,E4=690019,E4=690035,E4=690038,E4=690064),'Indicadores Financeiros'!$G$108/2*(1+T4),'Indicadores Financeiros'!$G$108*(1+T4))),0)</f>
        <v>0</v>
      </c>
      <c r="AF4" s="57"/>
      <c r="AG4" s="31"/>
      <c r="AH4" s="253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  <c r="LK4" s="25"/>
      <c r="LL4" s="25"/>
      <c r="LM4" s="25"/>
      <c r="LN4" s="25"/>
      <c r="LO4" s="25"/>
      <c r="LP4" s="25"/>
      <c r="LQ4" s="25"/>
      <c r="LR4" s="25"/>
      <c r="LS4" s="25"/>
      <c r="LT4" s="25"/>
      <c r="LU4" s="25"/>
      <c r="LV4" s="25"/>
      <c r="LW4" s="25"/>
      <c r="LX4" s="25"/>
      <c r="LY4" s="25"/>
      <c r="LZ4" s="25"/>
      <c r="MA4" s="25"/>
      <c r="MB4" s="25"/>
      <c r="MC4" s="25"/>
      <c r="MD4" s="25"/>
      <c r="ME4" s="25"/>
      <c r="MF4" s="25"/>
      <c r="MG4" s="25"/>
      <c r="MH4" s="25"/>
    </row>
    <row r="5" spans="1:347" s="26" customFormat="1" ht="36" x14ac:dyDescent="0.25">
      <c r="A5" s="21">
        <v>1</v>
      </c>
      <c r="B5" s="21">
        <f>VLOOKUP($A5,'Indicadores Financeiros'!$A$127:$J$229,2,FALSE)</f>
        <v>316</v>
      </c>
      <c r="C5" s="22" t="str">
        <f>VLOOKUP($A5,'Indicadores Financeiros'!$A$127:$J$229,3,FALSE)</f>
        <v>São Paulo - Fórum Fazenda Pública - Hely Lopes Meirelles</v>
      </c>
      <c r="D5" s="326" t="str">
        <f>VLOOKUP($B5,BIP!A:E,5,FALSE)</f>
        <v>São Paulo</v>
      </c>
      <c r="E5" s="72">
        <v>690021</v>
      </c>
      <c r="F5" s="7" t="str">
        <f>VLOOKUP($E5,'Tabela de Códigos e Valores'!$A:$M,2,FALSE)</f>
        <v>Serviço de limpeza de vidros com exposição à situação de risco</v>
      </c>
      <c r="G5" s="7" t="str">
        <f>VLOOKUP($E5,'Tabela de Códigos e Valores'!$A:$M,5,FALSE)</f>
        <v>M2</v>
      </c>
      <c r="H5" s="7" t="str">
        <f>VLOOKUP($E5,'Tabela de Códigos e Valores'!$A:$M,6,FALSE)</f>
        <v>Trimestral</v>
      </c>
      <c r="I5" s="175">
        <f>VLOOKUP($E5,'Tabela de Códigos e Valores'!$A:$M,7,FALSE)</f>
        <v>0</v>
      </c>
      <c r="J5" s="175">
        <f>VLOOKUP($E5,'Tabela de Códigos e Valores'!$A:$M,8,FALSE)</f>
        <v>0</v>
      </c>
      <c r="K5" s="263">
        <v>280</v>
      </c>
      <c r="L5" s="188">
        <f>IFERROR(VLOOKUP(E5,'Indicadores Financeiros'!$A$90:$J$92,10,FALSE),0)</f>
        <v>0</v>
      </c>
      <c r="M5" s="175">
        <f>VLOOKUP($E5,'Tabela de Códigos e Valores'!$A:$Z,16,FALSE)</f>
        <v>0</v>
      </c>
      <c r="N5" s="175">
        <f>VLOOKUP($E5,'Tabela de Códigos e Valores'!$A:$Z,17,FALSE)</f>
        <v>0</v>
      </c>
      <c r="O5" s="175">
        <f>VLOOKUP($E5,'Tabela de Códigos e Valores'!$A:$AAB,28,FALSE)</f>
        <v>0</v>
      </c>
      <c r="P5" s="175">
        <f>ROUND(IF($G5&lt;&gt;"M2",IF(VLOOKUP($E5,'Tabela de Códigos e Valores'!$A:$J,10,FALSE)*6%&gt;=VLOOKUP('Relatório Custo'!$A5,'Indicadores Financeiros'!$A$127:$I$131,9,FALSE)*'Relatório Custo'!I5,0,VLOOKUP('Relatório Custo'!$A5,'Indicadores Financeiros'!$A$127:$I$131,9,FALSE)*'Relatório Custo'!I5-VLOOKUP($E5,'Tabela de Códigos e Valores'!$A:$J,10,FALSE)*6%),0),2)</f>
        <v>0</v>
      </c>
      <c r="Q5" s="175">
        <f>VLOOKUP($E5,'Tabela de Códigos e Valores'!$A:$AAC,30,FALSE)</f>
        <v>0</v>
      </c>
      <c r="R5" s="175">
        <f>ROUND(ROUND(($M5+$N5+$O5+$P5+$Q5),2)*VLOOKUP($E5,'Tabela de Códigos e Valores'!$A:$AE,31,FALSE)/(1-VLOOKUP($E5,'Tabela de Códigos e Valores'!$A:$AE,31,FALSE)),2)</f>
        <v>0</v>
      </c>
      <c r="S5" s="24">
        <f t="shared" si="0"/>
        <v>0</v>
      </c>
      <c r="T5" s="177">
        <f>VLOOKUP($A5,'Indicadores Financeiros'!$A$127:$J$131,8,FALSE)</f>
        <v>2.0400000000000001E-2</v>
      </c>
      <c r="U5" s="24">
        <f t="shared" si="1"/>
        <v>0</v>
      </c>
      <c r="V5" s="32">
        <f t="shared" si="2"/>
        <v>0</v>
      </c>
      <c r="W5" s="234">
        <f>VLOOKUP($A5,'Indicadores Financeiros'!$A$127:$J$131,10)</f>
        <v>1</v>
      </c>
      <c r="X5" s="63">
        <f>U5*IF(H5="Mensal",('Indicadores Financeiros'!$F$14-W5+1),IF(H5="Trimestral",INT(('Indicadores Financeiros'!$F$14-W5+1)/3),INT(('Indicadores Financeiros'!$F$14-W5+1)/12)))*K5</f>
        <v>0</v>
      </c>
      <c r="Y5" s="74"/>
      <c r="Z5" s="63">
        <f t="shared" si="3"/>
        <v>0</v>
      </c>
      <c r="AA5" s="63">
        <f>ROUND('Indicadores Financeiros'!$J$71*$Z5,4)</f>
        <v>0</v>
      </c>
      <c r="AB5" s="25"/>
      <c r="AC5" s="23">
        <f t="shared" ref="AC5:AC35" si="4">ROUND(IF(OR($G5="Posto",$G5="Plantão"),$U5/$I5,0),2)</f>
        <v>0</v>
      </c>
      <c r="AD5" s="23">
        <f>IF(G5="m2",0,ROUND((ROUND(VLOOKUP($E5,'Tabela de Códigos e Valores'!$A:$AB,26,FALSE)/I5,2)+ROUND(P5/I5,2)+ROUND(M5*'Indicadores Financeiros'!$J$61/I5,2)+ROUND(R5/I5,2))*(1+T5),2))</f>
        <v>0</v>
      </c>
      <c r="AE5" s="23">
        <f>IF(G5="posto",IF(OR(E5=690018,E5=690019),'Indicadores Financeiros'!$J$108,IF(OR(E5=690002,E5=690016,E5=690019,E5=690035,E5=690038,E5=690064),'Indicadores Financeiros'!$G$108/2*(1+T5),'Indicadores Financeiros'!$G$108*(1+T5))),0)</f>
        <v>0</v>
      </c>
      <c r="AF5" s="57"/>
      <c r="AG5" s="31"/>
      <c r="AH5" s="253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  <c r="LI5" s="25"/>
      <c r="LJ5" s="25"/>
      <c r="LK5" s="25"/>
      <c r="LL5" s="25"/>
      <c r="LM5" s="25"/>
      <c r="LN5" s="25"/>
      <c r="LO5" s="25"/>
      <c r="LP5" s="25"/>
      <c r="LQ5" s="25"/>
      <c r="LR5" s="25"/>
      <c r="LS5" s="25"/>
      <c r="LT5" s="25"/>
      <c r="LU5" s="25"/>
      <c r="LV5" s="25"/>
      <c r="LW5" s="25"/>
      <c r="LX5" s="25"/>
      <c r="LY5" s="25"/>
      <c r="LZ5" s="25"/>
      <c r="MA5" s="25"/>
      <c r="MB5" s="25"/>
      <c r="MC5" s="25"/>
      <c r="MD5" s="25"/>
      <c r="ME5" s="25"/>
      <c r="MF5" s="25"/>
      <c r="MG5" s="25"/>
      <c r="MH5" s="25"/>
    </row>
    <row r="6" spans="1:347" s="26" customFormat="1" ht="36" x14ac:dyDescent="0.25">
      <c r="A6" s="21">
        <v>1</v>
      </c>
      <c r="B6" s="21">
        <f>VLOOKUP($A6,'Indicadores Financeiros'!$A$127:$J$229,2,FALSE)</f>
        <v>316</v>
      </c>
      <c r="C6" s="22" t="str">
        <f>VLOOKUP($A6,'Indicadores Financeiros'!$A$127:$J$229,3,FALSE)</f>
        <v>São Paulo - Fórum Fazenda Pública - Hely Lopes Meirelles</v>
      </c>
      <c r="D6" s="326" t="str">
        <f>VLOOKUP($B6,BIP!A:E,5,FALSE)</f>
        <v>São Paulo</v>
      </c>
      <c r="E6" s="72">
        <v>690029</v>
      </c>
      <c r="F6" s="7" t="str">
        <f>VLOOKUP($E6,'Tabela de Códigos e Valores'!$A:$M,2,FALSE)</f>
        <v>Serviço de limpeza de vidros sem exposição à situação de risco</v>
      </c>
      <c r="G6" s="7" t="str">
        <f>VLOOKUP($E6,'Tabela de Códigos e Valores'!$A:$M,5,FALSE)</f>
        <v>M2</v>
      </c>
      <c r="H6" s="7" t="str">
        <f>VLOOKUP($E6,'Tabela de Códigos e Valores'!$A:$M,6,FALSE)</f>
        <v>Trimestral</v>
      </c>
      <c r="I6" s="175">
        <f>VLOOKUP($E6,'Tabela de Códigos e Valores'!$A:$M,7,FALSE)</f>
        <v>0</v>
      </c>
      <c r="J6" s="175">
        <f>VLOOKUP($E6,'Tabela de Códigos e Valores'!$A:$M,8,FALSE)</f>
        <v>0</v>
      </c>
      <c r="K6" s="263">
        <v>3556</v>
      </c>
      <c r="L6" s="188">
        <f>IFERROR(VLOOKUP(E6,'Indicadores Financeiros'!$A$90:$J$92,10,FALSE),0)</f>
        <v>0</v>
      </c>
      <c r="M6" s="175">
        <f>VLOOKUP($E6,'Tabela de Códigos e Valores'!$A:$Z,16,FALSE)</f>
        <v>0</v>
      </c>
      <c r="N6" s="175">
        <f>VLOOKUP($E6,'Tabela de Códigos e Valores'!$A:$Z,17,FALSE)</f>
        <v>0</v>
      </c>
      <c r="O6" s="175">
        <f>VLOOKUP($E6,'Tabela de Códigos e Valores'!$A:$AAB,28,FALSE)</f>
        <v>0</v>
      </c>
      <c r="P6" s="175">
        <f>ROUND(IF($G6&lt;&gt;"M2",IF(VLOOKUP($E6,'Tabela de Códigos e Valores'!$A:$J,10,FALSE)*6%&gt;=VLOOKUP('Relatório Custo'!$A6,'Indicadores Financeiros'!$A$127:$I$131,9,FALSE)*'Relatório Custo'!I6,0,VLOOKUP('Relatório Custo'!$A6,'Indicadores Financeiros'!$A$127:$I$131,9,FALSE)*'Relatório Custo'!I6-VLOOKUP($E6,'Tabela de Códigos e Valores'!$A:$J,10,FALSE)*6%),0),2)</f>
        <v>0</v>
      </c>
      <c r="Q6" s="175">
        <f>VLOOKUP($E6,'Tabela de Códigos e Valores'!$A:$AAC,30,FALSE)</f>
        <v>0</v>
      </c>
      <c r="R6" s="175">
        <f>ROUND(ROUND(($M6+$N6+$O6+$P6+$Q6),2)*VLOOKUP($E6,'Tabela de Códigos e Valores'!$A:$AE,31,FALSE)/(1-VLOOKUP($E6,'Tabela de Códigos e Valores'!$A:$AE,31,FALSE)),2)</f>
        <v>0</v>
      </c>
      <c r="S6" s="24">
        <f t="shared" si="0"/>
        <v>0</v>
      </c>
      <c r="T6" s="177">
        <f>VLOOKUP($A6,'Indicadores Financeiros'!$A$127:$J$131,8,FALSE)</f>
        <v>2.0400000000000001E-2</v>
      </c>
      <c r="U6" s="24">
        <f t="shared" si="1"/>
        <v>0</v>
      </c>
      <c r="V6" s="32">
        <f t="shared" si="2"/>
        <v>0</v>
      </c>
      <c r="W6" s="234">
        <f>VLOOKUP($A6,'Indicadores Financeiros'!$A$127:$J$131,10)</f>
        <v>1</v>
      </c>
      <c r="X6" s="63">
        <f>U6*IF(H6="Mensal",('Indicadores Financeiros'!$F$14-W6+1),IF(H6="Trimestral",INT(('Indicadores Financeiros'!$F$14-W6+1)/3),INT(('Indicadores Financeiros'!$F$14-W6+1)/12)))*K6</f>
        <v>0</v>
      </c>
      <c r="Y6" s="74"/>
      <c r="Z6" s="63">
        <f t="shared" si="3"/>
        <v>0</v>
      </c>
      <c r="AA6" s="63">
        <f>ROUND('Indicadores Financeiros'!$J$71*$Z6,4)</f>
        <v>0</v>
      </c>
      <c r="AB6" s="25"/>
      <c r="AC6" s="23">
        <f t="shared" si="4"/>
        <v>0</v>
      </c>
      <c r="AD6" s="23">
        <f>IF(G6="m2",0,ROUND((ROUND(VLOOKUP($E6,'Tabela de Códigos e Valores'!$A:$AB,26,FALSE)/I6,2)+ROUND(P6/I6,2)+ROUND(M6*'Indicadores Financeiros'!$J$61/I6,2)+ROUND(R6/I6,2))*(1+T6),2))</f>
        <v>0</v>
      </c>
      <c r="AE6" s="23">
        <f>IF(G6="posto",IF(OR(E6=690018,E6=690019),'Indicadores Financeiros'!$J$108,IF(OR(E6=690002,E6=690016,E6=690019,E6=690035,E6=690038,E6=690064),'Indicadores Financeiros'!$G$108/2*(1+T6),'Indicadores Financeiros'!$G$108*(1+T6))),0)</f>
        <v>0</v>
      </c>
      <c r="AF6" s="57"/>
      <c r="AG6" s="31"/>
      <c r="AH6" s="253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  <c r="LI6" s="25"/>
      <c r="LJ6" s="25"/>
      <c r="LK6" s="25"/>
      <c r="LL6" s="25"/>
      <c r="LM6" s="25"/>
      <c r="LN6" s="25"/>
      <c r="LO6" s="25"/>
      <c r="LP6" s="25"/>
      <c r="LQ6" s="25"/>
      <c r="LR6" s="25"/>
      <c r="LS6" s="25"/>
      <c r="LT6" s="25"/>
      <c r="LU6" s="25"/>
      <c r="LV6" s="25"/>
      <c r="LW6" s="25"/>
      <c r="LX6" s="25"/>
      <c r="LY6" s="25"/>
      <c r="LZ6" s="25"/>
      <c r="MA6" s="25"/>
      <c r="MB6" s="25"/>
      <c r="MC6" s="25"/>
      <c r="MD6" s="25"/>
      <c r="ME6" s="25"/>
      <c r="MF6" s="25"/>
      <c r="MG6" s="25"/>
      <c r="MH6" s="25"/>
    </row>
    <row r="7" spans="1:347" s="26" customFormat="1" ht="36" x14ac:dyDescent="0.25">
      <c r="A7" s="21">
        <v>1</v>
      </c>
      <c r="B7" s="21">
        <f>VLOOKUP($A7,'Indicadores Financeiros'!$A$127:$J$229,2,FALSE)</f>
        <v>316</v>
      </c>
      <c r="C7" s="22" t="str">
        <f>VLOOKUP($A7,'Indicadores Financeiros'!$A$127:$J$229,3,FALSE)</f>
        <v>São Paulo - Fórum Fazenda Pública - Hely Lopes Meirelles</v>
      </c>
      <c r="D7" s="326" t="str">
        <f>VLOOKUP($B7,BIP!A:E,5,FALSE)</f>
        <v>São Paulo</v>
      </c>
      <c r="E7" s="72">
        <v>690037</v>
      </c>
      <c r="F7" s="7" t="str">
        <f>VLOOKUP($E7,'Tabela de Códigos e Valores'!$A:$M,2,FALSE)</f>
        <v>Agente de Higienização (Tempo Integral) - (40%) - 44 horas semanais</v>
      </c>
      <c r="G7" s="7" t="str">
        <f>VLOOKUP($E7,'Tabela de Códigos e Valores'!$A:$M,5,FALSE)</f>
        <v>Posto</v>
      </c>
      <c r="H7" s="7" t="str">
        <f>VLOOKUP($E7,'Tabela de Códigos e Valores'!$A:$M,6,FALSE)</f>
        <v>Mensal</v>
      </c>
      <c r="I7" s="175">
        <f>VLOOKUP($E7,'Tabela de Códigos e Valores'!$A:$M,7,FALSE)</f>
        <v>21</v>
      </c>
      <c r="J7" s="175">
        <f>VLOOKUP($E7,'Tabela de Códigos e Valores'!$A:$M,8,FALSE)</f>
        <v>0</v>
      </c>
      <c r="K7" s="263">
        <v>6</v>
      </c>
      <c r="L7" s="188">
        <f>IFERROR(VLOOKUP(E7,'Indicadores Financeiros'!$A$90:$J$92,10,FALSE),0)</f>
        <v>0</v>
      </c>
      <c r="M7" s="175">
        <f>VLOOKUP($E7,'Tabela de Códigos e Valores'!$A:$Z,16,FALSE)</f>
        <v>0</v>
      </c>
      <c r="N7" s="175">
        <f>VLOOKUP($E7,'Tabela de Códigos e Valores'!$A:$Z,17,FALSE)</f>
        <v>0</v>
      </c>
      <c r="O7" s="175">
        <f>VLOOKUP($E7,'Tabela de Códigos e Valores'!$A:$AAB,28,FALSE)</f>
        <v>0</v>
      </c>
      <c r="P7" s="175">
        <f>ROUND(IF($G7&lt;&gt;"M2",IF(VLOOKUP($E7,'Tabela de Códigos e Valores'!$A:$J,10,FALSE)*6%&gt;=VLOOKUP('Relatório Custo'!$A7,'Indicadores Financeiros'!$A$127:$I$131,9,FALSE)*'Relatório Custo'!I7,0,VLOOKUP('Relatório Custo'!$A7,'Indicadores Financeiros'!$A$127:$I$131,9,FALSE)*'Relatório Custo'!I7-VLOOKUP($E7,'Tabela de Códigos e Valores'!$A:$J,10,FALSE)*6%),0),2)</f>
        <v>0</v>
      </c>
      <c r="Q7" s="175">
        <f>VLOOKUP($E7,'Tabela de Códigos e Valores'!$A:$AAC,30,FALSE)</f>
        <v>0</v>
      </c>
      <c r="R7" s="175">
        <f>ROUND(ROUND(($M7+$N7+$O7+$P7+$Q7),2)*VLOOKUP($E7,'Tabela de Códigos e Valores'!$A:$AE,31,FALSE)/(1-VLOOKUP($E7,'Tabela de Códigos e Valores'!$A:$AE,31,FALSE)),2)</f>
        <v>0</v>
      </c>
      <c r="S7" s="24">
        <f t="shared" si="0"/>
        <v>0</v>
      </c>
      <c r="T7" s="177">
        <f>VLOOKUP($A7,'Indicadores Financeiros'!$A$127:$J$131,8,FALSE)</f>
        <v>2.0400000000000001E-2</v>
      </c>
      <c r="U7" s="24">
        <f t="shared" si="1"/>
        <v>0</v>
      </c>
      <c r="V7" s="32">
        <f t="shared" si="2"/>
        <v>0</v>
      </c>
      <c r="W7" s="234">
        <f>VLOOKUP($A7,'Indicadores Financeiros'!$A$127:$J$131,10)</f>
        <v>1</v>
      </c>
      <c r="X7" s="63">
        <f>U7*IF(H7="Mensal",('Indicadores Financeiros'!$F$14-W7+1),IF(H7="Trimestral",INT(('Indicadores Financeiros'!$F$14-W7+1)/3),INT(('Indicadores Financeiros'!$F$14-W7+1)/12)))*K7</f>
        <v>0</v>
      </c>
      <c r="Y7" s="74"/>
      <c r="Z7" s="63">
        <f t="shared" si="3"/>
        <v>0</v>
      </c>
      <c r="AA7" s="63">
        <f>ROUND('Indicadores Financeiros'!$J$71*$Z7,4)</f>
        <v>0</v>
      </c>
      <c r="AB7" s="25"/>
      <c r="AC7" s="23">
        <f t="shared" si="4"/>
        <v>0</v>
      </c>
      <c r="AD7" s="23">
        <f>ROUND((ROUND(VLOOKUP($E7,'Tabela de Códigos e Valores'!$A:$AB,26,FALSE)/I7,2)+ROUND(P7/I7,2)+ROUND(M7*'Indicadores Financeiros'!$J$61/I7,2)+ROUND(R7/I7,2))*(1+T7),2)</f>
        <v>0</v>
      </c>
      <c r="AE7" s="23">
        <f>IF(G7="posto",IF(OR(E7=690018,E7=690019),'Indicadores Financeiros'!$J$108,IF(OR(E7=690002,E7=690016,E7=690019,E7=690035,E7=690038,E7=690064),'Indicadores Financeiros'!$G$108/2*(1+T7),'Indicadores Financeiros'!$G$108*(1+T7))),0)</f>
        <v>0</v>
      </c>
      <c r="AF7" s="57"/>
      <c r="AG7" s="31"/>
      <c r="AH7" s="253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  <c r="LT7" s="25"/>
      <c r="LU7" s="25"/>
      <c r="LV7" s="25"/>
      <c r="LW7" s="25"/>
      <c r="LX7" s="25"/>
      <c r="LY7" s="25"/>
      <c r="LZ7" s="25"/>
      <c r="MA7" s="25"/>
      <c r="MB7" s="25"/>
      <c r="MC7" s="25"/>
      <c r="MD7" s="25"/>
      <c r="ME7" s="25"/>
      <c r="MF7" s="25"/>
      <c r="MG7" s="25"/>
      <c r="MH7" s="25"/>
    </row>
    <row r="8" spans="1:347" s="26" customFormat="1" ht="36" x14ac:dyDescent="0.25">
      <c r="A8" s="21">
        <v>1</v>
      </c>
      <c r="B8" s="21">
        <f>VLOOKUP($A8,'Indicadores Financeiros'!$A$127:$J$229,2,FALSE)</f>
        <v>316</v>
      </c>
      <c r="C8" s="22" t="str">
        <f>VLOOKUP($A8,'Indicadores Financeiros'!$A$127:$J$229,3,FALSE)</f>
        <v>São Paulo - Fórum Fazenda Pública - Hely Lopes Meirelles</v>
      </c>
      <c r="D8" s="326" t="str">
        <f>VLOOKUP($B8,BIP!A:E,5,FALSE)</f>
        <v>São Paulo</v>
      </c>
      <c r="E8" s="72">
        <v>690056</v>
      </c>
      <c r="F8" s="7" t="str">
        <f>VLOOKUP($E8,'Tabela de Códigos e Valores'!$A:$M,2,FALSE)</f>
        <v>Encarregado(a) 11 ou mais subordinados - diurno - 44 horas semanais</v>
      </c>
      <c r="G8" s="7" t="str">
        <f>VLOOKUP($E8,'Tabela de Códigos e Valores'!$A:$M,5,FALSE)</f>
        <v>Posto</v>
      </c>
      <c r="H8" s="7" t="str">
        <f>VLOOKUP($E8,'Tabela de Códigos e Valores'!$A:$M,6,FALSE)</f>
        <v>Mensal</v>
      </c>
      <c r="I8" s="175">
        <f>VLOOKUP($E8,'Tabela de Códigos e Valores'!$A:$M,7,FALSE)</f>
        <v>21</v>
      </c>
      <c r="J8" s="175">
        <f>VLOOKUP($E8,'Tabela de Códigos e Valores'!$A:$M,8,FALSE)</f>
        <v>0</v>
      </c>
      <c r="K8" s="263">
        <v>1</v>
      </c>
      <c r="L8" s="188">
        <f>IFERROR(VLOOKUP(E8,'Indicadores Financeiros'!$A$90:$J$92,10,FALSE),0)</f>
        <v>0</v>
      </c>
      <c r="M8" s="175">
        <f>VLOOKUP($E8,'Tabela de Códigos e Valores'!$A:$Z,16,FALSE)</f>
        <v>0</v>
      </c>
      <c r="N8" s="175">
        <f>VLOOKUP($E8,'Tabela de Códigos e Valores'!$A:$Z,17,FALSE)</f>
        <v>0</v>
      </c>
      <c r="O8" s="175">
        <f>VLOOKUP($E8,'Tabela de Códigos e Valores'!$A:$AAB,28,FALSE)</f>
        <v>0</v>
      </c>
      <c r="P8" s="175">
        <f>ROUND(IF($G8&lt;&gt;"M2",IF(VLOOKUP($E8,'Tabela de Códigos e Valores'!$A:$J,10,FALSE)*6%&gt;=VLOOKUP('Relatório Custo'!$A8,'Indicadores Financeiros'!$A$127:$I$131,9,FALSE)*'Relatório Custo'!I8,0,VLOOKUP('Relatório Custo'!$A8,'Indicadores Financeiros'!$A$127:$I$131,9,FALSE)*'Relatório Custo'!I8-VLOOKUP($E8,'Tabela de Códigos e Valores'!$A:$J,10,FALSE)*6%),0),2)</f>
        <v>0</v>
      </c>
      <c r="Q8" s="175">
        <f>VLOOKUP($E8,'Tabela de Códigos e Valores'!$A:$AAC,30,FALSE)</f>
        <v>0</v>
      </c>
      <c r="R8" s="175">
        <f>ROUND(ROUND(($M8+$N8+$O8+$P8+$Q8),2)*VLOOKUP($E8,'Tabela de Códigos e Valores'!$A:$AE,31,FALSE)/(1-VLOOKUP($E8,'Tabela de Códigos e Valores'!$A:$AE,31,FALSE)),2)</f>
        <v>0</v>
      </c>
      <c r="S8" s="24">
        <f t="shared" si="0"/>
        <v>0</v>
      </c>
      <c r="T8" s="177">
        <f>VLOOKUP($A8,'Indicadores Financeiros'!$A$127:$J$131,8,FALSE)</f>
        <v>2.0400000000000001E-2</v>
      </c>
      <c r="U8" s="24">
        <f t="shared" si="1"/>
        <v>0</v>
      </c>
      <c r="V8" s="32">
        <f t="shared" si="2"/>
        <v>0</v>
      </c>
      <c r="W8" s="234">
        <f>VLOOKUP($A8,'Indicadores Financeiros'!$A$127:$J$131,10)</f>
        <v>1</v>
      </c>
      <c r="X8" s="63">
        <f>U8*IF(H8="Mensal",('Indicadores Financeiros'!$F$14-W8+1),IF(H8="Trimestral",INT(('Indicadores Financeiros'!$F$14-W8+1)/3),INT(('Indicadores Financeiros'!$F$14-W8+1)/12)))*K8</f>
        <v>0</v>
      </c>
      <c r="Y8" s="74"/>
      <c r="Z8" s="63">
        <f t="shared" si="3"/>
        <v>0</v>
      </c>
      <c r="AA8" s="63">
        <f>ROUND('Indicadores Financeiros'!$J$71*$Z8,4)</f>
        <v>0</v>
      </c>
      <c r="AB8" s="25"/>
      <c r="AC8" s="23">
        <f t="shared" si="4"/>
        <v>0</v>
      </c>
      <c r="AD8" s="23">
        <f>ROUND((ROUND(VLOOKUP($E8,'Tabela de Códigos e Valores'!$A:$AB,26,FALSE)/I8,2)+ROUND(P8/I8,2)+ROUND(M8*'Indicadores Financeiros'!$J$61/I8,2)+ROUND(R8/I8,2))*(1+T8),2)</f>
        <v>0</v>
      </c>
      <c r="AE8" s="23">
        <f>IF(G8="posto",IF(OR(E8=690018,E8=690019),'Indicadores Financeiros'!$J$108,IF(OR(E8=690002,E8=690016,E8=690019,E8=690035,E8=690038,E8=690064),'Indicadores Financeiros'!$G$108/2*(1+T8),'Indicadores Financeiros'!$G$108*(1+T8))),0)</f>
        <v>0</v>
      </c>
      <c r="AF8" s="57"/>
      <c r="AG8" s="31"/>
      <c r="AH8" s="253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  <c r="HI8" s="25"/>
      <c r="HJ8" s="25"/>
      <c r="HK8" s="25"/>
      <c r="HL8" s="25"/>
      <c r="HM8" s="25"/>
      <c r="HN8" s="25"/>
      <c r="HO8" s="25"/>
      <c r="HP8" s="25"/>
      <c r="HQ8" s="25"/>
      <c r="HR8" s="25"/>
      <c r="HS8" s="25"/>
      <c r="HT8" s="25"/>
      <c r="HU8" s="25"/>
      <c r="HV8" s="25"/>
      <c r="HW8" s="25"/>
      <c r="HX8" s="25"/>
      <c r="HY8" s="25"/>
      <c r="HZ8" s="25"/>
      <c r="IA8" s="25"/>
      <c r="IB8" s="25"/>
      <c r="IC8" s="25"/>
      <c r="ID8" s="25"/>
      <c r="IE8" s="25"/>
      <c r="IF8" s="25"/>
      <c r="IG8" s="25"/>
      <c r="IH8" s="25"/>
      <c r="II8" s="25"/>
      <c r="IJ8" s="25"/>
      <c r="IK8" s="25"/>
      <c r="IL8" s="25"/>
      <c r="IM8" s="25"/>
      <c r="IN8" s="25"/>
      <c r="IO8" s="25"/>
      <c r="IP8" s="25"/>
      <c r="IQ8" s="25"/>
      <c r="IR8" s="25"/>
      <c r="IS8" s="25"/>
      <c r="IT8" s="25"/>
      <c r="IU8" s="25"/>
      <c r="IV8" s="25"/>
      <c r="IW8" s="25"/>
      <c r="IX8" s="25"/>
      <c r="IY8" s="25"/>
      <c r="IZ8" s="25"/>
      <c r="JA8" s="25"/>
      <c r="JB8" s="25"/>
      <c r="JC8" s="25"/>
      <c r="JD8" s="25"/>
      <c r="JE8" s="25"/>
      <c r="JF8" s="25"/>
      <c r="JG8" s="25"/>
      <c r="JH8" s="25"/>
      <c r="JI8" s="25"/>
      <c r="JJ8" s="25"/>
      <c r="JK8" s="25"/>
      <c r="JL8" s="25"/>
      <c r="JM8" s="25"/>
      <c r="JN8" s="25"/>
      <c r="JO8" s="25"/>
      <c r="JP8" s="25"/>
      <c r="JQ8" s="25"/>
      <c r="JR8" s="25"/>
      <c r="JS8" s="25"/>
      <c r="JT8" s="25"/>
      <c r="JU8" s="25"/>
      <c r="JV8" s="25"/>
      <c r="JW8" s="25"/>
      <c r="JX8" s="25"/>
      <c r="JY8" s="25"/>
      <c r="JZ8" s="25"/>
      <c r="KA8" s="25"/>
      <c r="KB8" s="25"/>
      <c r="KC8" s="25"/>
      <c r="KD8" s="25"/>
      <c r="KE8" s="25"/>
      <c r="KF8" s="25"/>
      <c r="KG8" s="25"/>
      <c r="KH8" s="25"/>
      <c r="KI8" s="25"/>
      <c r="KJ8" s="25"/>
      <c r="KK8" s="25"/>
      <c r="KL8" s="25"/>
      <c r="KM8" s="25"/>
      <c r="KN8" s="25"/>
      <c r="KO8" s="25"/>
      <c r="KP8" s="25"/>
      <c r="KQ8" s="25"/>
      <c r="KR8" s="25"/>
      <c r="KS8" s="25"/>
      <c r="KT8" s="25"/>
      <c r="KU8" s="25"/>
      <c r="KV8" s="25"/>
      <c r="KW8" s="25"/>
      <c r="KX8" s="25"/>
      <c r="KY8" s="25"/>
      <c r="KZ8" s="25"/>
      <c r="LA8" s="25"/>
      <c r="LB8" s="25"/>
      <c r="LC8" s="25"/>
      <c r="LD8" s="25"/>
      <c r="LE8" s="25"/>
      <c r="LF8" s="25"/>
      <c r="LG8" s="25"/>
      <c r="LH8" s="25"/>
      <c r="LI8" s="25"/>
      <c r="LJ8" s="25"/>
      <c r="LK8" s="25"/>
      <c r="LL8" s="25"/>
      <c r="LM8" s="25"/>
      <c r="LN8" s="25"/>
      <c r="LO8" s="25"/>
      <c r="LP8" s="25"/>
      <c r="LQ8" s="25"/>
      <c r="LR8" s="25"/>
      <c r="LS8" s="25"/>
      <c r="LT8" s="25"/>
      <c r="LU8" s="25"/>
      <c r="LV8" s="25"/>
      <c r="LW8" s="25"/>
      <c r="LX8" s="25"/>
      <c r="LY8" s="25"/>
      <c r="LZ8" s="25"/>
      <c r="MA8" s="25"/>
      <c r="MB8" s="25"/>
      <c r="MC8" s="25"/>
      <c r="MD8" s="25"/>
      <c r="ME8" s="25"/>
      <c r="MF8" s="25"/>
      <c r="MG8" s="25"/>
      <c r="MH8" s="25"/>
    </row>
    <row r="9" spans="1:347" s="332" customFormat="1" ht="24" x14ac:dyDescent="0.25">
      <c r="A9" s="21">
        <v>2</v>
      </c>
      <c r="B9" s="21">
        <f>VLOOKUP($A9,'Indicadores Financeiros'!$A$127:$J$229,2,FALSE)</f>
        <v>339</v>
      </c>
      <c r="C9" s="22" t="str">
        <f>VLOOKUP($A9,'Indicadores Financeiros'!$A$127:$J$229,3,FALSE)</f>
        <v>São Paulo - Consolação EPM</v>
      </c>
      <c r="D9" s="326" t="str">
        <f>VLOOKUP($B9,BIP!A:E,5,FALSE)</f>
        <v>São Paulo</v>
      </c>
      <c r="E9" s="73">
        <v>690001</v>
      </c>
      <c r="F9" s="7" t="str">
        <f>VLOOKUP($E9,'Tabela de Códigos e Valores'!$A:$M,2,FALSE)</f>
        <v>Auxiliar de limpeza - diurno - 44 horas semanais (segunda a sexta-feira)</v>
      </c>
      <c r="G9" s="7" t="str">
        <f>VLOOKUP($E9,'Tabela de Códigos e Valores'!$A:$M,5,FALSE)</f>
        <v>Posto</v>
      </c>
      <c r="H9" s="7" t="str">
        <f>VLOOKUP($E9,'Tabela de Códigos e Valores'!$A:$M,6,FALSE)</f>
        <v>Mensal</v>
      </c>
      <c r="I9" s="175">
        <f>VLOOKUP($E9,'Tabela de Códigos e Valores'!$A:$M,7,FALSE)</f>
        <v>21</v>
      </c>
      <c r="J9" s="175">
        <f>VLOOKUP($E9,'Tabela de Códigos e Valores'!$A:$M,8,FALSE)</f>
        <v>0</v>
      </c>
      <c r="K9" s="263">
        <v>15</v>
      </c>
      <c r="L9" s="188">
        <f>IFERROR(VLOOKUP(E9,'Indicadores Financeiros'!$A$90:$J$92,10,FALSE),0)</f>
        <v>0</v>
      </c>
      <c r="M9" s="175">
        <f>VLOOKUP($E9,'Tabela de Códigos e Valores'!$A:$Z,16,FALSE)</f>
        <v>0</v>
      </c>
      <c r="N9" s="175">
        <f>VLOOKUP($E9,'Tabela de Códigos e Valores'!$A:$Z,17,FALSE)</f>
        <v>0</v>
      </c>
      <c r="O9" s="175">
        <f>VLOOKUP($E9,'Tabela de Códigos e Valores'!$A:$AAB,28,FALSE)</f>
        <v>0</v>
      </c>
      <c r="P9" s="175">
        <f>ROUND(IF($G9&lt;&gt;"M2",IF(VLOOKUP($E9,'Tabela de Códigos e Valores'!$A:$J,10,FALSE)*6%&gt;=VLOOKUP('Relatório Custo'!$A9,'Indicadores Financeiros'!$A$127:$I$131,9,FALSE)*'Relatório Custo'!I9,0,VLOOKUP('Relatório Custo'!$A9,'Indicadores Financeiros'!$A$127:$I$131,9,FALSE)*'Relatório Custo'!I9-VLOOKUP($E9,'Tabela de Códigos e Valores'!$A:$J,10,FALSE)*6%),0),2)</f>
        <v>0</v>
      </c>
      <c r="Q9" s="175">
        <f>VLOOKUP($E9,'Tabela de Códigos e Valores'!$A:$AAC,30,FALSE)</f>
        <v>0</v>
      </c>
      <c r="R9" s="175">
        <f>ROUND(ROUND(($M9+$N9+$O9+$P9+$Q9),2)*VLOOKUP($E9,'Tabela de Códigos e Valores'!$A:$AE,31,FALSE)/(1-VLOOKUP($E9,'Tabela de Códigos e Valores'!$A:$AE,31,FALSE)),2)</f>
        <v>0</v>
      </c>
      <c r="S9" s="24">
        <f>SUM(L9:R9)</f>
        <v>0</v>
      </c>
      <c r="T9" s="177">
        <f>VLOOKUP($A9,'Indicadores Financeiros'!$A$127:$J$131,8,FALSE)</f>
        <v>2.0400000000000001E-2</v>
      </c>
      <c r="U9" s="24">
        <f>ROUND(S9*(1+T9),2)</f>
        <v>0</v>
      </c>
      <c r="V9" s="32">
        <f>ROUND(U9*K9,2)</f>
        <v>0</v>
      </c>
      <c r="W9" s="234">
        <f>VLOOKUP($A9,'Indicadores Financeiros'!$A$127:$J$131,10)</f>
        <v>1</v>
      </c>
      <c r="X9" s="63">
        <f>U9*IF(H9="Mensal",('Indicadores Financeiros'!$F$14-W9+1),IF(H9="Trimestral",INT(('Indicadores Financeiros'!$F$14-W9+1)/3),INT(('Indicadores Financeiros'!$F$14-W9+1)/12)))*K9</f>
        <v>0</v>
      </c>
      <c r="Y9" s="74"/>
      <c r="Z9" s="63">
        <f>IF(G9="Posto",M9,0)*K9</f>
        <v>0</v>
      </c>
      <c r="AA9" s="63">
        <f>ROUND('Indicadores Financeiros'!$J$71*$Z9,4)</f>
        <v>0</v>
      </c>
      <c r="AB9" s="25"/>
      <c r="AC9" s="23">
        <f>ROUND(IF(OR($G9="Posto",$G9="Plantão"),$U9/$I9,0),2)</f>
        <v>0</v>
      </c>
      <c r="AD9" s="23">
        <f>ROUND((ROUND(VLOOKUP($E9,'Tabela de Códigos e Valores'!$A:$AB,26,FALSE)/I9,2)+ROUND(P9/I9,2)+ROUND(M9*'Indicadores Financeiros'!$J$61/I9,2)+ROUND(R9/I9,2))*(1+T9),2)</f>
        <v>0</v>
      </c>
      <c r="AE9" s="23">
        <f>IF(G9="posto",IF(OR(E9=690018,E9=690019),'Indicadores Financeiros'!$J$108,IF(OR(E9=690002,E9=690016,E9=690019,E9=690035,E9=690038,E9=690064),'Indicadores Financeiros'!$G$108/2*(1+T9),'Indicadores Financeiros'!$G$108*(1+T9))),0)</f>
        <v>0</v>
      </c>
      <c r="AF9" s="57"/>
      <c r="AG9" s="31"/>
      <c r="AH9" s="253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  <c r="HI9" s="25"/>
      <c r="HJ9" s="25"/>
      <c r="HK9" s="25"/>
      <c r="HL9" s="25"/>
      <c r="HM9" s="25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  <c r="HZ9" s="25"/>
      <c r="IA9" s="25"/>
      <c r="IB9" s="25"/>
      <c r="IC9" s="25"/>
      <c r="ID9" s="25"/>
      <c r="IE9" s="25"/>
      <c r="IF9" s="25"/>
      <c r="IG9" s="25"/>
      <c r="IH9" s="25"/>
      <c r="II9" s="25"/>
      <c r="IJ9" s="25"/>
      <c r="IK9" s="25"/>
      <c r="IL9" s="25"/>
      <c r="IM9" s="25"/>
      <c r="IN9" s="25"/>
      <c r="IO9" s="25"/>
      <c r="IP9" s="25"/>
      <c r="IQ9" s="25"/>
      <c r="IR9" s="25"/>
      <c r="IS9" s="25"/>
      <c r="IT9" s="25"/>
      <c r="IU9" s="25"/>
      <c r="IV9" s="25"/>
      <c r="IW9" s="25"/>
      <c r="IX9" s="25"/>
      <c r="IY9" s="25"/>
      <c r="IZ9" s="25"/>
      <c r="JA9" s="25"/>
      <c r="JB9" s="25"/>
      <c r="JC9" s="25"/>
      <c r="JD9" s="25"/>
      <c r="JE9" s="25"/>
      <c r="JF9" s="25"/>
      <c r="JG9" s="25"/>
      <c r="JH9" s="25"/>
      <c r="JI9" s="25"/>
      <c r="JJ9" s="25"/>
      <c r="JK9" s="25"/>
      <c r="JL9" s="25"/>
      <c r="JM9" s="25"/>
      <c r="JN9" s="25"/>
      <c r="JO9" s="25"/>
      <c r="JP9" s="25"/>
      <c r="JQ9" s="25"/>
      <c r="JR9" s="25"/>
      <c r="JS9" s="25"/>
      <c r="JT9" s="25"/>
      <c r="JU9" s="25"/>
      <c r="JV9" s="25"/>
      <c r="JW9" s="25"/>
      <c r="JX9" s="25"/>
      <c r="JY9" s="25"/>
      <c r="JZ9" s="25"/>
      <c r="KA9" s="25"/>
      <c r="KB9" s="25"/>
      <c r="KC9" s="25"/>
      <c r="KD9" s="25"/>
      <c r="KE9" s="25"/>
      <c r="KF9" s="25"/>
      <c r="KG9" s="25"/>
      <c r="KH9" s="25"/>
      <c r="KI9" s="25"/>
      <c r="KJ9" s="25"/>
      <c r="KK9" s="25"/>
      <c r="KL9" s="25"/>
      <c r="KM9" s="25"/>
      <c r="KN9" s="25"/>
      <c r="KO9" s="25"/>
      <c r="KP9" s="25"/>
      <c r="KQ9" s="25"/>
      <c r="KR9" s="25"/>
      <c r="KS9" s="25"/>
      <c r="KT9" s="25"/>
      <c r="KU9" s="25"/>
      <c r="KV9" s="25"/>
      <c r="KW9" s="25"/>
      <c r="KX9" s="25"/>
      <c r="KY9" s="25"/>
      <c r="KZ9" s="25"/>
      <c r="LA9" s="25"/>
      <c r="LB9" s="25"/>
      <c r="LC9" s="25"/>
      <c r="LD9" s="25"/>
      <c r="LE9" s="25"/>
      <c r="LF9" s="25"/>
      <c r="LG9" s="25"/>
      <c r="LH9" s="25"/>
      <c r="LI9" s="25"/>
      <c r="LJ9" s="25"/>
      <c r="LK9" s="25"/>
      <c r="LL9" s="25"/>
      <c r="LM9" s="25"/>
      <c r="LN9" s="25"/>
      <c r="LO9" s="25"/>
      <c r="LP9" s="25"/>
      <c r="LQ9" s="25"/>
      <c r="LR9" s="25"/>
      <c r="LS9" s="25"/>
      <c r="LT9" s="25"/>
      <c r="LU9" s="25"/>
      <c r="LV9" s="25"/>
      <c r="LW9" s="25"/>
      <c r="LX9" s="25"/>
      <c r="LY9" s="25"/>
      <c r="LZ9" s="25"/>
      <c r="MA9" s="25"/>
      <c r="MB9" s="25"/>
      <c r="MC9" s="25"/>
      <c r="MD9" s="25"/>
      <c r="ME9" s="25"/>
      <c r="MF9" s="25"/>
      <c r="MG9" s="25"/>
      <c r="MH9" s="25"/>
    </row>
    <row r="10" spans="1:347" s="332" customFormat="1" x14ac:dyDescent="0.25">
      <c r="A10" s="21">
        <v>2</v>
      </c>
      <c r="B10" s="21">
        <f>VLOOKUP($A10,'Indicadores Financeiros'!$A$127:$J$229,2,FALSE)</f>
        <v>339</v>
      </c>
      <c r="C10" s="22" t="str">
        <f>VLOOKUP($A10,'Indicadores Financeiros'!$A$127:$J$229,3,FALSE)</f>
        <v>São Paulo - Consolação EPM</v>
      </c>
      <c r="D10" s="326" t="str">
        <f>VLOOKUP($B10,BIP!A:E,5,FALSE)</f>
        <v>São Paulo</v>
      </c>
      <c r="E10" s="72">
        <v>690020</v>
      </c>
      <c r="F10" s="7" t="str">
        <f>VLOOKUP($E10,'Tabela de Códigos e Valores'!$A:$M,2,FALSE)</f>
        <v>Serviço de Jardinagem</v>
      </c>
      <c r="G10" s="7" t="str">
        <f>VLOOKUP($E10,'Tabela de Códigos e Valores'!$A:$M,5,FALSE)</f>
        <v>M2</v>
      </c>
      <c r="H10" s="7" t="str">
        <f>VLOOKUP($E10,'Tabela de Códigos e Valores'!$A:$M,6,FALSE)</f>
        <v>Mensal</v>
      </c>
      <c r="I10" s="175">
        <f>VLOOKUP($E10,'Tabela de Códigos e Valores'!$A:$M,7,FALSE)</f>
        <v>0</v>
      </c>
      <c r="J10" s="175">
        <f>VLOOKUP($E10,'Tabela de Códigos e Valores'!$A:$M,8,FALSE)</f>
        <v>0</v>
      </c>
      <c r="K10" s="263">
        <v>100</v>
      </c>
      <c r="L10" s="188">
        <f>IFERROR(VLOOKUP(E10,'Indicadores Financeiros'!$A$90:$J$92,10,FALSE),0)</f>
        <v>0</v>
      </c>
      <c r="M10" s="175">
        <f>VLOOKUP($E10,'Tabela de Códigos e Valores'!$A:$Z,16,FALSE)</f>
        <v>0</v>
      </c>
      <c r="N10" s="175">
        <f>VLOOKUP($E10,'Tabela de Códigos e Valores'!$A:$Z,17,FALSE)</f>
        <v>0</v>
      </c>
      <c r="O10" s="175">
        <f>VLOOKUP($E10,'Tabela de Códigos e Valores'!$A:$AAB,28,FALSE)</f>
        <v>0</v>
      </c>
      <c r="P10" s="175">
        <f>ROUND(IF($G10&lt;&gt;"M2",IF(VLOOKUP($E10,'Tabela de Códigos e Valores'!$A:$J,10,FALSE)*6%&gt;=VLOOKUP('Relatório Custo'!$A10,'Indicadores Financeiros'!$A$127:$I$131,9,FALSE)*'Relatório Custo'!I10,0,VLOOKUP('Relatório Custo'!$A10,'Indicadores Financeiros'!$A$127:$I$131,9,FALSE)*'Relatório Custo'!I10-VLOOKUP($E10,'Tabela de Códigos e Valores'!$A:$J,10,FALSE)*6%),0),2)</f>
        <v>0</v>
      </c>
      <c r="Q10" s="175">
        <f>VLOOKUP($E10,'Tabela de Códigos e Valores'!$A:$AAC,30,FALSE)</f>
        <v>0</v>
      </c>
      <c r="R10" s="175">
        <f>ROUND(ROUND(($M10+$N10+$O10+$P10+$Q10),2)*VLOOKUP($E10,'Tabela de Códigos e Valores'!$A:$AE,31,FALSE)/(1-VLOOKUP($E10,'Tabela de Códigos e Valores'!$A:$AE,31,FALSE)),2)</f>
        <v>0</v>
      </c>
      <c r="S10" s="24">
        <f t="shared" ref="S10:S14" si="5">SUM(L10:R10)</f>
        <v>0</v>
      </c>
      <c r="T10" s="177">
        <f>VLOOKUP($A10,'Indicadores Financeiros'!$A$127:$J$131,8,FALSE)</f>
        <v>2.0400000000000001E-2</v>
      </c>
      <c r="U10" s="24">
        <f t="shared" ref="U10:U14" si="6">ROUND(S10*(1+T10),2)</f>
        <v>0</v>
      </c>
      <c r="V10" s="32">
        <f t="shared" ref="V10:V14" si="7">ROUND(U10*K10,2)</f>
        <v>0</v>
      </c>
      <c r="W10" s="234">
        <f>VLOOKUP($A10,'Indicadores Financeiros'!$A$127:$J$131,10)</f>
        <v>1</v>
      </c>
      <c r="X10" s="63">
        <f>U10*IF(H10="Mensal",('Indicadores Financeiros'!$F$14-W10+1),IF(H10="Trimestral",INT(('Indicadores Financeiros'!$F$14-W10+1)/3),INT(('Indicadores Financeiros'!$F$14-W10+1)/12)))*K10</f>
        <v>0</v>
      </c>
      <c r="Y10" s="74"/>
      <c r="Z10" s="63">
        <f t="shared" ref="Z10:Z14" si="8">IF(G10="Posto",M10,0)*K10</f>
        <v>0</v>
      </c>
      <c r="AA10" s="63">
        <f>ROUND('Indicadores Financeiros'!$J$71*$Z10,4)</f>
        <v>0</v>
      </c>
      <c r="AB10" s="25"/>
      <c r="AC10" s="23">
        <f>ROUND(IF(OR($G10="Posto",$G10="Plantão"),$U10/$I10,0),2)</f>
        <v>0</v>
      </c>
      <c r="AD10" s="23">
        <f>IF(G10="m2",0,ROUND((ROUND(VLOOKUP($E10,'Tabela de Códigos e Valores'!$A:$AB,26,FALSE)/I10,2)+ROUND(P10/I10,2)+ROUND(M10*'Indicadores Financeiros'!$J$61/I10,2)+ROUND(R10/I10,2))*(1+T10),2))</f>
        <v>0</v>
      </c>
      <c r="AE10" s="23">
        <f>IF(G10="posto",IF(OR(E10=690018,E10=690019),'Indicadores Financeiros'!$J$108,IF(OR(E10=690002,E10=690016,E10=690019,E10=690035,E10=690038,E10=690064),'Indicadores Financeiros'!$G$108/2*(1+T10),'Indicadores Financeiros'!$G$108*(1+T10))),0)</f>
        <v>0</v>
      </c>
      <c r="AF10" s="57"/>
      <c r="AG10" s="31"/>
      <c r="AH10" s="253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/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/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/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/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/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/>
      <c r="LF10" s="25"/>
      <c r="LG10" s="25"/>
      <c r="LH10" s="25"/>
      <c r="LI10" s="25"/>
      <c r="LJ10" s="25"/>
      <c r="LK10" s="25"/>
      <c r="LL10" s="25"/>
      <c r="LM10" s="25"/>
      <c r="LN10" s="25"/>
      <c r="LO10" s="25"/>
      <c r="LP10" s="25"/>
      <c r="LQ10" s="25"/>
      <c r="LR10" s="25"/>
      <c r="LS10" s="25"/>
      <c r="LT10" s="25"/>
      <c r="LU10" s="25"/>
      <c r="LV10" s="25"/>
      <c r="LW10" s="25"/>
      <c r="LX10" s="25"/>
      <c r="LY10" s="25"/>
      <c r="LZ10" s="25"/>
      <c r="MA10" s="25"/>
      <c r="MB10" s="25"/>
      <c r="MC10" s="25"/>
      <c r="MD10" s="25"/>
      <c r="ME10" s="25"/>
      <c r="MF10" s="25"/>
      <c r="MG10" s="25"/>
      <c r="MH10" s="25"/>
    </row>
    <row r="11" spans="1:347" s="332" customFormat="1" ht="24" x14ac:dyDescent="0.25">
      <c r="A11" s="21">
        <v>2</v>
      </c>
      <c r="B11" s="21">
        <f>VLOOKUP($A11,'Indicadores Financeiros'!$A$127:$J$229,2,FALSE)</f>
        <v>339</v>
      </c>
      <c r="C11" s="22" t="str">
        <f>VLOOKUP($A11,'Indicadores Financeiros'!$A$127:$J$229,3,FALSE)</f>
        <v>São Paulo - Consolação EPM</v>
      </c>
      <c r="D11" s="326" t="str">
        <f>VLOOKUP($B11,BIP!A:E,5,FALSE)</f>
        <v>São Paulo</v>
      </c>
      <c r="E11" s="72">
        <v>690021</v>
      </c>
      <c r="F11" s="7" t="str">
        <f>VLOOKUP($E11,'Tabela de Códigos e Valores'!$A:$M,2,FALSE)</f>
        <v>Serviço de limpeza de vidros com exposição à situação de risco</v>
      </c>
      <c r="G11" s="7" t="str">
        <f>VLOOKUP($E11,'Tabela de Códigos e Valores'!$A:$M,5,FALSE)</f>
        <v>M2</v>
      </c>
      <c r="H11" s="7" t="str">
        <f>VLOOKUP($E11,'Tabela de Códigos e Valores'!$A:$M,6,FALSE)</f>
        <v>Trimestral</v>
      </c>
      <c r="I11" s="175">
        <f>VLOOKUP($E11,'Tabela de Códigos e Valores'!$A:$M,7,FALSE)</f>
        <v>0</v>
      </c>
      <c r="J11" s="175">
        <f>VLOOKUP($E11,'Tabela de Códigos e Valores'!$A:$M,8,FALSE)</f>
        <v>0</v>
      </c>
      <c r="K11" s="263">
        <v>1900</v>
      </c>
      <c r="L11" s="188">
        <f>IFERROR(VLOOKUP(E11,'Indicadores Financeiros'!$A$90:$J$92,10,FALSE),0)</f>
        <v>0</v>
      </c>
      <c r="M11" s="175">
        <f>VLOOKUP($E11,'Tabela de Códigos e Valores'!$A:$Z,16,FALSE)</f>
        <v>0</v>
      </c>
      <c r="N11" s="175">
        <f>VLOOKUP($E11,'Tabela de Códigos e Valores'!$A:$Z,17,FALSE)</f>
        <v>0</v>
      </c>
      <c r="O11" s="175">
        <f>VLOOKUP($E11,'Tabela de Códigos e Valores'!$A:$AAB,28,FALSE)</f>
        <v>0</v>
      </c>
      <c r="P11" s="175">
        <f>ROUND(IF($G11&lt;&gt;"M2",IF(VLOOKUP($E11,'Tabela de Códigos e Valores'!$A:$J,10,FALSE)*6%&gt;=VLOOKUP('Relatório Custo'!$A11,'Indicadores Financeiros'!$A$127:$I$131,9,FALSE)*'Relatório Custo'!I11,0,VLOOKUP('Relatório Custo'!$A11,'Indicadores Financeiros'!$A$127:$I$131,9,FALSE)*'Relatório Custo'!I11-VLOOKUP($E11,'Tabela de Códigos e Valores'!$A:$J,10,FALSE)*6%),0),2)</f>
        <v>0</v>
      </c>
      <c r="Q11" s="175">
        <f>VLOOKUP($E11,'Tabela de Códigos e Valores'!$A:$AAC,30,FALSE)</f>
        <v>0</v>
      </c>
      <c r="R11" s="175">
        <f>ROUND(ROUND(($M11+$N11+$O11+$P11+$Q11),2)*VLOOKUP($E11,'Tabela de Códigos e Valores'!$A:$AE,31,FALSE)/(1-VLOOKUP($E11,'Tabela de Códigos e Valores'!$A:$AE,31,FALSE)),2)</f>
        <v>0</v>
      </c>
      <c r="S11" s="24">
        <f t="shared" si="5"/>
        <v>0</v>
      </c>
      <c r="T11" s="177">
        <f>VLOOKUP($A11,'Indicadores Financeiros'!$A$127:$J$131,8,FALSE)</f>
        <v>2.0400000000000001E-2</v>
      </c>
      <c r="U11" s="24">
        <f t="shared" si="6"/>
        <v>0</v>
      </c>
      <c r="V11" s="32">
        <f t="shared" si="7"/>
        <v>0</v>
      </c>
      <c r="W11" s="234">
        <f>VLOOKUP($A11,'Indicadores Financeiros'!$A$127:$J$131,10)</f>
        <v>1</v>
      </c>
      <c r="X11" s="63">
        <f>U11*IF(H11="Mensal",('Indicadores Financeiros'!$F$14-W11+1),IF(H11="Trimestral",INT(('Indicadores Financeiros'!$F$14-W11+1)/3),INT(('Indicadores Financeiros'!$F$14-W11+1)/12)))*K11</f>
        <v>0</v>
      </c>
      <c r="Y11" s="74"/>
      <c r="Z11" s="63">
        <f t="shared" si="8"/>
        <v>0</v>
      </c>
      <c r="AA11" s="63">
        <f>ROUND('Indicadores Financeiros'!$J$71*$Z11,4)</f>
        <v>0</v>
      </c>
      <c r="AB11" s="25"/>
      <c r="AC11" s="23">
        <f t="shared" si="4"/>
        <v>0</v>
      </c>
      <c r="AD11" s="23">
        <f>IF(G11="m2",0,ROUND((ROUND(VLOOKUP($E11,'Tabela de Códigos e Valores'!$A:$AB,26,FALSE)/I11,2)+ROUND(P11/I11,2)+ROUND(M11*'Indicadores Financeiros'!$J$61/I11,2)+ROUND(R11/I11,2))*(1+T11),2))</f>
        <v>0</v>
      </c>
      <c r="AE11" s="23">
        <f>IF(G11="posto",IF(OR(E11=690018,E11=690019),'Indicadores Financeiros'!$J$108,IF(OR(E11=690002,E11=690016,E11=690019,E11=690035,E11=690038,E11=690064),'Indicadores Financeiros'!$G$108/2*(1+T11),'Indicadores Financeiros'!$G$108*(1+T11))),0)</f>
        <v>0</v>
      </c>
      <c r="AF11" s="57"/>
      <c r="AG11" s="31"/>
      <c r="AH11" s="253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  <c r="IV11" s="25"/>
      <c r="IW11" s="25"/>
      <c r="IX11" s="25"/>
      <c r="IY11" s="25"/>
      <c r="IZ11" s="25"/>
      <c r="JA11" s="25"/>
      <c r="JB11" s="25"/>
      <c r="JC11" s="25"/>
      <c r="JD11" s="25"/>
      <c r="JE11" s="25"/>
      <c r="JF11" s="25"/>
      <c r="JG11" s="25"/>
      <c r="JH11" s="25"/>
      <c r="JI11" s="25"/>
      <c r="JJ11" s="25"/>
      <c r="JK11" s="25"/>
      <c r="JL11" s="25"/>
      <c r="JM11" s="25"/>
      <c r="JN11" s="25"/>
      <c r="JO11" s="25"/>
      <c r="JP11" s="25"/>
      <c r="JQ11" s="25"/>
      <c r="JR11" s="25"/>
      <c r="JS11" s="25"/>
      <c r="JT11" s="25"/>
      <c r="JU11" s="25"/>
      <c r="JV11" s="25"/>
      <c r="JW11" s="25"/>
      <c r="JX11" s="25"/>
      <c r="JY11" s="25"/>
      <c r="JZ11" s="25"/>
      <c r="KA11" s="25"/>
      <c r="KB11" s="25"/>
      <c r="KC11" s="25"/>
      <c r="KD11" s="25"/>
      <c r="KE11" s="25"/>
      <c r="KF11" s="25"/>
      <c r="KG11" s="25"/>
      <c r="KH11" s="25"/>
      <c r="KI11" s="25"/>
      <c r="KJ11" s="25"/>
      <c r="KK11" s="25"/>
      <c r="KL11" s="25"/>
      <c r="KM11" s="25"/>
      <c r="KN11" s="25"/>
      <c r="KO11" s="25"/>
      <c r="KP11" s="25"/>
      <c r="KQ11" s="25"/>
      <c r="KR11" s="25"/>
      <c r="KS11" s="25"/>
      <c r="KT11" s="25"/>
      <c r="KU11" s="25"/>
      <c r="KV11" s="25"/>
      <c r="KW11" s="25"/>
      <c r="KX11" s="25"/>
      <c r="KY11" s="25"/>
      <c r="KZ11" s="25"/>
      <c r="LA11" s="25"/>
      <c r="LB11" s="25"/>
      <c r="LC11" s="25"/>
      <c r="LD11" s="25"/>
      <c r="LE11" s="25"/>
      <c r="LF11" s="25"/>
      <c r="LG11" s="25"/>
      <c r="LH11" s="25"/>
      <c r="LI11" s="25"/>
      <c r="LJ11" s="25"/>
      <c r="LK11" s="25"/>
      <c r="LL11" s="25"/>
      <c r="LM11" s="25"/>
      <c r="LN11" s="25"/>
      <c r="LO11" s="25"/>
      <c r="LP11" s="25"/>
      <c r="LQ11" s="25"/>
      <c r="LR11" s="25"/>
      <c r="LS11" s="25"/>
      <c r="LT11" s="25"/>
      <c r="LU11" s="25"/>
      <c r="LV11" s="25"/>
      <c r="LW11" s="25"/>
      <c r="LX11" s="25"/>
      <c r="LY11" s="25"/>
      <c r="LZ11" s="25"/>
      <c r="MA11" s="25"/>
      <c r="MB11" s="25"/>
      <c r="MC11" s="25"/>
      <c r="MD11" s="25"/>
      <c r="ME11" s="25"/>
      <c r="MF11" s="25"/>
      <c r="MG11" s="25"/>
      <c r="MH11" s="25"/>
    </row>
    <row r="12" spans="1:347" s="332" customFormat="1" ht="24" x14ac:dyDescent="0.25">
      <c r="A12" s="21">
        <v>2</v>
      </c>
      <c r="B12" s="21">
        <f>VLOOKUP($A12,'Indicadores Financeiros'!$A$127:$J$229,2,FALSE)</f>
        <v>339</v>
      </c>
      <c r="C12" s="22" t="str">
        <f>VLOOKUP($A12,'Indicadores Financeiros'!$A$127:$J$229,3,FALSE)</f>
        <v>São Paulo - Consolação EPM</v>
      </c>
      <c r="D12" s="326" t="str">
        <f>VLOOKUP($B12,BIP!A:E,5,FALSE)</f>
        <v>São Paulo</v>
      </c>
      <c r="E12" s="72">
        <v>690022</v>
      </c>
      <c r="F12" s="7" t="str">
        <f>VLOOKUP($E12,'Tabela de Códigos e Valores'!$A:$M,2,FALSE)</f>
        <v>Auxiliar de limpeza área médica - diurno - 44 horas semanais</v>
      </c>
      <c r="G12" s="7" t="str">
        <f>VLOOKUP($E12,'Tabela de Códigos e Valores'!$A:$M,5,FALSE)</f>
        <v>Posto</v>
      </c>
      <c r="H12" s="7" t="str">
        <f>VLOOKUP($E12,'Tabela de Códigos e Valores'!$A:$M,6,FALSE)</f>
        <v>Mensal</v>
      </c>
      <c r="I12" s="175">
        <f>VLOOKUP($E12,'Tabela de Códigos e Valores'!$A:$M,7,FALSE)</f>
        <v>21</v>
      </c>
      <c r="J12" s="175">
        <f>VLOOKUP($E12,'Tabela de Códigos e Valores'!$A:$M,8,FALSE)</f>
        <v>0</v>
      </c>
      <c r="K12" s="263">
        <v>1</v>
      </c>
      <c r="L12" s="188">
        <f>IFERROR(VLOOKUP(E12,'Indicadores Financeiros'!$A$90:$J$92,10,FALSE),0)</f>
        <v>0</v>
      </c>
      <c r="M12" s="175">
        <f>VLOOKUP($E12,'Tabela de Códigos e Valores'!$A:$Z,16,FALSE)</f>
        <v>0</v>
      </c>
      <c r="N12" s="175">
        <f>VLOOKUP($E12,'Tabela de Códigos e Valores'!$A:$Z,17,FALSE)</f>
        <v>0</v>
      </c>
      <c r="O12" s="175">
        <f>VLOOKUP($E12,'Tabela de Códigos e Valores'!$A:$AAB,28,FALSE)</f>
        <v>0</v>
      </c>
      <c r="P12" s="175">
        <f>ROUND(IF($G12&lt;&gt;"M2",IF(VLOOKUP($E12,'Tabela de Códigos e Valores'!$A:$J,10,FALSE)*6%&gt;=VLOOKUP('Relatório Custo'!$A12,'Indicadores Financeiros'!$A$127:$I$131,9,FALSE)*'Relatório Custo'!I12,0,VLOOKUP('Relatório Custo'!$A12,'Indicadores Financeiros'!$A$127:$I$131,9,FALSE)*'Relatório Custo'!I12-VLOOKUP($E12,'Tabela de Códigos e Valores'!$A:$J,10,FALSE)*6%),0),2)</f>
        <v>0</v>
      </c>
      <c r="Q12" s="175">
        <f>VLOOKUP($E12,'Tabela de Códigos e Valores'!$A:$AAC,30,FALSE)</f>
        <v>0</v>
      </c>
      <c r="R12" s="175">
        <f>ROUND(ROUND(($M12+$N12+$O12+$P12+$Q12),2)*VLOOKUP($E12,'Tabela de Códigos e Valores'!$A:$AE,31,FALSE)/(1-VLOOKUP($E12,'Tabela de Códigos e Valores'!$A:$AE,31,FALSE)),2)</f>
        <v>0</v>
      </c>
      <c r="S12" s="24">
        <f t="shared" si="5"/>
        <v>0</v>
      </c>
      <c r="T12" s="177">
        <f>VLOOKUP($A12,'Indicadores Financeiros'!$A$127:$J$131,8,FALSE)</f>
        <v>2.0400000000000001E-2</v>
      </c>
      <c r="U12" s="24">
        <f t="shared" si="6"/>
        <v>0</v>
      </c>
      <c r="V12" s="32">
        <f t="shared" si="7"/>
        <v>0</v>
      </c>
      <c r="W12" s="234">
        <f>VLOOKUP($A12,'Indicadores Financeiros'!$A$127:$J$131,10)</f>
        <v>1</v>
      </c>
      <c r="X12" s="63">
        <f>U12*IF(H12="Mensal",('Indicadores Financeiros'!$F$14-W12+1),IF(H12="Trimestral",INT(('Indicadores Financeiros'!$F$14-W12+1)/3),INT(('Indicadores Financeiros'!$F$14-W12+1)/12)))*K12</f>
        <v>0</v>
      </c>
      <c r="Y12" s="74"/>
      <c r="Z12" s="63">
        <f t="shared" si="8"/>
        <v>0</v>
      </c>
      <c r="AA12" s="63">
        <f>ROUND('Indicadores Financeiros'!$J$71*$Z12,4)</f>
        <v>0</v>
      </c>
      <c r="AB12" s="25"/>
      <c r="AC12" s="23">
        <f t="shared" si="4"/>
        <v>0</v>
      </c>
      <c r="AD12" s="23">
        <f>ROUND((ROUND(VLOOKUP($E12,'Tabela de Códigos e Valores'!$A:$AB,26,FALSE)/I12,2)+ROUND(P12/I12,2)+ROUND(M12*'Indicadores Financeiros'!$J$61/I12,2)+ROUND(R12/I12,2))*(1+T12),2)</f>
        <v>0</v>
      </c>
      <c r="AE12" s="23">
        <f>IF(G12="posto",IF(OR(E12=690018,E12=690019),'Indicadores Financeiros'!$J$108,IF(OR(E12=690002,E12=690016,E12=690019,E12=690035,E12=690038,E12=690064),'Indicadores Financeiros'!$G$108/2*(1+T12),'Indicadores Financeiros'!$G$108*(1+T12))),0)</f>
        <v>0</v>
      </c>
      <c r="AF12" s="57"/>
      <c r="AG12" s="31"/>
      <c r="AH12" s="253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  <c r="IV12" s="25"/>
      <c r="IW12" s="25"/>
      <c r="IX12" s="25"/>
      <c r="IY12" s="25"/>
      <c r="IZ12" s="25"/>
      <c r="JA12" s="25"/>
      <c r="JB12" s="25"/>
      <c r="JC12" s="25"/>
      <c r="JD12" s="25"/>
      <c r="JE12" s="25"/>
      <c r="JF12" s="25"/>
      <c r="JG12" s="25"/>
      <c r="JH12" s="25"/>
      <c r="JI12" s="25"/>
      <c r="JJ12" s="25"/>
      <c r="JK12" s="25"/>
      <c r="JL12" s="25"/>
      <c r="JM12" s="25"/>
      <c r="JN12" s="25"/>
      <c r="JO12" s="25"/>
      <c r="JP12" s="25"/>
      <c r="JQ12" s="25"/>
      <c r="JR12" s="25"/>
      <c r="JS12" s="25"/>
      <c r="JT12" s="25"/>
      <c r="JU12" s="25"/>
      <c r="JV12" s="25"/>
      <c r="JW12" s="25"/>
      <c r="JX12" s="25"/>
      <c r="JY12" s="25"/>
      <c r="JZ12" s="25"/>
      <c r="KA12" s="25"/>
      <c r="KB12" s="25"/>
      <c r="KC12" s="25"/>
      <c r="KD12" s="25"/>
      <c r="KE12" s="25"/>
      <c r="KF12" s="25"/>
      <c r="KG12" s="25"/>
      <c r="KH12" s="25"/>
      <c r="KI12" s="25"/>
      <c r="KJ12" s="25"/>
      <c r="KK12" s="25"/>
      <c r="KL12" s="25"/>
      <c r="KM12" s="25"/>
      <c r="KN12" s="25"/>
      <c r="KO12" s="25"/>
      <c r="KP12" s="25"/>
      <c r="KQ12" s="25"/>
      <c r="KR12" s="25"/>
      <c r="KS12" s="25"/>
      <c r="KT12" s="25"/>
      <c r="KU12" s="25"/>
      <c r="KV12" s="25"/>
      <c r="KW12" s="25"/>
      <c r="KX12" s="25"/>
      <c r="KY12" s="25"/>
      <c r="KZ12" s="25"/>
      <c r="LA12" s="25"/>
      <c r="LB12" s="25"/>
      <c r="LC12" s="25"/>
      <c r="LD12" s="25"/>
      <c r="LE12" s="25"/>
      <c r="LF12" s="25"/>
      <c r="LG12" s="25"/>
      <c r="LH12" s="25"/>
      <c r="LI12" s="25"/>
      <c r="LJ12" s="25"/>
      <c r="LK12" s="25"/>
      <c r="LL12" s="25"/>
      <c r="LM12" s="25"/>
      <c r="LN12" s="25"/>
      <c r="LO12" s="25"/>
      <c r="LP12" s="25"/>
      <c r="LQ12" s="25"/>
      <c r="LR12" s="25"/>
      <c r="LS12" s="25"/>
      <c r="LT12" s="25"/>
      <c r="LU12" s="25"/>
      <c r="LV12" s="25"/>
      <c r="LW12" s="25"/>
      <c r="LX12" s="25"/>
      <c r="LY12" s="25"/>
      <c r="LZ12" s="25"/>
      <c r="MA12" s="25"/>
      <c r="MB12" s="25"/>
      <c r="MC12" s="25"/>
      <c r="MD12" s="25"/>
      <c r="ME12" s="25"/>
      <c r="MF12" s="25"/>
      <c r="MG12" s="25"/>
      <c r="MH12" s="25"/>
    </row>
    <row r="13" spans="1:347" s="332" customFormat="1" ht="24" x14ac:dyDescent="0.25">
      <c r="A13" s="21">
        <v>2</v>
      </c>
      <c r="B13" s="21">
        <f>VLOOKUP($A13,'Indicadores Financeiros'!$A$127:$J$229,2,FALSE)</f>
        <v>339</v>
      </c>
      <c r="C13" s="22" t="str">
        <f>VLOOKUP($A13,'Indicadores Financeiros'!$A$127:$J$229,3,FALSE)</f>
        <v>São Paulo - Consolação EPM</v>
      </c>
      <c r="D13" s="326" t="str">
        <f>VLOOKUP($B13,BIP!A:E,5,FALSE)</f>
        <v>São Paulo</v>
      </c>
      <c r="E13" s="72">
        <v>690037</v>
      </c>
      <c r="F13" s="7" t="str">
        <f>VLOOKUP($E13,'Tabela de Códigos e Valores'!$A:$M,2,FALSE)</f>
        <v>Agente de Higienização (Tempo Integral) - (40%) - 44 horas semanais</v>
      </c>
      <c r="G13" s="7" t="str">
        <f>VLOOKUP($E13,'Tabela de Códigos e Valores'!$A:$M,5,FALSE)</f>
        <v>Posto</v>
      </c>
      <c r="H13" s="7" t="str">
        <f>VLOOKUP($E13,'Tabela de Códigos e Valores'!$A:$M,6,FALSE)</f>
        <v>Mensal</v>
      </c>
      <c r="I13" s="175">
        <f>VLOOKUP($E13,'Tabela de Códigos e Valores'!$A:$M,7,FALSE)</f>
        <v>21</v>
      </c>
      <c r="J13" s="175">
        <f>VLOOKUP($E13,'Tabela de Códigos e Valores'!$A:$M,8,FALSE)</f>
        <v>0</v>
      </c>
      <c r="K13" s="263">
        <v>2</v>
      </c>
      <c r="L13" s="188">
        <f>IFERROR(VLOOKUP(E13,'Indicadores Financeiros'!$A$90:$J$92,10,FALSE),0)</f>
        <v>0</v>
      </c>
      <c r="M13" s="175">
        <f>VLOOKUP($E13,'Tabela de Códigos e Valores'!$A:$Z,16,FALSE)</f>
        <v>0</v>
      </c>
      <c r="N13" s="175">
        <f>VLOOKUP($E13,'Tabela de Códigos e Valores'!$A:$Z,17,FALSE)</f>
        <v>0</v>
      </c>
      <c r="O13" s="175">
        <f>VLOOKUP($E13,'Tabela de Códigos e Valores'!$A:$AAB,28,FALSE)</f>
        <v>0</v>
      </c>
      <c r="P13" s="175">
        <f>ROUND(IF($G13&lt;&gt;"M2",IF(VLOOKUP($E13,'Tabela de Códigos e Valores'!$A:$J,10,FALSE)*6%&gt;=VLOOKUP('Relatório Custo'!$A13,'Indicadores Financeiros'!$A$127:$I$131,9,FALSE)*'Relatório Custo'!I13,0,VLOOKUP('Relatório Custo'!$A13,'Indicadores Financeiros'!$A$127:$I$131,9,FALSE)*'Relatório Custo'!I13-VLOOKUP($E13,'Tabela de Códigos e Valores'!$A:$J,10,FALSE)*6%),0),2)</f>
        <v>0</v>
      </c>
      <c r="Q13" s="175">
        <f>VLOOKUP($E13,'Tabela de Códigos e Valores'!$A:$AAC,30,FALSE)</f>
        <v>0</v>
      </c>
      <c r="R13" s="175">
        <f>ROUND(ROUND(($M13+$N13+$O13+$P13+$Q13),2)*VLOOKUP($E13,'Tabela de Códigos e Valores'!$A:$AE,31,FALSE)/(1-VLOOKUP($E13,'Tabela de Códigos e Valores'!$A:$AE,31,FALSE)),2)</f>
        <v>0</v>
      </c>
      <c r="S13" s="24">
        <f t="shared" si="5"/>
        <v>0</v>
      </c>
      <c r="T13" s="177">
        <f>VLOOKUP($A13,'Indicadores Financeiros'!$A$127:$J$131,8,FALSE)</f>
        <v>2.0400000000000001E-2</v>
      </c>
      <c r="U13" s="24">
        <f t="shared" si="6"/>
        <v>0</v>
      </c>
      <c r="V13" s="32">
        <f t="shared" si="7"/>
        <v>0</v>
      </c>
      <c r="W13" s="234">
        <f>VLOOKUP($A13,'Indicadores Financeiros'!$A$127:$J$131,10)</f>
        <v>1</v>
      </c>
      <c r="X13" s="63">
        <f>U13*IF(H13="Mensal",('Indicadores Financeiros'!$F$14-W13+1),IF(H13="Trimestral",INT(('Indicadores Financeiros'!$F$14-W13+1)/3),INT(('Indicadores Financeiros'!$F$14-W13+1)/12)))*K13</f>
        <v>0</v>
      </c>
      <c r="Y13" s="74"/>
      <c r="Z13" s="63">
        <f t="shared" si="8"/>
        <v>0</v>
      </c>
      <c r="AA13" s="63">
        <f>ROUND('Indicadores Financeiros'!$J$71*$Z13,4)</f>
        <v>0</v>
      </c>
      <c r="AB13" s="25"/>
      <c r="AC13" s="23">
        <f t="shared" si="4"/>
        <v>0</v>
      </c>
      <c r="AD13" s="23">
        <f>ROUND((ROUND(VLOOKUP($E13,'Tabela de Códigos e Valores'!$A:$AB,26,FALSE)/I13,2)+ROUND(P13/I13,2)+ROUND(M13*'Indicadores Financeiros'!$J$61/I13,2)+ROUND(R13/I13,2))*(1+T13),2)</f>
        <v>0</v>
      </c>
      <c r="AE13" s="23">
        <f>IF(G13="posto",IF(OR(E13=690018,E13=690019),'Indicadores Financeiros'!$J$108,IF(OR(E13=690002,E13=690016,E13=690019,E13=690035,E13=690038,E13=690064),'Indicadores Financeiros'!$G$108/2*(1+T13),'Indicadores Financeiros'!$G$108*(1+T13))),0)</f>
        <v>0</v>
      </c>
      <c r="AF13" s="57"/>
      <c r="AG13" s="31"/>
      <c r="AH13" s="253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  <c r="IX13" s="25"/>
      <c r="IY13" s="25"/>
      <c r="IZ13" s="25"/>
      <c r="JA13" s="25"/>
      <c r="JB13" s="25"/>
      <c r="JC13" s="25"/>
      <c r="JD13" s="25"/>
      <c r="JE13" s="25"/>
      <c r="JF13" s="25"/>
      <c r="JG13" s="25"/>
      <c r="JH13" s="25"/>
      <c r="JI13" s="25"/>
      <c r="JJ13" s="25"/>
      <c r="JK13" s="25"/>
      <c r="JL13" s="25"/>
      <c r="JM13" s="25"/>
      <c r="JN13" s="25"/>
      <c r="JO13" s="25"/>
      <c r="JP13" s="25"/>
      <c r="JQ13" s="25"/>
      <c r="JR13" s="25"/>
      <c r="JS13" s="25"/>
      <c r="JT13" s="25"/>
      <c r="JU13" s="25"/>
      <c r="JV13" s="25"/>
      <c r="JW13" s="25"/>
      <c r="JX13" s="25"/>
      <c r="JY13" s="25"/>
      <c r="JZ13" s="25"/>
      <c r="KA13" s="25"/>
      <c r="KB13" s="25"/>
      <c r="KC13" s="25"/>
      <c r="KD13" s="25"/>
      <c r="KE13" s="25"/>
      <c r="KF13" s="25"/>
      <c r="KG13" s="25"/>
      <c r="KH13" s="25"/>
      <c r="KI13" s="25"/>
      <c r="KJ13" s="25"/>
      <c r="KK13" s="25"/>
      <c r="KL13" s="25"/>
      <c r="KM13" s="25"/>
      <c r="KN13" s="25"/>
      <c r="KO13" s="25"/>
      <c r="KP13" s="25"/>
      <c r="KQ13" s="25"/>
      <c r="KR13" s="25"/>
      <c r="KS13" s="25"/>
      <c r="KT13" s="25"/>
      <c r="KU13" s="25"/>
      <c r="KV13" s="25"/>
      <c r="KW13" s="25"/>
      <c r="KX13" s="25"/>
      <c r="KY13" s="25"/>
      <c r="KZ13" s="25"/>
      <c r="LA13" s="25"/>
      <c r="LB13" s="25"/>
      <c r="LC13" s="25"/>
      <c r="LD13" s="25"/>
      <c r="LE13" s="25"/>
      <c r="LF13" s="25"/>
      <c r="LG13" s="25"/>
      <c r="LH13" s="25"/>
      <c r="LI13" s="25"/>
      <c r="LJ13" s="25"/>
      <c r="LK13" s="25"/>
      <c r="LL13" s="25"/>
      <c r="LM13" s="25"/>
      <c r="LN13" s="25"/>
      <c r="LO13" s="25"/>
      <c r="LP13" s="25"/>
      <c r="LQ13" s="25"/>
      <c r="LR13" s="25"/>
      <c r="LS13" s="25"/>
      <c r="LT13" s="25"/>
      <c r="LU13" s="25"/>
      <c r="LV13" s="25"/>
      <c r="LW13" s="25"/>
      <c r="LX13" s="25"/>
      <c r="LY13" s="25"/>
      <c r="LZ13" s="25"/>
      <c r="MA13" s="25"/>
      <c r="MB13" s="25"/>
      <c r="MC13" s="25"/>
      <c r="MD13" s="25"/>
      <c r="ME13" s="25"/>
      <c r="MF13" s="25"/>
      <c r="MG13" s="25"/>
      <c r="MH13" s="25"/>
    </row>
    <row r="14" spans="1:347" s="332" customFormat="1" ht="24" x14ac:dyDescent="0.25">
      <c r="A14" s="21">
        <v>2</v>
      </c>
      <c r="B14" s="21">
        <f>VLOOKUP($A14,'Indicadores Financeiros'!$A$127:$J$229,2,FALSE)</f>
        <v>339</v>
      </c>
      <c r="C14" s="22" t="str">
        <f>VLOOKUP($A14,'Indicadores Financeiros'!$A$127:$J$229,3,FALSE)</f>
        <v>São Paulo - Consolação EPM</v>
      </c>
      <c r="D14" s="326" t="str">
        <f>VLOOKUP($B14,BIP!A:E,5,FALSE)</f>
        <v>São Paulo</v>
      </c>
      <c r="E14" s="72">
        <v>690056</v>
      </c>
      <c r="F14" s="7" t="str">
        <f>VLOOKUP($E14,'Tabela de Códigos e Valores'!$A:$M,2,FALSE)</f>
        <v>Encarregado(a) 11 ou mais subordinados - diurno - 44 horas semanais</v>
      </c>
      <c r="G14" s="7" t="str">
        <f>VLOOKUP($E14,'Tabela de Códigos e Valores'!$A:$M,5,FALSE)</f>
        <v>Posto</v>
      </c>
      <c r="H14" s="7" t="str">
        <f>VLOOKUP($E14,'Tabela de Códigos e Valores'!$A:$M,6,FALSE)</f>
        <v>Mensal</v>
      </c>
      <c r="I14" s="175">
        <f>VLOOKUP($E14,'Tabela de Códigos e Valores'!$A:$M,7,FALSE)</f>
        <v>21</v>
      </c>
      <c r="J14" s="175">
        <f>VLOOKUP($E14,'Tabela de Códigos e Valores'!$A:$M,8,FALSE)</f>
        <v>0</v>
      </c>
      <c r="K14" s="263">
        <v>1</v>
      </c>
      <c r="L14" s="188">
        <f>IFERROR(VLOOKUP(E14,'Indicadores Financeiros'!$A$90:$J$92,10,FALSE),0)</f>
        <v>0</v>
      </c>
      <c r="M14" s="175">
        <f>VLOOKUP($E14,'Tabela de Códigos e Valores'!$A:$Z,16,FALSE)</f>
        <v>0</v>
      </c>
      <c r="N14" s="175">
        <f>VLOOKUP($E14,'Tabela de Códigos e Valores'!$A:$Z,17,FALSE)</f>
        <v>0</v>
      </c>
      <c r="O14" s="175">
        <f>VLOOKUP($E14,'Tabela de Códigos e Valores'!$A:$AAB,28,FALSE)</f>
        <v>0</v>
      </c>
      <c r="P14" s="175">
        <f>ROUND(IF($G14&lt;&gt;"M2",IF(VLOOKUP($E14,'Tabela de Códigos e Valores'!$A:$J,10,FALSE)*6%&gt;=VLOOKUP('Relatório Custo'!$A14,'Indicadores Financeiros'!$A$127:$I$131,9,FALSE)*'Relatório Custo'!I14,0,VLOOKUP('Relatório Custo'!$A14,'Indicadores Financeiros'!$A$127:$I$131,9,FALSE)*'Relatório Custo'!I14-VLOOKUP($E14,'Tabela de Códigos e Valores'!$A:$J,10,FALSE)*6%),0),2)</f>
        <v>0</v>
      </c>
      <c r="Q14" s="175">
        <f>VLOOKUP($E14,'Tabela de Códigos e Valores'!$A:$AAC,30,FALSE)</f>
        <v>0</v>
      </c>
      <c r="R14" s="175">
        <f>ROUND(ROUND(($M14+$N14+$O14+$P14+$Q14),2)*VLOOKUP($E14,'Tabela de Códigos e Valores'!$A:$AE,31,FALSE)/(1-VLOOKUP($E14,'Tabela de Códigos e Valores'!$A:$AE,31,FALSE)),2)</f>
        <v>0</v>
      </c>
      <c r="S14" s="24">
        <f t="shared" si="5"/>
        <v>0</v>
      </c>
      <c r="T14" s="177">
        <f>VLOOKUP($A14,'Indicadores Financeiros'!$A$127:$J$131,8,FALSE)</f>
        <v>2.0400000000000001E-2</v>
      </c>
      <c r="U14" s="24">
        <f t="shared" si="6"/>
        <v>0</v>
      </c>
      <c r="V14" s="32">
        <f t="shared" si="7"/>
        <v>0</v>
      </c>
      <c r="W14" s="234">
        <f>VLOOKUP($A14,'Indicadores Financeiros'!$A$127:$J$131,10)</f>
        <v>1</v>
      </c>
      <c r="X14" s="63">
        <f>U14*IF(H14="Mensal",('Indicadores Financeiros'!$F$14-W14+1),IF(H14="Trimestral",INT(('Indicadores Financeiros'!$F$14-W14+1)/3),INT(('Indicadores Financeiros'!$F$14-W14+1)/12)))*K14</f>
        <v>0</v>
      </c>
      <c r="Y14" s="74"/>
      <c r="Z14" s="63">
        <f t="shared" si="8"/>
        <v>0</v>
      </c>
      <c r="AA14" s="63">
        <f>ROUND('Indicadores Financeiros'!$J$71*$Z14,4)</f>
        <v>0</v>
      </c>
      <c r="AB14" s="25"/>
      <c r="AC14" s="23">
        <f t="shared" si="4"/>
        <v>0</v>
      </c>
      <c r="AD14" s="23">
        <f>ROUND((ROUND(VLOOKUP($E14,'Tabela de Códigos e Valores'!$A:$AB,26,FALSE)/I14,2)+ROUND(P14/I14,2)+ROUND(M14*'Indicadores Financeiros'!$J$61/I14,2)+ROUND(R14/I14,2))*(1+T14),2)</f>
        <v>0</v>
      </c>
      <c r="AE14" s="23">
        <f>IF(G14="posto",IF(OR(E14=690018,E14=690019),'Indicadores Financeiros'!$J$108,IF(OR(E14=690002,E14=690016,E14=690019,E14=690035,E14=690038,E14=690064),'Indicadores Financeiros'!$G$108/2*(1+T14),'Indicadores Financeiros'!$G$108*(1+T14))),0)</f>
        <v>0</v>
      </c>
      <c r="AF14" s="57"/>
      <c r="AG14" s="31"/>
      <c r="AH14" s="253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  <c r="IV14" s="25"/>
      <c r="IW14" s="25"/>
      <c r="IX14" s="25"/>
      <c r="IY14" s="25"/>
      <c r="IZ14" s="25"/>
      <c r="JA14" s="25"/>
      <c r="JB14" s="25"/>
      <c r="JC14" s="25"/>
      <c r="JD14" s="25"/>
      <c r="JE14" s="25"/>
      <c r="JF14" s="25"/>
      <c r="JG14" s="25"/>
      <c r="JH14" s="25"/>
      <c r="JI14" s="25"/>
      <c r="JJ14" s="25"/>
      <c r="JK14" s="25"/>
      <c r="JL14" s="25"/>
      <c r="JM14" s="25"/>
      <c r="JN14" s="25"/>
      <c r="JO14" s="25"/>
      <c r="JP14" s="25"/>
      <c r="JQ14" s="25"/>
      <c r="JR14" s="25"/>
      <c r="JS14" s="25"/>
      <c r="JT14" s="25"/>
      <c r="JU14" s="25"/>
      <c r="JV14" s="25"/>
      <c r="JW14" s="25"/>
      <c r="JX14" s="25"/>
      <c r="JY14" s="25"/>
      <c r="JZ14" s="25"/>
      <c r="KA14" s="25"/>
      <c r="KB14" s="25"/>
      <c r="KC14" s="25"/>
      <c r="KD14" s="25"/>
      <c r="KE14" s="25"/>
      <c r="KF14" s="25"/>
      <c r="KG14" s="25"/>
      <c r="KH14" s="25"/>
      <c r="KI14" s="25"/>
      <c r="KJ14" s="25"/>
      <c r="KK14" s="25"/>
      <c r="KL14" s="25"/>
      <c r="KM14" s="25"/>
      <c r="KN14" s="25"/>
      <c r="KO14" s="25"/>
      <c r="KP14" s="25"/>
      <c r="KQ14" s="25"/>
      <c r="KR14" s="25"/>
      <c r="KS14" s="25"/>
      <c r="KT14" s="25"/>
      <c r="KU14" s="25"/>
      <c r="KV14" s="25"/>
      <c r="KW14" s="25"/>
      <c r="KX14" s="25"/>
      <c r="KY14" s="25"/>
      <c r="KZ14" s="25"/>
      <c r="LA14" s="25"/>
      <c r="LB14" s="25"/>
      <c r="LC14" s="25"/>
      <c r="LD14" s="25"/>
      <c r="LE14" s="25"/>
      <c r="LF14" s="25"/>
      <c r="LG14" s="25"/>
      <c r="LH14" s="25"/>
      <c r="LI14" s="25"/>
      <c r="LJ14" s="25"/>
      <c r="LK14" s="25"/>
      <c r="LL14" s="25"/>
      <c r="LM14" s="25"/>
      <c r="LN14" s="25"/>
      <c r="LO14" s="25"/>
      <c r="LP14" s="25"/>
      <c r="LQ14" s="25"/>
      <c r="LR14" s="25"/>
      <c r="LS14" s="25"/>
      <c r="LT14" s="25"/>
      <c r="LU14" s="25"/>
      <c r="LV14" s="25"/>
      <c r="LW14" s="25"/>
      <c r="LX14" s="25"/>
      <c r="LY14" s="25"/>
      <c r="LZ14" s="25"/>
      <c r="MA14" s="25"/>
      <c r="MB14" s="25"/>
      <c r="MC14" s="25"/>
      <c r="MD14" s="25"/>
      <c r="ME14" s="25"/>
      <c r="MF14" s="25"/>
      <c r="MG14" s="25"/>
      <c r="MH14" s="25"/>
    </row>
    <row r="15" spans="1:347" s="332" customFormat="1" ht="24" x14ac:dyDescent="0.25">
      <c r="A15" s="21">
        <v>3</v>
      </c>
      <c r="B15" s="21">
        <f>VLOOKUP($A15,'Indicadores Financeiros'!$A$127:$J$229,2,FALSE)</f>
        <v>629</v>
      </c>
      <c r="C15" s="22" t="str">
        <f>VLOOKUP($A15,'Indicadores Financeiros'!$A$127:$J$229,3,FALSE)</f>
        <v>São Paulo - JEC / JECRIM I - Central</v>
      </c>
      <c r="D15" s="326" t="str">
        <f>VLOOKUP($B15,BIP!A:E,5,FALSE)</f>
        <v>São Paulo</v>
      </c>
      <c r="E15" s="73">
        <v>690001</v>
      </c>
      <c r="F15" s="7" t="str">
        <f>VLOOKUP($E15,'Tabela de Códigos e Valores'!$A:$M,2,FALSE)</f>
        <v>Auxiliar de limpeza - diurno - 44 horas semanais (segunda a sexta-feira)</v>
      </c>
      <c r="G15" s="7" t="str">
        <f>VLOOKUP($E15,'Tabela de Códigos e Valores'!$A:$M,5,FALSE)</f>
        <v>Posto</v>
      </c>
      <c r="H15" s="7" t="str">
        <f>VLOOKUP($E15,'Tabela de Códigos e Valores'!$A:$M,6,FALSE)</f>
        <v>Mensal</v>
      </c>
      <c r="I15" s="175">
        <f>VLOOKUP($E15,'Tabela de Códigos e Valores'!$A:$M,7,FALSE)</f>
        <v>21</v>
      </c>
      <c r="J15" s="175">
        <f>VLOOKUP($E15,'Tabela de Códigos e Valores'!$A:$M,8,FALSE)</f>
        <v>0</v>
      </c>
      <c r="K15" s="263">
        <v>3</v>
      </c>
      <c r="L15" s="188">
        <f>IFERROR(VLOOKUP(E15,'Indicadores Financeiros'!$A$90:$J$92,10,FALSE),0)</f>
        <v>0</v>
      </c>
      <c r="M15" s="175">
        <f>VLOOKUP($E15,'Tabela de Códigos e Valores'!$A:$Z,16,FALSE)</f>
        <v>0</v>
      </c>
      <c r="N15" s="175">
        <f>VLOOKUP($E15,'Tabela de Códigos e Valores'!$A:$Z,17,FALSE)</f>
        <v>0</v>
      </c>
      <c r="O15" s="175">
        <f>VLOOKUP($E15,'Tabela de Códigos e Valores'!$A:$AAB,28,FALSE)</f>
        <v>0</v>
      </c>
      <c r="P15" s="175">
        <f>ROUND(IF($G15&lt;&gt;"M2",IF(VLOOKUP($E15,'Tabela de Códigos e Valores'!$A:$J,10,FALSE)*6%&gt;=VLOOKUP('Relatório Custo'!$A15,'Indicadores Financeiros'!$A$127:$I$131,9,FALSE)*'Relatório Custo'!I15,0,VLOOKUP('Relatório Custo'!$A15,'Indicadores Financeiros'!$A$127:$I$131,9,FALSE)*'Relatório Custo'!I15-VLOOKUP($E15,'Tabela de Códigos e Valores'!$A:$J,10,FALSE)*6%),0),2)</f>
        <v>0</v>
      </c>
      <c r="Q15" s="175">
        <f>VLOOKUP($E15,'Tabela de Códigos e Valores'!$A:$AAC,30,FALSE)</f>
        <v>0</v>
      </c>
      <c r="R15" s="175">
        <f>ROUND(ROUND(($M15+$N15+$O15+$P15+$Q15),2)*VLOOKUP($E15,'Tabela de Códigos e Valores'!$A:$AE,31,FALSE)/(1-VLOOKUP($E15,'Tabela de Códigos e Valores'!$A:$AE,31,FALSE)),2)</f>
        <v>0</v>
      </c>
      <c r="S15" s="24">
        <f>SUM(L15:R15)</f>
        <v>0</v>
      </c>
      <c r="T15" s="177">
        <f>VLOOKUP($A15,'Indicadores Financeiros'!$A$127:$J$131,8,FALSE)</f>
        <v>2.0400000000000001E-2</v>
      </c>
      <c r="U15" s="24">
        <f>ROUND(S15*(1+T15),2)</f>
        <v>0</v>
      </c>
      <c r="V15" s="32">
        <f>ROUND(U15*K15,2)</f>
        <v>0</v>
      </c>
      <c r="W15" s="234">
        <f>VLOOKUP($A15,'Indicadores Financeiros'!$A$127:$J$131,10)</f>
        <v>1</v>
      </c>
      <c r="X15" s="63">
        <f>U15*IF(H15="Mensal",('Indicadores Financeiros'!$F$14-W15+1),IF(H15="Trimestral",INT(('Indicadores Financeiros'!$F$14-W15+1)/3),INT(('Indicadores Financeiros'!$F$14-W15+1)/12)))*K15</f>
        <v>0</v>
      </c>
      <c r="Y15" s="74"/>
      <c r="Z15" s="63">
        <f>IF(G15="Posto",M15,0)*K15</f>
        <v>0</v>
      </c>
      <c r="AA15" s="63">
        <f>ROUND('Indicadores Financeiros'!$J$71*$Z15,4)</f>
        <v>0</v>
      </c>
      <c r="AB15" s="25"/>
      <c r="AC15" s="23">
        <f>ROUND(IF(OR($G15="Posto",$G15="Plantão"),$U15/$I15,0),2)</f>
        <v>0</v>
      </c>
      <c r="AD15" s="23">
        <f>ROUND((ROUND(VLOOKUP($E15,'Tabela de Códigos e Valores'!$A:$AB,26,FALSE)/I15,2)+ROUND(P15/I15,2)+ROUND(M15*'Indicadores Financeiros'!$J$61/I15,2)+ROUND(R15/I15,2))*(1+T15),2)</f>
        <v>0</v>
      </c>
      <c r="AE15" s="23">
        <f>IF(G15="posto",IF(OR(E15=690018,E15=690019),'Indicadores Financeiros'!$J$108,IF(OR(E15=690002,E15=690016,E15=690019,E15=690035,E15=690038,E15=690064),'Indicadores Financeiros'!$G$108/2*(1+T15),'Indicadores Financeiros'!$G$108*(1+T15))),0)</f>
        <v>0</v>
      </c>
      <c r="AF15" s="57"/>
      <c r="AG15" s="31"/>
      <c r="AH15" s="253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25"/>
      <c r="IK15" s="25"/>
      <c r="IL15" s="25"/>
      <c r="IM15" s="25"/>
      <c r="IN15" s="25"/>
      <c r="IO15" s="25"/>
      <c r="IP15" s="25"/>
      <c r="IQ15" s="25"/>
      <c r="IR15" s="25"/>
      <c r="IS15" s="25"/>
      <c r="IT15" s="25"/>
      <c r="IU15" s="25"/>
      <c r="IV15" s="25"/>
      <c r="IW15" s="25"/>
      <c r="IX15" s="25"/>
      <c r="IY15" s="25"/>
      <c r="IZ15" s="25"/>
      <c r="JA15" s="25"/>
      <c r="JB15" s="25"/>
      <c r="JC15" s="25"/>
      <c r="JD15" s="25"/>
      <c r="JE15" s="25"/>
      <c r="JF15" s="25"/>
      <c r="JG15" s="25"/>
      <c r="JH15" s="25"/>
      <c r="JI15" s="25"/>
      <c r="JJ15" s="25"/>
      <c r="JK15" s="25"/>
      <c r="JL15" s="25"/>
      <c r="JM15" s="25"/>
      <c r="JN15" s="25"/>
      <c r="JO15" s="25"/>
      <c r="JP15" s="25"/>
      <c r="JQ15" s="25"/>
      <c r="JR15" s="25"/>
      <c r="JS15" s="25"/>
      <c r="JT15" s="25"/>
      <c r="JU15" s="25"/>
      <c r="JV15" s="25"/>
      <c r="JW15" s="25"/>
      <c r="JX15" s="25"/>
      <c r="JY15" s="25"/>
      <c r="JZ15" s="25"/>
      <c r="KA15" s="25"/>
      <c r="KB15" s="25"/>
      <c r="KC15" s="25"/>
      <c r="KD15" s="25"/>
      <c r="KE15" s="25"/>
      <c r="KF15" s="25"/>
      <c r="KG15" s="25"/>
      <c r="KH15" s="25"/>
      <c r="KI15" s="25"/>
      <c r="KJ15" s="25"/>
      <c r="KK15" s="25"/>
      <c r="KL15" s="25"/>
      <c r="KM15" s="25"/>
      <c r="KN15" s="25"/>
      <c r="KO15" s="25"/>
      <c r="KP15" s="25"/>
      <c r="KQ15" s="25"/>
      <c r="KR15" s="25"/>
      <c r="KS15" s="25"/>
      <c r="KT15" s="25"/>
      <c r="KU15" s="25"/>
      <c r="KV15" s="25"/>
      <c r="KW15" s="25"/>
      <c r="KX15" s="25"/>
      <c r="KY15" s="25"/>
      <c r="KZ15" s="25"/>
      <c r="LA15" s="25"/>
      <c r="LB15" s="25"/>
      <c r="LC15" s="25"/>
      <c r="LD15" s="25"/>
      <c r="LE15" s="25"/>
      <c r="LF15" s="25"/>
      <c r="LG15" s="25"/>
      <c r="LH15" s="25"/>
      <c r="LI15" s="25"/>
      <c r="LJ15" s="25"/>
      <c r="LK15" s="25"/>
      <c r="LL15" s="25"/>
      <c r="LM15" s="25"/>
      <c r="LN15" s="25"/>
      <c r="LO15" s="25"/>
      <c r="LP15" s="25"/>
      <c r="LQ15" s="25"/>
      <c r="LR15" s="25"/>
      <c r="LS15" s="25"/>
      <c r="LT15" s="25"/>
      <c r="LU15" s="25"/>
      <c r="LV15" s="25"/>
      <c r="LW15" s="25"/>
      <c r="LX15" s="25"/>
      <c r="LY15" s="25"/>
      <c r="LZ15" s="25"/>
      <c r="MA15" s="25"/>
      <c r="MB15" s="25"/>
      <c r="MC15" s="25"/>
      <c r="MD15" s="25"/>
      <c r="ME15" s="25"/>
      <c r="MF15" s="25"/>
      <c r="MG15" s="25"/>
      <c r="MH15" s="25"/>
    </row>
    <row r="16" spans="1:347" s="332" customFormat="1" ht="24" x14ac:dyDescent="0.25">
      <c r="A16" s="21">
        <v>3</v>
      </c>
      <c r="B16" s="21">
        <f>VLOOKUP($A16,'Indicadores Financeiros'!$A$127:$J$229,2,FALSE)</f>
        <v>629</v>
      </c>
      <c r="C16" s="22" t="str">
        <f>VLOOKUP($A16,'Indicadores Financeiros'!$A$127:$J$229,3,FALSE)</f>
        <v>São Paulo - JEC / JECRIM I - Central</v>
      </c>
      <c r="D16" s="326" t="str">
        <f>VLOOKUP($B16,BIP!A:E,5,FALSE)</f>
        <v>São Paulo</v>
      </c>
      <c r="E16" s="3">
        <v>690002</v>
      </c>
      <c r="F16" s="7" t="str">
        <f>VLOOKUP($E16,'Tabela de Códigos e Valores'!$A:$M,2,FALSE)</f>
        <v>Auxiliar de limpeza - diurno - 24 horas  semanais</v>
      </c>
      <c r="G16" s="7" t="str">
        <f>VLOOKUP($E16,'Tabela de Códigos e Valores'!$A:$M,5,FALSE)</f>
        <v>Posto</v>
      </c>
      <c r="H16" s="7" t="str">
        <f>VLOOKUP($E16,'Tabela de Códigos e Valores'!$A:$M,6,FALSE)</f>
        <v>Mensal</v>
      </c>
      <c r="I16" s="175">
        <f>VLOOKUP($E16,'Tabela de Códigos e Valores'!$A:$M,7,FALSE)</f>
        <v>21</v>
      </c>
      <c r="J16" s="175">
        <f>VLOOKUP($E16,'Tabela de Códigos e Valores'!$A:$M,8,FALSE)</f>
        <v>0</v>
      </c>
      <c r="K16" s="263">
        <v>1</v>
      </c>
      <c r="L16" s="188">
        <f>IFERROR(VLOOKUP(E16,'Indicadores Financeiros'!$A$90:$J$92,10,FALSE),0)</f>
        <v>0</v>
      </c>
      <c r="M16" s="175">
        <f>VLOOKUP($E16,'Tabela de Códigos e Valores'!$A:$Z,16,FALSE)</f>
        <v>0</v>
      </c>
      <c r="N16" s="175">
        <f>VLOOKUP($E16,'Tabela de Códigos e Valores'!$A:$Z,17,FALSE)</f>
        <v>0</v>
      </c>
      <c r="O16" s="175">
        <f>VLOOKUP($E16,'Tabela de Códigos e Valores'!$A:$AAB,28,FALSE)</f>
        <v>0</v>
      </c>
      <c r="P16" s="175">
        <f>ROUND(IF($G16&lt;&gt;"M2",IF(VLOOKUP($E16,'Tabela de Códigos e Valores'!$A:$J,10,FALSE)*6%&gt;=VLOOKUP('Relatório Custo'!$A16,'Indicadores Financeiros'!$A$127:$I$131,9,FALSE)*'Relatório Custo'!I16,0,VLOOKUP('Relatório Custo'!$A16,'Indicadores Financeiros'!$A$127:$I$131,9,FALSE)*'Relatório Custo'!I16-VLOOKUP($E16,'Tabela de Códigos e Valores'!$A:$J,10,FALSE)*6%),0),2)</f>
        <v>0</v>
      </c>
      <c r="Q16" s="175">
        <f>VLOOKUP($E16,'Tabela de Códigos e Valores'!$A:$AAC,30,FALSE)</f>
        <v>0</v>
      </c>
      <c r="R16" s="175">
        <f>ROUND(ROUND(($M16+$N16+$O16+$P16+$Q16),2)*VLOOKUP($E16,'Tabela de Códigos e Valores'!$A:$AE,31,FALSE)/(1-VLOOKUP($E16,'Tabela de Códigos e Valores'!$A:$AE,31,FALSE)),2)</f>
        <v>0</v>
      </c>
      <c r="S16" s="24">
        <f t="shared" ref="S16:S20" si="9">SUM(L16:R16)</f>
        <v>0</v>
      </c>
      <c r="T16" s="177">
        <f>VLOOKUP($A16,'Indicadores Financeiros'!$A$127:$J$131,8,FALSE)</f>
        <v>2.0400000000000001E-2</v>
      </c>
      <c r="U16" s="24">
        <f t="shared" ref="U16:U20" si="10">ROUND(S16*(1+T16),2)</f>
        <v>0</v>
      </c>
      <c r="V16" s="32">
        <f t="shared" ref="V16:V20" si="11">ROUND(U16*K16,2)</f>
        <v>0</v>
      </c>
      <c r="W16" s="234">
        <f>VLOOKUP($A16,'Indicadores Financeiros'!$A$127:$J$131,10)</f>
        <v>1</v>
      </c>
      <c r="X16" s="63">
        <f>U16*IF(H16="Mensal",('Indicadores Financeiros'!$F$14-W16+1),IF(H16="Trimestral",INT(('Indicadores Financeiros'!$F$14-W16+1)/3),INT(('Indicadores Financeiros'!$F$14-W16+1)/12)))*K16</f>
        <v>0</v>
      </c>
      <c r="Y16" s="74"/>
      <c r="Z16" s="63">
        <f t="shared" ref="Z16:Z20" si="12">IF(G16="Posto",M16,0)*K16</f>
        <v>0</v>
      </c>
      <c r="AA16" s="63">
        <f>ROUND('Indicadores Financeiros'!$J$71*$Z16,4)</f>
        <v>0</v>
      </c>
      <c r="AB16" s="25"/>
      <c r="AC16" s="23">
        <f t="shared" si="4"/>
        <v>0</v>
      </c>
      <c r="AD16" s="23">
        <f>ROUND((ROUND(VLOOKUP($E16,'Tabela de Códigos e Valores'!$A:$AB,26,FALSE)/I16,2)+ROUND(P16/I16,2)+ROUND(M16*'Indicadores Financeiros'!$J$61/I16,2)+ROUND(R16/I16,2))*(1+T16),2)</f>
        <v>0</v>
      </c>
      <c r="AE16" s="23">
        <f>IF(G16="posto",IF(OR(E16=690018,E16=690019),'Indicadores Financeiros'!$J$108,IF(OR(E16=690002,E16=690016,E16=690019,E16=690035,E16=690038,E16=690064),'Indicadores Financeiros'!$G$108/2*(1+T16),'Indicadores Financeiros'!$G$108*(1+T16))),0)</f>
        <v>0</v>
      </c>
      <c r="AF16" s="57"/>
      <c r="AG16" s="31"/>
      <c r="AH16" s="253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25"/>
      <c r="IC16" s="25"/>
      <c r="ID16" s="25"/>
      <c r="IE16" s="25"/>
      <c r="IF16" s="25"/>
      <c r="IG16" s="25"/>
      <c r="IH16" s="25"/>
      <c r="II16" s="25"/>
      <c r="IJ16" s="25"/>
      <c r="IK16" s="25"/>
      <c r="IL16" s="25"/>
      <c r="IM16" s="25"/>
      <c r="IN16" s="25"/>
      <c r="IO16" s="25"/>
      <c r="IP16" s="25"/>
      <c r="IQ16" s="25"/>
      <c r="IR16" s="25"/>
      <c r="IS16" s="25"/>
      <c r="IT16" s="25"/>
      <c r="IU16" s="25"/>
      <c r="IV16" s="25"/>
      <c r="IW16" s="25"/>
      <c r="IX16" s="25"/>
      <c r="IY16" s="25"/>
      <c r="IZ16" s="25"/>
      <c r="JA16" s="25"/>
      <c r="JB16" s="25"/>
      <c r="JC16" s="25"/>
      <c r="JD16" s="25"/>
      <c r="JE16" s="25"/>
      <c r="JF16" s="25"/>
      <c r="JG16" s="25"/>
      <c r="JH16" s="25"/>
      <c r="JI16" s="25"/>
      <c r="JJ16" s="25"/>
      <c r="JK16" s="25"/>
      <c r="JL16" s="25"/>
      <c r="JM16" s="25"/>
      <c r="JN16" s="25"/>
      <c r="JO16" s="25"/>
      <c r="JP16" s="25"/>
      <c r="JQ16" s="25"/>
      <c r="JR16" s="25"/>
      <c r="JS16" s="25"/>
      <c r="JT16" s="25"/>
      <c r="JU16" s="25"/>
      <c r="JV16" s="25"/>
      <c r="JW16" s="25"/>
      <c r="JX16" s="25"/>
      <c r="JY16" s="25"/>
      <c r="JZ16" s="25"/>
      <c r="KA16" s="25"/>
      <c r="KB16" s="25"/>
      <c r="KC16" s="25"/>
      <c r="KD16" s="25"/>
      <c r="KE16" s="25"/>
      <c r="KF16" s="25"/>
      <c r="KG16" s="25"/>
      <c r="KH16" s="25"/>
      <c r="KI16" s="25"/>
      <c r="KJ16" s="25"/>
      <c r="KK16" s="25"/>
      <c r="KL16" s="25"/>
      <c r="KM16" s="25"/>
      <c r="KN16" s="25"/>
      <c r="KO16" s="25"/>
      <c r="KP16" s="25"/>
      <c r="KQ16" s="25"/>
      <c r="KR16" s="25"/>
      <c r="KS16" s="25"/>
      <c r="KT16" s="25"/>
      <c r="KU16" s="25"/>
      <c r="KV16" s="25"/>
      <c r="KW16" s="25"/>
      <c r="KX16" s="25"/>
      <c r="KY16" s="25"/>
      <c r="KZ16" s="25"/>
      <c r="LA16" s="25"/>
      <c r="LB16" s="25"/>
      <c r="LC16" s="25"/>
      <c r="LD16" s="25"/>
      <c r="LE16" s="25"/>
      <c r="LF16" s="25"/>
      <c r="LG16" s="25"/>
      <c r="LH16" s="25"/>
      <c r="LI16" s="25"/>
      <c r="LJ16" s="25"/>
      <c r="LK16" s="25"/>
      <c r="LL16" s="25"/>
      <c r="LM16" s="25"/>
      <c r="LN16" s="25"/>
      <c r="LO16" s="25"/>
      <c r="LP16" s="25"/>
      <c r="LQ16" s="25"/>
      <c r="LR16" s="25"/>
      <c r="LS16" s="25"/>
      <c r="LT16" s="25"/>
      <c r="LU16" s="25"/>
      <c r="LV16" s="25"/>
      <c r="LW16" s="25"/>
      <c r="LX16" s="25"/>
      <c r="LY16" s="25"/>
      <c r="LZ16" s="25"/>
      <c r="MA16" s="25"/>
      <c r="MB16" s="25"/>
      <c r="MC16" s="25"/>
      <c r="MD16" s="25"/>
      <c r="ME16" s="25"/>
      <c r="MF16" s="25"/>
      <c r="MG16" s="25"/>
      <c r="MH16" s="25"/>
    </row>
    <row r="17" spans="1:346" s="332" customFormat="1" ht="24" x14ac:dyDescent="0.25">
      <c r="A17" s="21">
        <v>3</v>
      </c>
      <c r="B17" s="21">
        <f>VLOOKUP($A17,'Indicadores Financeiros'!$A$127:$J$229,2,FALSE)</f>
        <v>629</v>
      </c>
      <c r="C17" s="22" t="str">
        <f>VLOOKUP($A17,'Indicadores Financeiros'!$A$127:$J$229,3,FALSE)</f>
        <v>São Paulo - JEC / JECRIM I - Central</v>
      </c>
      <c r="D17" s="326" t="str">
        <f>VLOOKUP($B17,BIP!A:E,5,FALSE)</f>
        <v>São Paulo</v>
      </c>
      <c r="E17" s="72">
        <v>690020</v>
      </c>
      <c r="F17" s="7" t="str">
        <f>VLOOKUP($E17,'Tabela de Códigos e Valores'!$A:$M,2,FALSE)</f>
        <v>Serviço de Jardinagem</v>
      </c>
      <c r="G17" s="7" t="str">
        <f>VLOOKUP($E17,'Tabela de Códigos e Valores'!$A:$M,5,FALSE)</f>
        <v>M2</v>
      </c>
      <c r="H17" s="7" t="str">
        <f>VLOOKUP($E17,'Tabela de Códigos e Valores'!$A:$M,6,FALSE)</f>
        <v>Mensal</v>
      </c>
      <c r="I17" s="175">
        <f>VLOOKUP($E17,'Tabela de Códigos e Valores'!$A:$M,7,FALSE)</f>
        <v>0</v>
      </c>
      <c r="J17" s="175">
        <f>VLOOKUP($E17,'Tabela de Códigos e Valores'!$A:$M,8,FALSE)</f>
        <v>0</v>
      </c>
      <c r="K17" s="263">
        <v>150</v>
      </c>
      <c r="L17" s="188">
        <f>IFERROR(VLOOKUP(E17,'Indicadores Financeiros'!$A$90:$J$92,10,FALSE),0)</f>
        <v>0</v>
      </c>
      <c r="M17" s="175">
        <f>VLOOKUP($E17,'Tabela de Códigos e Valores'!$A:$Z,16,FALSE)</f>
        <v>0</v>
      </c>
      <c r="N17" s="175">
        <f>VLOOKUP($E17,'Tabela de Códigos e Valores'!$A:$Z,17,FALSE)</f>
        <v>0</v>
      </c>
      <c r="O17" s="175">
        <f>VLOOKUP($E17,'Tabela de Códigos e Valores'!$A:$AAB,28,FALSE)</f>
        <v>0</v>
      </c>
      <c r="P17" s="175">
        <f>ROUND(IF($G17&lt;&gt;"M2",IF(VLOOKUP($E17,'Tabela de Códigos e Valores'!$A:$J,10,FALSE)*6%&gt;=VLOOKUP('Relatório Custo'!$A17,'Indicadores Financeiros'!$A$127:$I$131,9,FALSE)*'Relatório Custo'!I17,0,VLOOKUP('Relatório Custo'!$A17,'Indicadores Financeiros'!$A$127:$I$131,9,FALSE)*'Relatório Custo'!I17-VLOOKUP($E17,'Tabela de Códigos e Valores'!$A:$J,10,FALSE)*6%),0),2)</f>
        <v>0</v>
      </c>
      <c r="Q17" s="175">
        <f>VLOOKUP($E17,'Tabela de Códigos e Valores'!$A:$AAC,30,FALSE)</f>
        <v>0</v>
      </c>
      <c r="R17" s="175">
        <f>ROUND(ROUND(($M17+$N17+$O17+$P17+$Q17),2)*VLOOKUP($E17,'Tabela de Códigos e Valores'!$A:$AE,31,FALSE)/(1-VLOOKUP($E17,'Tabela de Códigos e Valores'!$A:$AE,31,FALSE)),2)</f>
        <v>0</v>
      </c>
      <c r="S17" s="24">
        <f t="shared" si="9"/>
        <v>0</v>
      </c>
      <c r="T17" s="177">
        <f>VLOOKUP($A17,'Indicadores Financeiros'!$A$127:$J$131,8,FALSE)</f>
        <v>2.0400000000000001E-2</v>
      </c>
      <c r="U17" s="24">
        <f t="shared" si="10"/>
        <v>0</v>
      </c>
      <c r="V17" s="32">
        <f t="shared" si="11"/>
        <v>0</v>
      </c>
      <c r="W17" s="234">
        <f>VLOOKUP($A17,'Indicadores Financeiros'!$A$127:$J$131,10)</f>
        <v>1</v>
      </c>
      <c r="X17" s="63">
        <f>U17*IF(H17="Mensal",('Indicadores Financeiros'!$F$14-W17+1),IF(H17="Trimestral",INT(('Indicadores Financeiros'!$F$14-W17+1)/3),INT(('Indicadores Financeiros'!$F$14-W17+1)/12)))*K17</f>
        <v>0</v>
      </c>
      <c r="Y17" s="74"/>
      <c r="Z17" s="63">
        <f t="shared" si="12"/>
        <v>0</v>
      </c>
      <c r="AA17" s="63">
        <f>ROUND('Indicadores Financeiros'!$J$71*$Z17,4)</f>
        <v>0</v>
      </c>
      <c r="AB17" s="25"/>
      <c r="AC17" s="23">
        <f>ROUND(IF(OR($G17="Posto",$G17="Plantão"),$U17/$I17,0),2)</f>
        <v>0</v>
      </c>
      <c r="AD17" s="23">
        <f>IF(G17="m2",0,ROUND((ROUND(VLOOKUP($E17,'Tabela de Códigos e Valores'!$A:$AB,26,FALSE)/I17,2)+ROUND(P17/I17,2)+ROUND(M17*'Indicadores Financeiros'!$J$61/I17,2)+ROUND(R17/I17,2))*(1+T17),2))</f>
        <v>0</v>
      </c>
      <c r="AE17" s="23">
        <f>IF(G17="posto",IF(OR(E17=690018,E17=690019),'Indicadores Financeiros'!$J$108,IF(OR(E17=690002,E17=690016,E17=690019,E17=690035,E17=690038,E17=690064),'Indicadores Financeiros'!$G$108/2*(1+T17),'Indicadores Financeiros'!$G$108*(1+T17))),0)</f>
        <v>0</v>
      </c>
      <c r="AF17" s="57"/>
      <c r="AG17" s="31"/>
      <c r="AH17" s="253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  <c r="II17" s="25"/>
      <c r="IJ17" s="25"/>
      <c r="IK17" s="25"/>
      <c r="IL17" s="25"/>
      <c r="IM17" s="25"/>
      <c r="IN17" s="25"/>
      <c r="IO17" s="25"/>
      <c r="IP17" s="25"/>
      <c r="IQ17" s="25"/>
      <c r="IR17" s="25"/>
      <c r="IS17" s="25"/>
      <c r="IT17" s="25"/>
      <c r="IU17" s="25"/>
      <c r="IV17" s="25"/>
      <c r="IW17" s="25"/>
      <c r="IX17" s="25"/>
      <c r="IY17" s="25"/>
      <c r="IZ17" s="25"/>
      <c r="JA17" s="25"/>
      <c r="JB17" s="25"/>
      <c r="JC17" s="25"/>
      <c r="JD17" s="25"/>
      <c r="JE17" s="25"/>
      <c r="JF17" s="25"/>
      <c r="JG17" s="25"/>
      <c r="JH17" s="25"/>
      <c r="JI17" s="25"/>
      <c r="JJ17" s="25"/>
      <c r="JK17" s="25"/>
      <c r="JL17" s="25"/>
      <c r="JM17" s="25"/>
      <c r="JN17" s="25"/>
      <c r="JO17" s="25"/>
      <c r="JP17" s="25"/>
      <c r="JQ17" s="25"/>
      <c r="JR17" s="25"/>
      <c r="JS17" s="25"/>
      <c r="JT17" s="25"/>
      <c r="JU17" s="25"/>
      <c r="JV17" s="25"/>
      <c r="JW17" s="25"/>
      <c r="JX17" s="25"/>
      <c r="JY17" s="25"/>
      <c r="JZ17" s="25"/>
      <c r="KA17" s="25"/>
      <c r="KB17" s="25"/>
      <c r="KC17" s="25"/>
      <c r="KD17" s="25"/>
      <c r="KE17" s="25"/>
      <c r="KF17" s="25"/>
      <c r="KG17" s="25"/>
      <c r="KH17" s="25"/>
      <c r="KI17" s="25"/>
      <c r="KJ17" s="25"/>
      <c r="KK17" s="25"/>
      <c r="KL17" s="25"/>
      <c r="KM17" s="25"/>
      <c r="KN17" s="25"/>
      <c r="KO17" s="25"/>
      <c r="KP17" s="25"/>
      <c r="KQ17" s="25"/>
      <c r="KR17" s="25"/>
      <c r="KS17" s="25"/>
      <c r="KT17" s="25"/>
      <c r="KU17" s="25"/>
      <c r="KV17" s="25"/>
      <c r="KW17" s="25"/>
      <c r="KX17" s="25"/>
      <c r="KY17" s="25"/>
      <c r="KZ17" s="25"/>
      <c r="LA17" s="25"/>
      <c r="LB17" s="25"/>
      <c r="LC17" s="25"/>
      <c r="LD17" s="25"/>
      <c r="LE17" s="25"/>
      <c r="LF17" s="25"/>
      <c r="LG17" s="25"/>
      <c r="LH17" s="25"/>
      <c r="LI17" s="25"/>
      <c r="LJ17" s="25"/>
      <c r="LK17" s="25"/>
      <c r="LL17" s="25"/>
      <c r="LM17" s="25"/>
      <c r="LN17" s="25"/>
      <c r="LO17" s="25"/>
      <c r="LP17" s="25"/>
      <c r="LQ17" s="25"/>
      <c r="LR17" s="25"/>
      <c r="LS17" s="25"/>
      <c r="LT17" s="25"/>
      <c r="LU17" s="25"/>
      <c r="LV17" s="25"/>
      <c r="LW17" s="25"/>
      <c r="LX17" s="25"/>
      <c r="LY17" s="25"/>
      <c r="LZ17" s="25"/>
      <c r="MA17" s="25"/>
      <c r="MB17" s="25"/>
      <c r="MC17" s="25"/>
      <c r="MD17" s="25"/>
      <c r="ME17" s="25"/>
      <c r="MF17" s="25"/>
      <c r="MG17" s="25"/>
      <c r="MH17" s="25"/>
    </row>
    <row r="18" spans="1:346" s="332" customFormat="1" ht="24" x14ac:dyDescent="0.25">
      <c r="A18" s="21">
        <v>3</v>
      </c>
      <c r="B18" s="21">
        <f>VLOOKUP($A18,'Indicadores Financeiros'!$A$127:$J$229,2,FALSE)</f>
        <v>629</v>
      </c>
      <c r="C18" s="22" t="str">
        <f>VLOOKUP($A18,'Indicadores Financeiros'!$A$127:$J$229,3,FALSE)</f>
        <v>São Paulo - JEC / JECRIM I - Central</v>
      </c>
      <c r="D18" s="326" t="str">
        <f>VLOOKUP($B18,BIP!A:E,5,FALSE)</f>
        <v>São Paulo</v>
      </c>
      <c r="E18" s="72">
        <v>690021</v>
      </c>
      <c r="F18" s="7" t="str">
        <f>VLOOKUP($E18,'Tabela de Códigos e Valores'!$A:$M,2,FALSE)</f>
        <v>Serviço de limpeza de vidros com exposição à situação de risco</v>
      </c>
      <c r="G18" s="7" t="str">
        <f>VLOOKUP($E18,'Tabela de Códigos e Valores'!$A:$M,5,FALSE)</f>
        <v>M2</v>
      </c>
      <c r="H18" s="7" t="str">
        <f>VLOOKUP($E18,'Tabela de Códigos e Valores'!$A:$M,6,FALSE)</f>
        <v>Trimestral</v>
      </c>
      <c r="I18" s="175">
        <f>VLOOKUP($E18,'Tabela de Códigos e Valores'!$A:$M,7,FALSE)</f>
        <v>0</v>
      </c>
      <c r="J18" s="175">
        <f>VLOOKUP($E18,'Tabela de Códigos e Valores'!$A:$M,8,FALSE)</f>
        <v>0</v>
      </c>
      <c r="K18" s="263">
        <v>790</v>
      </c>
      <c r="L18" s="188">
        <f>IFERROR(VLOOKUP(E18,'Indicadores Financeiros'!$A$90:$J$92,10,FALSE),0)</f>
        <v>0</v>
      </c>
      <c r="M18" s="175">
        <f>VLOOKUP($E18,'Tabela de Códigos e Valores'!$A:$Z,16,FALSE)</f>
        <v>0</v>
      </c>
      <c r="N18" s="175">
        <f>VLOOKUP($E18,'Tabela de Códigos e Valores'!$A:$Z,17,FALSE)</f>
        <v>0</v>
      </c>
      <c r="O18" s="175">
        <f>VLOOKUP($E18,'Tabela de Códigos e Valores'!$A:$AAB,28,FALSE)</f>
        <v>0</v>
      </c>
      <c r="P18" s="175">
        <f>ROUND(IF($G18&lt;&gt;"M2",IF(VLOOKUP($E18,'Tabela de Códigos e Valores'!$A:$J,10,FALSE)*6%&gt;=VLOOKUP('Relatório Custo'!$A18,'Indicadores Financeiros'!$A$127:$I$131,9,FALSE)*'Relatório Custo'!I18,0,VLOOKUP('Relatório Custo'!$A18,'Indicadores Financeiros'!$A$127:$I$131,9,FALSE)*'Relatório Custo'!I18-VLOOKUP($E18,'Tabela de Códigos e Valores'!$A:$J,10,FALSE)*6%),0),2)</f>
        <v>0</v>
      </c>
      <c r="Q18" s="175">
        <f>VLOOKUP($E18,'Tabela de Códigos e Valores'!$A:$AAC,30,FALSE)</f>
        <v>0</v>
      </c>
      <c r="R18" s="175">
        <f>ROUND(ROUND(($M18+$N18+$O18+$P18+$Q18),2)*VLOOKUP($E18,'Tabela de Códigos e Valores'!$A:$AE,31,FALSE)/(1-VLOOKUP($E18,'Tabela de Códigos e Valores'!$A:$AE,31,FALSE)),2)</f>
        <v>0</v>
      </c>
      <c r="S18" s="24">
        <f t="shared" si="9"/>
        <v>0</v>
      </c>
      <c r="T18" s="177">
        <f>VLOOKUP($A18,'Indicadores Financeiros'!$A$127:$J$131,8,FALSE)</f>
        <v>2.0400000000000001E-2</v>
      </c>
      <c r="U18" s="24">
        <f t="shared" si="10"/>
        <v>0</v>
      </c>
      <c r="V18" s="32">
        <f t="shared" si="11"/>
        <v>0</v>
      </c>
      <c r="W18" s="234">
        <f>VLOOKUP($A18,'Indicadores Financeiros'!$A$127:$J$131,10)</f>
        <v>1</v>
      </c>
      <c r="X18" s="63">
        <f>U18*IF(H18="Mensal",('Indicadores Financeiros'!$F$14-W18+1),IF(H18="Trimestral",INT(('Indicadores Financeiros'!$F$14-W18+1)/3),INT(('Indicadores Financeiros'!$F$14-W18+1)/12)))*K18</f>
        <v>0</v>
      </c>
      <c r="Y18" s="74"/>
      <c r="Z18" s="63">
        <f t="shared" si="12"/>
        <v>0</v>
      </c>
      <c r="AA18" s="63">
        <f>ROUND('Indicadores Financeiros'!$J$71*$Z18,4)</f>
        <v>0</v>
      </c>
      <c r="AB18" s="25"/>
      <c r="AC18" s="23">
        <f t="shared" si="4"/>
        <v>0</v>
      </c>
      <c r="AD18" s="23">
        <f>IF(G18="m2",0,ROUND((ROUND(VLOOKUP($E18,'Tabela de Códigos e Valores'!$A:$AB,26,FALSE)/I18,2)+ROUND(P18/I18,2)+ROUND(M18*'Indicadores Financeiros'!$J$61/I18,2)+ROUND(R18/I18,2))*(1+T18),2))</f>
        <v>0</v>
      </c>
      <c r="AE18" s="23">
        <f>IF(G18="posto",IF(OR(E18=690018,E18=690019),'Indicadores Financeiros'!$J$108,IF(OR(E18=690002,E18=690016,E18=690019,E18=690035,E18=690038,E18=690064),'Indicadores Financeiros'!$G$108/2*(1+T18),'Indicadores Financeiros'!$G$108*(1+T18))),0)</f>
        <v>0</v>
      </c>
      <c r="AF18" s="57"/>
      <c r="AG18" s="31"/>
      <c r="AH18" s="253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  <c r="HZ18" s="25"/>
      <c r="IA18" s="25"/>
      <c r="IB18" s="25"/>
      <c r="IC18" s="25"/>
      <c r="ID18" s="25"/>
      <c r="IE18" s="25"/>
      <c r="IF18" s="25"/>
      <c r="IG18" s="25"/>
      <c r="IH18" s="25"/>
      <c r="II18" s="25"/>
      <c r="IJ18" s="25"/>
      <c r="IK18" s="25"/>
      <c r="IL18" s="25"/>
      <c r="IM18" s="25"/>
      <c r="IN18" s="25"/>
      <c r="IO18" s="25"/>
      <c r="IP18" s="25"/>
      <c r="IQ18" s="25"/>
      <c r="IR18" s="25"/>
      <c r="IS18" s="25"/>
      <c r="IT18" s="25"/>
      <c r="IU18" s="25"/>
      <c r="IV18" s="25"/>
      <c r="IW18" s="25"/>
      <c r="IX18" s="25"/>
      <c r="IY18" s="25"/>
      <c r="IZ18" s="25"/>
      <c r="JA18" s="25"/>
      <c r="JB18" s="25"/>
      <c r="JC18" s="25"/>
      <c r="JD18" s="25"/>
      <c r="JE18" s="25"/>
      <c r="JF18" s="25"/>
      <c r="JG18" s="25"/>
      <c r="JH18" s="25"/>
      <c r="JI18" s="25"/>
      <c r="JJ18" s="25"/>
      <c r="JK18" s="25"/>
      <c r="JL18" s="25"/>
      <c r="JM18" s="25"/>
      <c r="JN18" s="25"/>
      <c r="JO18" s="25"/>
      <c r="JP18" s="25"/>
      <c r="JQ18" s="25"/>
      <c r="JR18" s="25"/>
      <c r="JS18" s="25"/>
      <c r="JT18" s="25"/>
      <c r="JU18" s="25"/>
      <c r="JV18" s="25"/>
      <c r="JW18" s="25"/>
      <c r="JX18" s="25"/>
      <c r="JY18" s="25"/>
      <c r="JZ18" s="25"/>
      <c r="KA18" s="25"/>
      <c r="KB18" s="25"/>
      <c r="KC18" s="25"/>
      <c r="KD18" s="25"/>
      <c r="KE18" s="25"/>
      <c r="KF18" s="25"/>
      <c r="KG18" s="25"/>
      <c r="KH18" s="25"/>
      <c r="KI18" s="25"/>
      <c r="KJ18" s="25"/>
      <c r="KK18" s="25"/>
      <c r="KL18" s="25"/>
      <c r="KM18" s="25"/>
      <c r="KN18" s="25"/>
      <c r="KO18" s="25"/>
      <c r="KP18" s="25"/>
      <c r="KQ18" s="25"/>
      <c r="KR18" s="25"/>
      <c r="KS18" s="25"/>
      <c r="KT18" s="25"/>
      <c r="KU18" s="25"/>
      <c r="KV18" s="25"/>
      <c r="KW18" s="25"/>
      <c r="KX18" s="25"/>
      <c r="KY18" s="25"/>
      <c r="KZ18" s="25"/>
      <c r="LA18" s="25"/>
      <c r="LB18" s="25"/>
      <c r="LC18" s="25"/>
      <c r="LD18" s="25"/>
      <c r="LE18" s="25"/>
      <c r="LF18" s="25"/>
      <c r="LG18" s="25"/>
      <c r="LH18" s="25"/>
      <c r="LI18" s="25"/>
      <c r="LJ18" s="25"/>
      <c r="LK18" s="25"/>
      <c r="LL18" s="25"/>
      <c r="LM18" s="25"/>
      <c r="LN18" s="25"/>
      <c r="LO18" s="25"/>
      <c r="LP18" s="25"/>
      <c r="LQ18" s="25"/>
      <c r="LR18" s="25"/>
      <c r="LS18" s="25"/>
      <c r="LT18" s="25"/>
      <c r="LU18" s="25"/>
      <c r="LV18" s="25"/>
      <c r="LW18" s="25"/>
      <c r="LX18" s="25"/>
      <c r="LY18" s="25"/>
      <c r="LZ18" s="25"/>
      <c r="MA18" s="25"/>
      <c r="MB18" s="25"/>
      <c r="MC18" s="25"/>
      <c r="MD18" s="25"/>
      <c r="ME18" s="25"/>
      <c r="MF18" s="25"/>
      <c r="MG18" s="25"/>
      <c r="MH18" s="25"/>
    </row>
    <row r="19" spans="1:346" s="332" customFormat="1" ht="24" x14ac:dyDescent="0.25">
      <c r="A19" s="21">
        <v>3</v>
      </c>
      <c r="B19" s="21">
        <f>VLOOKUP($A19,'Indicadores Financeiros'!$A$127:$J$229,2,FALSE)</f>
        <v>629</v>
      </c>
      <c r="C19" s="22" t="str">
        <f>VLOOKUP($A19,'Indicadores Financeiros'!$A$127:$J$229,3,FALSE)</f>
        <v>São Paulo - JEC / JECRIM I - Central</v>
      </c>
      <c r="D19" s="326" t="str">
        <f>VLOOKUP($B19,BIP!A:E,5,FALSE)</f>
        <v>São Paulo</v>
      </c>
      <c r="E19" s="72">
        <v>690029</v>
      </c>
      <c r="F19" s="7" t="str">
        <f>VLOOKUP($E19,'Tabela de Códigos e Valores'!$A:$M,2,FALSE)</f>
        <v>Serviço de limpeza de vidros sem exposição à situação de risco</v>
      </c>
      <c r="G19" s="7" t="str">
        <f>VLOOKUP($E19,'Tabela de Códigos e Valores'!$A:$M,5,FALSE)</f>
        <v>M2</v>
      </c>
      <c r="H19" s="7" t="str">
        <f>VLOOKUP($E19,'Tabela de Códigos e Valores'!$A:$M,6,FALSE)</f>
        <v>Trimestral</v>
      </c>
      <c r="I19" s="175">
        <f>VLOOKUP($E19,'Tabela de Códigos e Valores'!$A:$M,7,FALSE)</f>
        <v>0</v>
      </c>
      <c r="J19" s="175">
        <f>VLOOKUP($E19,'Tabela de Códigos e Valores'!$A:$M,8,FALSE)</f>
        <v>0</v>
      </c>
      <c r="K19" s="263">
        <v>120</v>
      </c>
      <c r="L19" s="188">
        <f>IFERROR(VLOOKUP(E19,'Indicadores Financeiros'!$A$90:$J$92,10,FALSE),0)</f>
        <v>0</v>
      </c>
      <c r="M19" s="175">
        <f>VLOOKUP($E19,'Tabela de Códigos e Valores'!$A:$Z,16,FALSE)</f>
        <v>0</v>
      </c>
      <c r="N19" s="175">
        <f>VLOOKUP($E19,'Tabela de Códigos e Valores'!$A:$Z,17,FALSE)</f>
        <v>0</v>
      </c>
      <c r="O19" s="175">
        <f>VLOOKUP($E19,'Tabela de Códigos e Valores'!$A:$AAB,28,FALSE)</f>
        <v>0</v>
      </c>
      <c r="P19" s="175">
        <f>ROUND(IF($G19&lt;&gt;"M2",IF(VLOOKUP($E19,'Tabela de Códigos e Valores'!$A:$J,10,FALSE)*6%&gt;=VLOOKUP('Relatório Custo'!$A19,'Indicadores Financeiros'!$A$127:$I$131,9,FALSE)*'Relatório Custo'!I19,0,VLOOKUP('Relatório Custo'!$A19,'Indicadores Financeiros'!$A$127:$I$131,9,FALSE)*'Relatório Custo'!I19-VLOOKUP($E19,'Tabela de Códigos e Valores'!$A:$J,10,FALSE)*6%),0),2)</f>
        <v>0</v>
      </c>
      <c r="Q19" s="175">
        <f>VLOOKUP($E19,'Tabela de Códigos e Valores'!$A:$AAC,30,FALSE)</f>
        <v>0</v>
      </c>
      <c r="R19" s="175">
        <f>ROUND(ROUND(($M19+$N19+$O19+$P19+$Q19),2)*VLOOKUP($E19,'Tabela de Códigos e Valores'!$A:$AE,31,FALSE)/(1-VLOOKUP($E19,'Tabela de Códigos e Valores'!$A:$AE,31,FALSE)),2)</f>
        <v>0</v>
      </c>
      <c r="S19" s="24">
        <f t="shared" si="9"/>
        <v>0</v>
      </c>
      <c r="T19" s="177">
        <f>VLOOKUP($A19,'Indicadores Financeiros'!$A$127:$J$131,8,FALSE)</f>
        <v>2.0400000000000001E-2</v>
      </c>
      <c r="U19" s="24">
        <f t="shared" si="10"/>
        <v>0</v>
      </c>
      <c r="V19" s="32">
        <f t="shared" si="11"/>
        <v>0</v>
      </c>
      <c r="W19" s="234">
        <f>VLOOKUP($A19,'Indicadores Financeiros'!$A$127:$J$131,10)</f>
        <v>1</v>
      </c>
      <c r="X19" s="63">
        <f>U19*IF(H19="Mensal",('Indicadores Financeiros'!$F$14-W19+1),IF(H19="Trimestral",INT(('Indicadores Financeiros'!$F$14-W19+1)/3),INT(('Indicadores Financeiros'!$F$14-W19+1)/12)))*K19</f>
        <v>0</v>
      </c>
      <c r="Y19" s="74"/>
      <c r="Z19" s="63">
        <f t="shared" si="12"/>
        <v>0</v>
      </c>
      <c r="AA19" s="63">
        <f>ROUND('Indicadores Financeiros'!$J$71*$Z19,4)</f>
        <v>0</v>
      </c>
      <c r="AB19" s="25"/>
      <c r="AC19" s="23">
        <f t="shared" si="4"/>
        <v>0</v>
      </c>
      <c r="AD19" s="23">
        <f>IF(G19="m2",0,ROUND((ROUND(VLOOKUP($E19,'Tabela de Códigos e Valores'!$A:$AB,26,FALSE)/I19,2)+ROUND(P19/I19,2)+ROUND(M19*'Indicadores Financeiros'!$J$61/I19,2)+ROUND(R19/I19,2))*(1+T19),2))</f>
        <v>0</v>
      </c>
      <c r="AE19" s="23">
        <f>IF(G19="posto",IF(OR(E19=690018,E19=690019),'Indicadores Financeiros'!$J$108,IF(OR(E19=690002,E19=690016,E19=690019,E19=690035,E19=690038,E19=690064),'Indicadores Financeiros'!$G$108/2*(1+T19),'Indicadores Financeiros'!$G$108*(1+T19))),0)</f>
        <v>0</v>
      </c>
      <c r="AF19" s="57"/>
      <c r="AG19" s="31"/>
      <c r="AH19" s="253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  <c r="HI19" s="25"/>
      <c r="HJ19" s="25"/>
      <c r="HK19" s="25"/>
      <c r="HL19" s="25"/>
      <c r="HM19" s="25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  <c r="HZ19" s="25"/>
      <c r="IA19" s="25"/>
      <c r="IB19" s="25"/>
      <c r="IC19" s="25"/>
      <c r="ID19" s="25"/>
      <c r="IE19" s="25"/>
      <c r="IF19" s="25"/>
      <c r="IG19" s="25"/>
      <c r="IH19" s="25"/>
      <c r="II19" s="25"/>
      <c r="IJ19" s="25"/>
      <c r="IK19" s="25"/>
      <c r="IL19" s="25"/>
      <c r="IM19" s="25"/>
      <c r="IN19" s="25"/>
      <c r="IO19" s="25"/>
      <c r="IP19" s="25"/>
      <c r="IQ19" s="25"/>
      <c r="IR19" s="25"/>
      <c r="IS19" s="25"/>
      <c r="IT19" s="25"/>
      <c r="IU19" s="25"/>
      <c r="IV19" s="25"/>
      <c r="IW19" s="25"/>
      <c r="IX19" s="25"/>
      <c r="IY19" s="25"/>
      <c r="IZ19" s="25"/>
      <c r="JA19" s="25"/>
      <c r="JB19" s="25"/>
      <c r="JC19" s="25"/>
      <c r="JD19" s="25"/>
      <c r="JE19" s="25"/>
      <c r="JF19" s="25"/>
      <c r="JG19" s="25"/>
      <c r="JH19" s="25"/>
      <c r="JI19" s="25"/>
      <c r="JJ19" s="25"/>
      <c r="JK19" s="25"/>
      <c r="JL19" s="25"/>
      <c r="JM19" s="25"/>
      <c r="JN19" s="25"/>
      <c r="JO19" s="25"/>
      <c r="JP19" s="25"/>
      <c r="JQ19" s="25"/>
      <c r="JR19" s="25"/>
      <c r="JS19" s="25"/>
      <c r="JT19" s="25"/>
      <c r="JU19" s="25"/>
      <c r="JV19" s="25"/>
      <c r="JW19" s="25"/>
      <c r="JX19" s="25"/>
      <c r="JY19" s="25"/>
      <c r="JZ19" s="25"/>
      <c r="KA19" s="25"/>
      <c r="KB19" s="25"/>
      <c r="KC19" s="25"/>
      <c r="KD19" s="25"/>
      <c r="KE19" s="25"/>
      <c r="KF19" s="25"/>
      <c r="KG19" s="25"/>
      <c r="KH19" s="25"/>
      <c r="KI19" s="25"/>
      <c r="KJ19" s="25"/>
      <c r="KK19" s="25"/>
      <c r="KL19" s="25"/>
      <c r="KM19" s="25"/>
      <c r="KN19" s="25"/>
      <c r="KO19" s="25"/>
      <c r="KP19" s="25"/>
      <c r="KQ19" s="25"/>
      <c r="KR19" s="25"/>
      <c r="KS19" s="25"/>
      <c r="KT19" s="25"/>
      <c r="KU19" s="25"/>
      <c r="KV19" s="25"/>
      <c r="KW19" s="25"/>
      <c r="KX19" s="25"/>
      <c r="KY19" s="25"/>
      <c r="KZ19" s="25"/>
      <c r="LA19" s="25"/>
      <c r="LB19" s="25"/>
      <c r="LC19" s="25"/>
      <c r="LD19" s="25"/>
      <c r="LE19" s="25"/>
      <c r="LF19" s="25"/>
      <c r="LG19" s="25"/>
      <c r="LH19" s="25"/>
      <c r="LI19" s="25"/>
      <c r="LJ19" s="25"/>
      <c r="LK19" s="25"/>
      <c r="LL19" s="25"/>
      <c r="LM19" s="25"/>
      <c r="LN19" s="25"/>
      <c r="LO19" s="25"/>
      <c r="LP19" s="25"/>
      <c r="LQ19" s="25"/>
      <c r="LR19" s="25"/>
      <c r="LS19" s="25"/>
      <c r="LT19" s="25"/>
      <c r="LU19" s="25"/>
      <c r="LV19" s="25"/>
      <c r="LW19" s="25"/>
      <c r="LX19" s="25"/>
      <c r="LY19" s="25"/>
      <c r="LZ19" s="25"/>
      <c r="MA19" s="25"/>
      <c r="MB19" s="25"/>
      <c r="MC19" s="25"/>
      <c r="MD19" s="25"/>
      <c r="ME19" s="25"/>
      <c r="MF19" s="25"/>
      <c r="MG19" s="25"/>
      <c r="MH19" s="25"/>
    </row>
    <row r="20" spans="1:346" s="332" customFormat="1" ht="24" x14ac:dyDescent="0.25">
      <c r="A20" s="21">
        <v>3</v>
      </c>
      <c r="B20" s="21">
        <f>VLOOKUP($A20,'Indicadores Financeiros'!$A$127:$J$229,2,FALSE)</f>
        <v>629</v>
      </c>
      <c r="C20" s="22" t="str">
        <f>VLOOKUP($A20,'Indicadores Financeiros'!$A$127:$J$229,3,FALSE)</f>
        <v>São Paulo - JEC / JECRIM I - Central</v>
      </c>
      <c r="D20" s="326" t="str">
        <f>VLOOKUP($B20,BIP!A:E,5,FALSE)</f>
        <v>São Paulo</v>
      </c>
      <c r="E20" s="72">
        <v>690037</v>
      </c>
      <c r="F20" s="7" t="str">
        <f>VLOOKUP($E20,'Tabela de Códigos e Valores'!$A:$M,2,FALSE)</f>
        <v>Agente de Higienização (Tempo Integral) - (40%) - 44 horas semanais</v>
      </c>
      <c r="G20" s="7" t="str">
        <f>VLOOKUP($E20,'Tabela de Códigos e Valores'!$A:$M,5,FALSE)</f>
        <v>Posto</v>
      </c>
      <c r="H20" s="7" t="str">
        <f>VLOOKUP($E20,'Tabela de Códigos e Valores'!$A:$M,6,FALSE)</f>
        <v>Mensal</v>
      </c>
      <c r="I20" s="175">
        <f>VLOOKUP($E20,'Tabela de Códigos e Valores'!$A:$M,7,FALSE)</f>
        <v>21</v>
      </c>
      <c r="J20" s="175">
        <f>VLOOKUP($E20,'Tabela de Códigos e Valores'!$A:$M,8,FALSE)</f>
        <v>0</v>
      </c>
      <c r="K20" s="263">
        <v>1</v>
      </c>
      <c r="L20" s="188">
        <f>IFERROR(VLOOKUP(E20,'Indicadores Financeiros'!$A$90:$J$92,10,FALSE),0)</f>
        <v>0</v>
      </c>
      <c r="M20" s="175">
        <f>VLOOKUP($E20,'Tabela de Códigos e Valores'!$A:$Z,16,FALSE)</f>
        <v>0</v>
      </c>
      <c r="N20" s="175">
        <f>VLOOKUP($E20,'Tabela de Códigos e Valores'!$A:$Z,17,FALSE)</f>
        <v>0</v>
      </c>
      <c r="O20" s="175">
        <f>VLOOKUP($E20,'Tabela de Códigos e Valores'!$A:$AAB,28,FALSE)</f>
        <v>0</v>
      </c>
      <c r="P20" s="175">
        <f>ROUND(IF($G20&lt;&gt;"M2",IF(VLOOKUP($E20,'Tabela de Códigos e Valores'!$A:$J,10,FALSE)*6%&gt;=VLOOKUP('Relatório Custo'!$A20,'Indicadores Financeiros'!$A$127:$I$131,9,FALSE)*'Relatório Custo'!I20,0,VLOOKUP('Relatório Custo'!$A20,'Indicadores Financeiros'!$A$127:$I$131,9,FALSE)*'Relatório Custo'!I20-VLOOKUP($E20,'Tabela de Códigos e Valores'!$A:$J,10,FALSE)*6%),0),2)</f>
        <v>0</v>
      </c>
      <c r="Q20" s="175">
        <f>VLOOKUP($E20,'Tabela de Códigos e Valores'!$A:$AAC,30,FALSE)</f>
        <v>0</v>
      </c>
      <c r="R20" s="175">
        <f>ROUND(ROUND(($M20+$N20+$O20+$P20+$Q20),2)*VLOOKUP($E20,'Tabela de Códigos e Valores'!$A:$AE,31,FALSE)/(1-VLOOKUP($E20,'Tabela de Códigos e Valores'!$A:$AE,31,FALSE)),2)</f>
        <v>0</v>
      </c>
      <c r="S20" s="24">
        <f t="shared" si="9"/>
        <v>0</v>
      </c>
      <c r="T20" s="177">
        <f>VLOOKUP($A20,'Indicadores Financeiros'!$A$127:$J$131,8,FALSE)</f>
        <v>2.0400000000000001E-2</v>
      </c>
      <c r="U20" s="24">
        <f t="shared" si="10"/>
        <v>0</v>
      </c>
      <c r="V20" s="32">
        <f t="shared" si="11"/>
        <v>0</v>
      </c>
      <c r="W20" s="234">
        <f>VLOOKUP($A20,'Indicadores Financeiros'!$A$127:$J$131,10)</f>
        <v>1</v>
      </c>
      <c r="X20" s="63">
        <f>U20*IF(H20="Mensal",('Indicadores Financeiros'!$F$14-W20+1),IF(H20="Trimestral",INT(('Indicadores Financeiros'!$F$14-W20+1)/3),INT(('Indicadores Financeiros'!$F$14-W20+1)/12)))*K20</f>
        <v>0</v>
      </c>
      <c r="Y20" s="74"/>
      <c r="Z20" s="63">
        <f t="shared" si="12"/>
        <v>0</v>
      </c>
      <c r="AA20" s="63">
        <f>ROUND('Indicadores Financeiros'!$J$71*$Z20,4)</f>
        <v>0</v>
      </c>
      <c r="AB20" s="25"/>
      <c r="AC20" s="23">
        <f t="shared" si="4"/>
        <v>0</v>
      </c>
      <c r="AD20" s="23">
        <f>ROUND((ROUND(VLOOKUP($E20,'Tabela de Códigos e Valores'!$A:$AB,26,FALSE)/I20,2)+ROUND(P20/I20,2)+ROUND(M20*'Indicadores Financeiros'!$J$61/I20,2)+ROUND(R20/I20,2))*(1+T20),2)</f>
        <v>0</v>
      </c>
      <c r="AE20" s="23">
        <f>IF(G20="posto",IF(OR(E20=690018,E20=690019),'Indicadores Financeiros'!$J$108,IF(OR(E20=690002,E20=690016,E20=690019,E20=690035,E20=690038,E20=690064),'Indicadores Financeiros'!$G$108/2*(1+T20),'Indicadores Financeiros'!$G$108*(1+T20))),0)</f>
        <v>0</v>
      </c>
      <c r="AF20" s="57"/>
      <c r="AG20" s="31"/>
      <c r="AH20" s="253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  <c r="IL20" s="25"/>
      <c r="IM20" s="25"/>
      <c r="IN20" s="25"/>
      <c r="IO20" s="25"/>
      <c r="IP20" s="25"/>
      <c r="IQ20" s="25"/>
      <c r="IR20" s="25"/>
      <c r="IS20" s="25"/>
      <c r="IT20" s="25"/>
      <c r="IU20" s="25"/>
      <c r="IV20" s="25"/>
      <c r="IW20" s="25"/>
      <c r="IX20" s="25"/>
      <c r="IY20" s="25"/>
      <c r="IZ20" s="25"/>
      <c r="JA20" s="25"/>
      <c r="JB20" s="25"/>
      <c r="JC20" s="25"/>
      <c r="JD20" s="25"/>
      <c r="JE20" s="25"/>
      <c r="JF20" s="25"/>
      <c r="JG20" s="25"/>
      <c r="JH20" s="25"/>
      <c r="JI20" s="25"/>
      <c r="JJ20" s="25"/>
      <c r="JK20" s="25"/>
      <c r="JL20" s="25"/>
      <c r="JM20" s="25"/>
      <c r="JN20" s="25"/>
      <c r="JO20" s="25"/>
      <c r="JP20" s="25"/>
      <c r="JQ20" s="25"/>
      <c r="JR20" s="25"/>
      <c r="JS20" s="25"/>
      <c r="JT20" s="25"/>
      <c r="JU20" s="25"/>
      <c r="JV20" s="25"/>
      <c r="JW20" s="25"/>
      <c r="JX20" s="25"/>
      <c r="JY20" s="25"/>
      <c r="JZ20" s="25"/>
      <c r="KA20" s="25"/>
      <c r="KB20" s="25"/>
      <c r="KC20" s="25"/>
      <c r="KD20" s="25"/>
      <c r="KE20" s="25"/>
      <c r="KF20" s="25"/>
      <c r="KG20" s="25"/>
      <c r="KH20" s="25"/>
      <c r="KI20" s="25"/>
      <c r="KJ20" s="25"/>
      <c r="KK20" s="25"/>
      <c r="KL20" s="25"/>
      <c r="KM20" s="25"/>
      <c r="KN20" s="25"/>
      <c r="KO20" s="25"/>
      <c r="KP20" s="25"/>
      <c r="KQ20" s="25"/>
      <c r="KR20" s="25"/>
      <c r="KS20" s="25"/>
      <c r="KT20" s="25"/>
      <c r="KU20" s="25"/>
      <c r="KV20" s="25"/>
      <c r="KW20" s="25"/>
      <c r="KX20" s="25"/>
      <c r="KY20" s="25"/>
      <c r="KZ20" s="25"/>
      <c r="LA20" s="25"/>
      <c r="LB20" s="25"/>
      <c r="LC20" s="25"/>
      <c r="LD20" s="25"/>
      <c r="LE20" s="25"/>
      <c r="LF20" s="25"/>
      <c r="LG20" s="25"/>
      <c r="LH20" s="25"/>
      <c r="LI20" s="25"/>
      <c r="LJ20" s="25"/>
      <c r="LK20" s="25"/>
      <c r="LL20" s="25"/>
      <c r="LM20" s="25"/>
      <c r="LN20" s="25"/>
      <c r="LO20" s="25"/>
      <c r="LP20" s="25"/>
      <c r="LQ20" s="25"/>
      <c r="LR20" s="25"/>
      <c r="LS20" s="25"/>
      <c r="LT20" s="25"/>
      <c r="LU20" s="25"/>
      <c r="LV20" s="25"/>
      <c r="LW20" s="25"/>
      <c r="LX20" s="25"/>
      <c r="LY20" s="25"/>
      <c r="LZ20" s="25"/>
      <c r="MA20" s="25"/>
      <c r="MB20" s="25"/>
      <c r="MC20" s="25"/>
      <c r="MD20" s="25"/>
      <c r="ME20" s="25"/>
      <c r="MF20" s="25"/>
      <c r="MG20" s="25"/>
      <c r="MH20" s="25"/>
    </row>
    <row r="21" spans="1:346" s="332" customFormat="1" ht="24" x14ac:dyDescent="0.25">
      <c r="A21" s="21">
        <v>4</v>
      </c>
      <c r="B21" s="21">
        <f>VLOOKUP($A21,'Indicadores Financeiros'!$A$127:$J$229,2,FALSE)</f>
        <v>353</v>
      </c>
      <c r="C21" s="22" t="str">
        <f>VLOOKUP($A21,'Indicadores Financeiros'!$A$127:$J$229,3,FALSE)</f>
        <v>São Paulo - JEC / JECRIM II - Central Vergueiro</v>
      </c>
      <c r="D21" s="326" t="str">
        <f>VLOOKUP($B21,BIP!A:E,5,FALSE)</f>
        <v>São Paulo</v>
      </c>
      <c r="E21" s="73">
        <v>690001</v>
      </c>
      <c r="F21" s="7" t="str">
        <f>VLOOKUP($E21,'Tabela de Códigos e Valores'!$A:$M,2,FALSE)</f>
        <v>Auxiliar de limpeza - diurno - 44 horas semanais (segunda a sexta-feira)</v>
      </c>
      <c r="G21" s="7" t="str">
        <f>VLOOKUP($E21,'Tabela de Códigos e Valores'!$A:$M,5,FALSE)</f>
        <v>Posto</v>
      </c>
      <c r="H21" s="7" t="str">
        <f>VLOOKUP($E21,'Tabela de Códigos e Valores'!$A:$M,6,FALSE)</f>
        <v>Mensal</v>
      </c>
      <c r="I21" s="175">
        <f>VLOOKUP($E21,'Tabela de Códigos e Valores'!$A:$M,7,FALSE)</f>
        <v>21</v>
      </c>
      <c r="J21" s="175">
        <f>VLOOKUP($E21,'Tabela de Códigos e Valores'!$A:$M,8,FALSE)</f>
        <v>0</v>
      </c>
      <c r="K21" s="263">
        <v>5</v>
      </c>
      <c r="L21" s="188">
        <f>IFERROR(VLOOKUP(E21,'Indicadores Financeiros'!$A$90:$J$92,10,FALSE),0)</f>
        <v>0</v>
      </c>
      <c r="M21" s="175">
        <f>VLOOKUP($E21,'Tabela de Códigos e Valores'!$A:$Z,16,FALSE)</f>
        <v>0</v>
      </c>
      <c r="N21" s="175">
        <f>VLOOKUP($E21,'Tabela de Códigos e Valores'!$A:$Z,17,FALSE)</f>
        <v>0</v>
      </c>
      <c r="O21" s="175">
        <f>VLOOKUP($E21,'Tabela de Códigos e Valores'!$A:$AAB,28,FALSE)</f>
        <v>0</v>
      </c>
      <c r="P21" s="175">
        <f>ROUND(IF($G21&lt;&gt;"M2",IF(VLOOKUP($E21,'Tabela de Códigos e Valores'!$A:$J,10,FALSE)*6%&gt;=VLOOKUP('Relatório Custo'!$A21,'Indicadores Financeiros'!$A$127:$I$131,9,FALSE)*'Relatório Custo'!I21,0,VLOOKUP('Relatório Custo'!$A21,'Indicadores Financeiros'!$A$127:$I$131,9,FALSE)*'Relatório Custo'!I21-VLOOKUP($E21,'Tabela de Códigos e Valores'!$A:$J,10,FALSE)*6%),0),2)</f>
        <v>0</v>
      </c>
      <c r="Q21" s="175">
        <f>VLOOKUP($E21,'Tabela de Códigos e Valores'!$A:$AAC,30,FALSE)</f>
        <v>0</v>
      </c>
      <c r="R21" s="175">
        <f>ROUND(ROUND(($M21+$N21+$O21+$P21+$Q21),2)*VLOOKUP($E21,'Tabela de Códigos e Valores'!$A:$AE,31,FALSE)/(1-VLOOKUP($E21,'Tabela de Códigos e Valores'!$A:$AE,31,FALSE)),2)</f>
        <v>0</v>
      </c>
      <c r="S21" s="24">
        <f>SUM(L21:R21)</f>
        <v>0</v>
      </c>
      <c r="T21" s="177">
        <f>VLOOKUP($A21,'Indicadores Financeiros'!$A$127:$J$131,8,FALSE)</f>
        <v>2.0400000000000001E-2</v>
      </c>
      <c r="U21" s="24">
        <f>ROUND(S21*(1+T21),2)</f>
        <v>0</v>
      </c>
      <c r="V21" s="32">
        <f>ROUND(U21*K21,2)</f>
        <v>0</v>
      </c>
      <c r="W21" s="234">
        <f>VLOOKUP($A21,'Indicadores Financeiros'!$A$127:$J$131,10)</f>
        <v>1</v>
      </c>
      <c r="X21" s="63">
        <f>U21*IF(H21="Mensal",('Indicadores Financeiros'!$F$14-W21+1),IF(H21="Trimestral",INT(('Indicadores Financeiros'!$F$14-W21+1)/3),INT(('Indicadores Financeiros'!$F$14-W21+1)/12)))*K21</f>
        <v>0</v>
      </c>
      <c r="Y21" s="74"/>
      <c r="Z21" s="63">
        <f>IF(G21="Posto",M21,0)*K21</f>
        <v>0</v>
      </c>
      <c r="AA21" s="63">
        <f>ROUND('Indicadores Financeiros'!$J$71*$Z21,4)</f>
        <v>0</v>
      </c>
      <c r="AB21" s="25"/>
      <c r="AC21" s="23">
        <f>ROUND(IF(OR($G21="Posto",$G21="Plantão"),$U21/$I21,0),2)</f>
        <v>0</v>
      </c>
      <c r="AD21" s="23">
        <f>ROUND((ROUND(VLOOKUP($E21,'Tabela de Códigos e Valores'!$A:$AB,26,FALSE)/I21,2)+ROUND(P21/I21,2)+ROUND(M21*'Indicadores Financeiros'!$J$61/I21,2)+ROUND(R21/I21,2))*(1+T21),2)</f>
        <v>0</v>
      </c>
      <c r="AE21" s="23">
        <f>IF(G21="posto",IF(OR(E21=690018,E21=690019),'Indicadores Financeiros'!$J$108,IF(OR(E21=690002,E21=690016,E21=690019,E21=690035,E21=690038,E21=690064),'Indicadores Financeiros'!$G$108/2*(1+T21),'Indicadores Financeiros'!$G$108*(1+T21))),0)</f>
        <v>0</v>
      </c>
      <c r="AF21" s="57"/>
      <c r="AG21" s="31"/>
      <c r="AH21" s="253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  <c r="HI21" s="25"/>
      <c r="HJ21" s="25"/>
      <c r="HK21" s="25"/>
      <c r="HL21" s="25"/>
      <c r="HM21" s="25"/>
      <c r="HN21" s="25"/>
      <c r="HO21" s="25"/>
      <c r="HP21" s="25"/>
      <c r="HQ21" s="25"/>
      <c r="HR21" s="25"/>
      <c r="HS21" s="25"/>
      <c r="HT21" s="25"/>
      <c r="HU21" s="25"/>
      <c r="HV21" s="25"/>
      <c r="HW21" s="25"/>
      <c r="HX21" s="25"/>
      <c r="HY21" s="25"/>
      <c r="HZ21" s="25"/>
      <c r="IA21" s="25"/>
      <c r="IB21" s="25"/>
      <c r="IC21" s="25"/>
      <c r="ID21" s="25"/>
      <c r="IE21" s="25"/>
      <c r="IF21" s="25"/>
      <c r="IG21" s="25"/>
      <c r="IH21" s="25"/>
      <c r="II21" s="25"/>
      <c r="IJ21" s="25"/>
      <c r="IK21" s="25"/>
      <c r="IL21" s="25"/>
      <c r="IM21" s="25"/>
      <c r="IN21" s="25"/>
      <c r="IO21" s="25"/>
      <c r="IP21" s="25"/>
      <c r="IQ21" s="25"/>
      <c r="IR21" s="25"/>
      <c r="IS21" s="25"/>
      <c r="IT21" s="25"/>
      <c r="IU21" s="25"/>
      <c r="IV21" s="25"/>
      <c r="IW21" s="25"/>
      <c r="IX21" s="25"/>
      <c r="IY21" s="25"/>
      <c r="IZ21" s="25"/>
      <c r="JA21" s="25"/>
      <c r="JB21" s="25"/>
      <c r="JC21" s="25"/>
      <c r="JD21" s="25"/>
      <c r="JE21" s="25"/>
      <c r="JF21" s="25"/>
      <c r="JG21" s="25"/>
      <c r="JH21" s="25"/>
      <c r="JI21" s="25"/>
      <c r="JJ21" s="25"/>
      <c r="JK21" s="25"/>
      <c r="JL21" s="25"/>
      <c r="JM21" s="25"/>
      <c r="JN21" s="25"/>
      <c r="JO21" s="25"/>
      <c r="JP21" s="25"/>
      <c r="JQ21" s="25"/>
      <c r="JR21" s="25"/>
      <c r="JS21" s="25"/>
      <c r="JT21" s="25"/>
      <c r="JU21" s="25"/>
      <c r="JV21" s="25"/>
      <c r="JW21" s="25"/>
      <c r="JX21" s="25"/>
      <c r="JY21" s="25"/>
      <c r="JZ21" s="25"/>
      <c r="KA21" s="25"/>
      <c r="KB21" s="25"/>
      <c r="KC21" s="25"/>
      <c r="KD21" s="25"/>
      <c r="KE21" s="25"/>
      <c r="KF21" s="25"/>
      <c r="KG21" s="25"/>
      <c r="KH21" s="25"/>
      <c r="KI21" s="25"/>
      <c r="KJ21" s="25"/>
      <c r="KK21" s="25"/>
      <c r="KL21" s="25"/>
      <c r="KM21" s="25"/>
      <c r="KN21" s="25"/>
      <c r="KO21" s="25"/>
      <c r="KP21" s="25"/>
      <c r="KQ21" s="25"/>
      <c r="KR21" s="25"/>
      <c r="KS21" s="25"/>
      <c r="KT21" s="25"/>
      <c r="KU21" s="25"/>
      <c r="KV21" s="25"/>
      <c r="KW21" s="25"/>
      <c r="KX21" s="25"/>
      <c r="KY21" s="25"/>
      <c r="KZ21" s="25"/>
      <c r="LA21" s="25"/>
      <c r="LB21" s="25"/>
      <c r="LC21" s="25"/>
      <c r="LD21" s="25"/>
      <c r="LE21" s="25"/>
      <c r="LF21" s="25"/>
      <c r="LG21" s="25"/>
      <c r="LH21" s="25"/>
      <c r="LI21" s="25"/>
      <c r="LJ21" s="25"/>
      <c r="LK21" s="25"/>
      <c r="LL21" s="25"/>
      <c r="LM21" s="25"/>
      <c r="LN21" s="25"/>
      <c r="LO21" s="25"/>
      <c r="LP21" s="25"/>
      <c r="LQ21" s="25"/>
      <c r="LR21" s="25"/>
      <c r="LS21" s="25"/>
      <c r="LT21" s="25"/>
      <c r="LU21" s="25"/>
      <c r="LV21" s="25"/>
      <c r="LW21" s="25"/>
      <c r="LX21" s="25"/>
      <c r="LY21" s="25"/>
      <c r="LZ21" s="25"/>
      <c r="MA21" s="25"/>
      <c r="MB21" s="25"/>
      <c r="MC21" s="25"/>
      <c r="MD21" s="25"/>
      <c r="ME21" s="25"/>
      <c r="MF21" s="25"/>
      <c r="MG21" s="25"/>
      <c r="MH21" s="25"/>
    </row>
    <row r="22" spans="1:346" s="332" customFormat="1" ht="24" x14ac:dyDescent="0.25">
      <c r="A22" s="21">
        <v>4</v>
      </c>
      <c r="B22" s="21">
        <f>VLOOKUP($A22,'Indicadores Financeiros'!$A$127:$J$229,2,FALSE)</f>
        <v>353</v>
      </c>
      <c r="C22" s="22" t="str">
        <f>VLOOKUP($A22,'Indicadores Financeiros'!$A$127:$J$229,3,FALSE)</f>
        <v>São Paulo - JEC / JECRIM II - Central Vergueiro</v>
      </c>
      <c r="D22" s="326" t="str">
        <f>VLOOKUP($B22,BIP!A:E,5,FALSE)</f>
        <v>São Paulo</v>
      </c>
      <c r="E22" s="3">
        <v>690002</v>
      </c>
      <c r="F22" s="7" t="str">
        <f>VLOOKUP($E22,'Tabela de Códigos e Valores'!$A:$M,2,FALSE)</f>
        <v>Auxiliar de limpeza - diurno - 24 horas  semanais</v>
      </c>
      <c r="G22" s="7" t="str">
        <f>VLOOKUP($E22,'Tabela de Códigos e Valores'!$A:$M,5,FALSE)</f>
        <v>Posto</v>
      </c>
      <c r="H22" s="7" t="str">
        <f>VLOOKUP($E22,'Tabela de Códigos e Valores'!$A:$M,6,FALSE)</f>
        <v>Mensal</v>
      </c>
      <c r="I22" s="175">
        <f>VLOOKUP($E22,'Tabela de Códigos e Valores'!$A:$M,7,FALSE)</f>
        <v>21</v>
      </c>
      <c r="J22" s="175">
        <f>VLOOKUP($E22,'Tabela de Códigos e Valores'!$A:$M,8,FALSE)</f>
        <v>0</v>
      </c>
      <c r="K22" s="263">
        <v>1</v>
      </c>
      <c r="L22" s="188">
        <f>IFERROR(VLOOKUP(E22,'Indicadores Financeiros'!$A$90:$J$92,10,FALSE),0)</f>
        <v>0</v>
      </c>
      <c r="M22" s="175">
        <f>VLOOKUP($E22,'Tabela de Códigos e Valores'!$A:$Z,16,FALSE)</f>
        <v>0</v>
      </c>
      <c r="N22" s="175">
        <f>VLOOKUP($E22,'Tabela de Códigos e Valores'!$A:$Z,17,FALSE)</f>
        <v>0</v>
      </c>
      <c r="O22" s="175">
        <f>VLOOKUP($E22,'Tabela de Códigos e Valores'!$A:$AAB,28,FALSE)</f>
        <v>0</v>
      </c>
      <c r="P22" s="175">
        <f>ROUND(IF($G22&lt;&gt;"M2",IF(VLOOKUP($E22,'Tabela de Códigos e Valores'!$A:$J,10,FALSE)*6%&gt;=VLOOKUP('Relatório Custo'!$A22,'Indicadores Financeiros'!$A$127:$I$131,9,FALSE)*'Relatório Custo'!I22,0,VLOOKUP('Relatório Custo'!$A22,'Indicadores Financeiros'!$A$127:$I$131,9,FALSE)*'Relatório Custo'!I22-VLOOKUP($E22,'Tabela de Códigos e Valores'!$A:$J,10,FALSE)*6%),0),2)</f>
        <v>0</v>
      </c>
      <c r="Q22" s="175">
        <f>VLOOKUP($E22,'Tabela de Códigos e Valores'!$A:$AAC,30,FALSE)</f>
        <v>0</v>
      </c>
      <c r="R22" s="175">
        <f>ROUND(ROUND(($M22+$N22+$O22+$P22+$Q22),2)*VLOOKUP($E22,'Tabela de Códigos e Valores'!$A:$AE,31,FALSE)/(1-VLOOKUP($E22,'Tabela de Códigos e Valores'!$A:$AE,31,FALSE)),2)</f>
        <v>0</v>
      </c>
      <c r="S22" s="24">
        <f t="shared" ref="S22:S26" si="13">SUM(L22:R22)</f>
        <v>0</v>
      </c>
      <c r="T22" s="177">
        <f>VLOOKUP($A22,'Indicadores Financeiros'!$A$127:$J$131,8,FALSE)</f>
        <v>2.0400000000000001E-2</v>
      </c>
      <c r="U22" s="24">
        <f t="shared" ref="U22:U26" si="14">ROUND(S22*(1+T22),2)</f>
        <v>0</v>
      </c>
      <c r="V22" s="32">
        <f t="shared" ref="V22:V26" si="15">ROUND(U22*K22,2)</f>
        <v>0</v>
      </c>
      <c r="W22" s="234">
        <f>VLOOKUP($A22,'Indicadores Financeiros'!$A$127:$J$131,10)</f>
        <v>1</v>
      </c>
      <c r="X22" s="63">
        <f>U22*IF(H22="Mensal",('Indicadores Financeiros'!$F$14-W22+1),IF(H22="Trimestral",INT(('Indicadores Financeiros'!$F$14-W22+1)/3),INT(('Indicadores Financeiros'!$F$14-W22+1)/12)))*K22</f>
        <v>0</v>
      </c>
      <c r="Y22" s="74"/>
      <c r="Z22" s="63">
        <f t="shared" ref="Z22:Z26" si="16">IF(G22="Posto",M22,0)*K22</f>
        <v>0</v>
      </c>
      <c r="AA22" s="63">
        <f>ROUND('Indicadores Financeiros'!$J$71*$Z22,4)</f>
        <v>0</v>
      </c>
      <c r="AB22" s="25"/>
      <c r="AC22" s="23">
        <f t="shared" si="4"/>
        <v>0</v>
      </c>
      <c r="AD22" s="23">
        <f>ROUND((ROUND(VLOOKUP($E22,'Tabela de Códigos e Valores'!$A:$AB,26,FALSE)/I22,2)+ROUND(P22/I22,2)+ROUND(M22*'Indicadores Financeiros'!$J$61/I22,2)+ROUND(R22/I22,2))*(1+T22),2)</f>
        <v>0</v>
      </c>
      <c r="AE22" s="23">
        <f>IF(G22="posto",IF(OR(E22=690018,E22=690019),'Indicadores Financeiros'!$J$108,IF(OR(E22=690002,E22=690016,E22=690019,E22=690035,E22=690038,E22=690064),'Indicadores Financeiros'!$G$108/2*(1+T22),'Indicadores Financeiros'!$G$108*(1+T22))),0)</f>
        <v>0</v>
      </c>
      <c r="AF22" s="57"/>
      <c r="AG22" s="31"/>
      <c r="AH22" s="253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S22" s="25"/>
      <c r="IT22" s="25"/>
      <c r="IU22" s="25"/>
      <c r="IV22" s="25"/>
      <c r="IW22" s="25"/>
      <c r="IX22" s="25"/>
      <c r="IY22" s="25"/>
      <c r="IZ22" s="25"/>
      <c r="JA22" s="25"/>
      <c r="JB22" s="25"/>
      <c r="JC22" s="25"/>
      <c r="JD22" s="25"/>
      <c r="JE22" s="25"/>
      <c r="JF22" s="25"/>
      <c r="JG22" s="25"/>
      <c r="JH22" s="25"/>
      <c r="JI22" s="25"/>
      <c r="JJ22" s="25"/>
      <c r="JK22" s="25"/>
      <c r="JL22" s="25"/>
      <c r="JM22" s="25"/>
      <c r="JN22" s="25"/>
      <c r="JO22" s="25"/>
      <c r="JP22" s="25"/>
      <c r="JQ22" s="25"/>
      <c r="JR22" s="25"/>
      <c r="JS22" s="25"/>
      <c r="JT22" s="25"/>
      <c r="JU22" s="25"/>
      <c r="JV22" s="25"/>
      <c r="JW22" s="25"/>
      <c r="JX22" s="25"/>
      <c r="JY22" s="25"/>
      <c r="JZ22" s="25"/>
      <c r="KA22" s="25"/>
      <c r="KB22" s="25"/>
      <c r="KC22" s="25"/>
      <c r="KD22" s="25"/>
      <c r="KE22" s="25"/>
      <c r="KF22" s="25"/>
      <c r="KG22" s="25"/>
      <c r="KH22" s="25"/>
      <c r="KI22" s="25"/>
      <c r="KJ22" s="25"/>
      <c r="KK22" s="25"/>
      <c r="KL22" s="25"/>
      <c r="KM22" s="25"/>
      <c r="KN22" s="25"/>
      <c r="KO22" s="25"/>
      <c r="KP22" s="25"/>
      <c r="KQ22" s="25"/>
      <c r="KR22" s="25"/>
      <c r="KS22" s="25"/>
      <c r="KT22" s="25"/>
      <c r="KU22" s="25"/>
      <c r="KV22" s="25"/>
      <c r="KW22" s="25"/>
      <c r="KX22" s="25"/>
      <c r="KY22" s="25"/>
      <c r="KZ22" s="25"/>
      <c r="LA22" s="25"/>
      <c r="LB22" s="25"/>
      <c r="LC22" s="25"/>
      <c r="LD22" s="25"/>
      <c r="LE22" s="25"/>
      <c r="LF22" s="25"/>
      <c r="LG22" s="25"/>
      <c r="LH22" s="25"/>
      <c r="LI22" s="25"/>
      <c r="LJ22" s="25"/>
      <c r="LK22" s="25"/>
      <c r="LL22" s="25"/>
      <c r="LM22" s="25"/>
      <c r="LN22" s="25"/>
      <c r="LO22" s="25"/>
      <c r="LP22" s="25"/>
      <c r="LQ22" s="25"/>
      <c r="LR22" s="25"/>
      <c r="LS22" s="25"/>
      <c r="LT22" s="25"/>
      <c r="LU22" s="25"/>
      <c r="LV22" s="25"/>
      <c r="LW22" s="25"/>
      <c r="LX22" s="25"/>
      <c r="LY22" s="25"/>
      <c r="LZ22" s="25"/>
      <c r="MA22" s="25"/>
      <c r="MB22" s="25"/>
      <c r="MC22" s="25"/>
      <c r="MD22" s="25"/>
      <c r="ME22" s="25"/>
      <c r="MF22" s="25"/>
      <c r="MG22" s="25"/>
      <c r="MH22" s="25"/>
    </row>
    <row r="23" spans="1:346" s="332" customFormat="1" ht="24" x14ac:dyDescent="0.25">
      <c r="A23" s="21">
        <v>4</v>
      </c>
      <c r="B23" s="21">
        <f>VLOOKUP($A23,'Indicadores Financeiros'!$A$127:$J$229,2,FALSE)</f>
        <v>353</v>
      </c>
      <c r="C23" s="22" t="str">
        <f>VLOOKUP($A23,'Indicadores Financeiros'!$A$127:$J$229,3,FALSE)</f>
        <v>São Paulo - JEC / JECRIM II - Central Vergueiro</v>
      </c>
      <c r="D23" s="326" t="str">
        <f>VLOOKUP($B23,BIP!A:E,5,FALSE)</f>
        <v>São Paulo</v>
      </c>
      <c r="E23" s="72">
        <v>690021</v>
      </c>
      <c r="F23" s="7" t="str">
        <f>VLOOKUP($E23,'Tabela de Códigos e Valores'!$A:$M,2,FALSE)</f>
        <v>Serviço de limpeza de vidros com exposição à situação de risco</v>
      </c>
      <c r="G23" s="7" t="str">
        <f>VLOOKUP($E23,'Tabela de Códigos e Valores'!$A:$M,5,FALSE)</f>
        <v>M2</v>
      </c>
      <c r="H23" s="7" t="str">
        <f>VLOOKUP($E23,'Tabela de Códigos e Valores'!$A:$M,6,FALSE)</f>
        <v>Trimestral</v>
      </c>
      <c r="I23" s="175">
        <f>VLOOKUP($E23,'Tabela de Códigos e Valores'!$A:$M,7,FALSE)</f>
        <v>0</v>
      </c>
      <c r="J23" s="175">
        <f>VLOOKUP($E23,'Tabela de Códigos e Valores'!$A:$M,8,FALSE)</f>
        <v>0</v>
      </c>
      <c r="K23" s="263">
        <v>481</v>
      </c>
      <c r="L23" s="188">
        <f>IFERROR(VLOOKUP(E23,'Indicadores Financeiros'!$A$90:$J$92,10,FALSE),0)</f>
        <v>0</v>
      </c>
      <c r="M23" s="175">
        <f>VLOOKUP($E23,'Tabela de Códigos e Valores'!$A:$Z,16,FALSE)</f>
        <v>0</v>
      </c>
      <c r="N23" s="175">
        <f>VLOOKUP($E23,'Tabela de Códigos e Valores'!$A:$Z,17,FALSE)</f>
        <v>0</v>
      </c>
      <c r="O23" s="175">
        <f>VLOOKUP($E23,'Tabela de Códigos e Valores'!$A:$AAB,28,FALSE)</f>
        <v>0</v>
      </c>
      <c r="P23" s="175">
        <f>ROUND(IF($G23&lt;&gt;"M2",IF(VLOOKUP($E23,'Tabela de Códigos e Valores'!$A:$J,10,FALSE)*6%&gt;=VLOOKUP('Relatório Custo'!$A23,'Indicadores Financeiros'!$A$127:$I$131,9,FALSE)*'Relatório Custo'!I23,0,VLOOKUP('Relatório Custo'!$A23,'Indicadores Financeiros'!$A$127:$I$131,9,FALSE)*'Relatório Custo'!I23-VLOOKUP($E23,'Tabela de Códigos e Valores'!$A:$J,10,FALSE)*6%),0),2)</f>
        <v>0</v>
      </c>
      <c r="Q23" s="175">
        <f>VLOOKUP($E23,'Tabela de Códigos e Valores'!$A:$AAC,30,FALSE)</f>
        <v>0</v>
      </c>
      <c r="R23" s="175">
        <f>ROUND(ROUND(($M23+$N23+$O23+$P23+$Q23),2)*VLOOKUP($E23,'Tabela de Códigos e Valores'!$A:$AE,31,FALSE)/(1-VLOOKUP($E23,'Tabela de Códigos e Valores'!$A:$AE,31,FALSE)),2)</f>
        <v>0</v>
      </c>
      <c r="S23" s="24">
        <f t="shared" si="13"/>
        <v>0</v>
      </c>
      <c r="T23" s="177">
        <f>VLOOKUP($A23,'Indicadores Financeiros'!$A$127:$J$131,8,FALSE)</f>
        <v>2.0400000000000001E-2</v>
      </c>
      <c r="U23" s="24">
        <f t="shared" si="14"/>
        <v>0</v>
      </c>
      <c r="V23" s="32">
        <f t="shared" si="15"/>
        <v>0</v>
      </c>
      <c r="W23" s="234">
        <f>VLOOKUP($A23,'Indicadores Financeiros'!$A$127:$J$131,10)</f>
        <v>1</v>
      </c>
      <c r="X23" s="63">
        <f>U23*IF(H23="Mensal",('Indicadores Financeiros'!$F$14-W23+1),IF(H23="Trimestral",INT(('Indicadores Financeiros'!$F$14-W23+1)/3),INT(('Indicadores Financeiros'!$F$14-W23+1)/12)))*K23</f>
        <v>0</v>
      </c>
      <c r="Y23" s="74"/>
      <c r="Z23" s="63">
        <f t="shared" si="16"/>
        <v>0</v>
      </c>
      <c r="AA23" s="63">
        <f>ROUND('Indicadores Financeiros'!$J$71*$Z23,4)</f>
        <v>0</v>
      </c>
      <c r="AB23" s="25"/>
      <c r="AC23" s="23">
        <f t="shared" si="4"/>
        <v>0</v>
      </c>
      <c r="AD23" s="23">
        <f>IF(G23="m2",0,ROUND((ROUND(VLOOKUP($E23,'Tabela de Códigos e Valores'!$A:$AB,26,FALSE)/I23,2)+ROUND(P23/I23,2)+ROUND(M23*'Indicadores Financeiros'!$J$61/I23,2)+ROUND(R23/I23,2))*(1+T23),2))</f>
        <v>0</v>
      </c>
      <c r="AE23" s="23">
        <f>IF(G23="posto",IF(OR(E23=690018,E23=690019),'Indicadores Financeiros'!$J$108,IF(OR(E23=690002,E23=690016,E23=690019,E23=690035,E23=690038,E23=690064),'Indicadores Financeiros'!$G$108/2*(1+T23),'Indicadores Financeiros'!$G$108*(1+T23))),0)</f>
        <v>0</v>
      </c>
      <c r="AF23" s="57"/>
      <c r="AG23" s="31"/>
      <c r="AH23" s="253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  <c r="IL23" s="25"/>
      <c r="IM23" s="25"/>
      <c r="IN23" s="25"/>
      <c r="IO23" s="25"/>
      <c r="IP23" s="25"/>
      <c r="IQ23" s="25"/>
      <c r="IR23" s="25"/>
      <c r="IS23" s="25"/>
      <c r="IT23" s="25"/>
      <c r="IU23" s="25"/>
      <c r="IV23" s="25"/>
      <c r="IW23" s="25"/>
      <c r="IX23" s="25"/>
      <c r="IY23" s="25"/>
      <c r="IZ23" s="25"/>
      <c r="JA23" s="25"/>
      <c r="JB23" s="25"/>
      <c r="JC23" s="25"/>
      <c r="JD23" s="25"/>
      <c r="JE23" s="25"/>
      <c r="JF23" s="25"/>
      <c r="JG23" s="25"/>
      <c r="JH23" s="25"/>
      <c r="JI23" s="25"/>
      <c r="JJ23" s="25"/>
      <c r="JK23" s="25"/>
      <c r="JL23" s="25"/>
      <c r="JM23" s="25"/>
      <c r="JN23" s="25"/>
      <c r="JO23" s="25"/>
      <c r="JP23" s="25"/>
      <c r="JQ23" s="25"/>
      <c r="JR23" s="25"/>
      <c r="JS23" s="25"/>
      <c r="JT23" s="25"/>
      <c r="JU23" s="25"/>
      <c r="JV23" s="25"/>
      <c r="JW23" s="25"/>
      <c r="JX23" s="25"/>
      <c r="JY23" s="25"/>
      <c r="JZ23" s="25"/>
      <c r="KA23" s="25"/>
      <c r="KB23" s="25"/>
      <c r="KC23" s="25"/>
      <c r="KD23" s="25"/>
      <c r="KE23" s="25"/>
      <c r="KF23" s="25"/>
      <c r="KG23" s="25"/>
      <c r="KH23" s="25"/>
      <c r="KI23" s="25"/>
      <c r="KJ23" s="25"/>
      <c r="KK23" s="25"/>
      <c r="KL23" s="25"/>
      <c r="KM23" s="25"/>
      <c r="KN23" s="25"/>
      <c r="KO23" s="25"/>
      <c r="KP23" s="25"/>
      <c r="KQ23" s="25"/>
      <c r="KR23" s="25"/>
      <c r="KS23" s="25"/>
      <c r="KT23" s="25"/>
      <c r="KU23" s="25"/>
      <c r="KV23" s="25"/>
      <c r="KW23" s="25"/>
      <c r="KX23" s="25"/>
      <c r="KY23" s="25"/>
      <c r="KZ23" s="25"/>
      <c r="LA23" s="25"/>
      <c r="LB23" s="25"/>
      <c r="LC23" s="25"/>
      <c r="LD23" s="25"/>
      <c r="LE23" s="25"/>
      <c r="LF23" s="25"/>
      <c r="LG23" s="25"/>
      <c r="LH23" s="25"/>
      <c r="LI23" s="25"/>
      <c r="LJ23" s="25"/>
      <c r="LK23" s="25"/>
      <c r="LL23" s="25"/>
      <c r="LM23" s="25"/>
      <c r="LN23" s="25"/>
      <c r="LO23" s="25"/>
      <c r="LP23" s="25"/>
      <c r="LQ23" s="25"/>
      <c r="LR23" s="25"/>
      <c r="LS23" s="25"/>
      <c r="LT23" s="25"/>
      <c r="LU23" s="25"/>
      <c r="LV23" s="25"/>
      <c r="LW23" s="25"/>
      <c r="LX23" s="25"/>
      <c r="LY23" s="25"/>
      <c r="LZ23" s="25"/>
      <c r="MA23" s="25"/>
      <c r="MB23" s="25"/>
      <c r="MC23" s="25"/>
      <c r="MD23" s="25"/>
      <c r="ME23" s="25"/>
      <c r="MF23" s="25"/>
      <c r="MG23" s="25"/>
      <c r="MH23" s="25"/>
    </row>
    <row r="24" spans="1:346" s="332" customFormat="1" ht="24" x14ac:dyDescent="0.25">
      <c r="A24" s="21">
        <v>4</v>
      </c>
      <c r="B24" s="21">
        <f>VLOOKUP($A24,'Indicadores Financeiros'!$A$127:$J$229,2,FALSE)</f>
        <v>353</v>
      </c>
      <c r="C24" s="22" t="str">
        <f>VLOOKUP($A24,'Indicadores Financeiros'!$A$127:$J$229,3,FALSE)</f>
        <v>São Paulo - JEC / JECRIM II - Central Vergueiro</v>
      </c>
      <c r="D24" s="326" t="str">
        <f>VLOOKUP($B24,BIP!A:E,5,FALSE)</f>
        <v>São Paulo</v>
      </c>
      <c r="E24" s="72">
        <v>690029</v>
      </c>
      <c r="F24" s="7" t="str">
        <f>VLOOKUP($E24,'Tabela de Códigos e Valores'!$A:$M,2,FALSE)</f>
        <v>Serviço de limpeza de vidros sem exposição à situação de risco</v>
      </c>
      <c r="G24" s="7" t="str">
        <f>VLOOKUP($E24,'Tabela de Códigos e Valores'!$A:$M,5,FALSE)</f>
        <v>M2</v>
      </c>
      <c r="H24" s="7" t="str">
        <f>VLOOKUP($E24,'Tabela de Códigos e Valores'!$A:$M,6,FALSE)</f>
        <v>Trimestral</v>
      </c>
      <c r="I24" s="175">
        <f>VLOOKUP($E24,'Tabela de Códigos e Valores'!$A:$M,7,FALSE)</f>
        <v>0</v>
      </c>
      <c r="J24" s="175">
        <f>VLOOKUP($E24,'Tabela de Códigos e Valores'!$A:$M,8,FALSE)</f>
        <v>0</v>
      </c>
      <c r="K24" s="263">
        <v>284</v>
      </c>
      <c r="L24" s="188">
        <f>IFERROR(VLOOKUP(E24,'Indicadores Financeiros'!$A$90:$J$92,10,FALSE),0)</f>
        <v>0</v>
      </c>
      <c r="M24" s="175">
        <f>VLOOKUP($E24,'Tabela de Códigos e Valores'!$A:$Z,16,FALSE)</f>
        <v>0</v>
      </c>
      <c r="N24" s="175">
        <f>VLOOKUP($E24,'Tabela de Códigos e Valores'!$A:$Z,17,FALSE)</f>
        <v>0</v>
      </c>
      <c r="O24" s="175">
        <f>VLOOKUP($E24,'Tabela de Códigos e Valores'!$A:$AAB,28,FALSE)</f>
        <v>0</v>
      </c>
      <c r="P24" s="175">
        <f>ROUND(IF($G24&lt;&gt;"M2",IF(VLOOKUP($E24,'Tabela de Códigos e Valores'!$A:$J,10,FALSE)*6%&gt;=VLOOKUP('Relatório Custo'!$A24,'Indicadores Financeiros'!$A$127:$I$131,9,FALSE)*'Relatório Custo'!I24,0,VLOOKUP('Relatório Custo'!$A24,'Indicadores Financeiros'!$A$127:$I$131,9,FALSE)*'Relatório Custo'!I24-VLOOKUP($E24,'Tabela de Códigos e Valores'!$A:$J,10,FALSE)*6%),0),2)</f>
        <v>0</v>
      </c>
      <c r="Q24" s="175">
        <f>VLOOKUP($E24,'Tabela de Códigos e Valores'!$A:$AAC,30,FALSE)</f>
        <v>0</v>
      </c>
      <c r="R24" s="175">
        <f>ROUND(ROUND(($M24+$N24+$O24+$P24+$Q24),2)*VLOOKUP($E24,'Tabela de Códigos e Valores'!$A:$AE,31,FALSE)/(1-VLOOKUP($E24,'Tabela de Códigos e Valores'!$A:$AE,31,FALSE)),2)</f>
        <v>0</v>
      </c>
      <c r="S24" s="24">
        <f t="shared" si="13"/>
        <v>0</v>
      </c>
      <c r="T24" s="177">
        <f>VLOOKUP($A24,'Indicadores Financeiros'!$A$127:$J$131,8,FALSE)</f>
        <v>2.0400000000000001E-2</v>
      </c>
      <c r="U24" s="24">
        <f t="shared" si="14"/>
        <v>0</v>
      </c>
      <c r="V24" s="32">
        <f t="shared" si="15"/>
        <v>0</v>
      </c>
      <c r="W24" s="234">
        <f>VLOOKUP($A24,'Indicadores Financeiros'!$A$127:$J$131,10)</f>
        <v>1</v>
      </c>
      <c r="X24" s="63">
        <f>U24*IF(H24="Mensal",('Indicadores Financeiros'!$F$14-W24+1),IF(H24="Trimestral",INT(('Indicadores Financeiros'!$F$14-W24+1)/3),INT(('Indicadores Financeiros'!$F$14-W24+1)/12)))*K24</f>
        <v>0</v>
      </c>
      <c r="Y24" s="74"/>
      <c r="Z24" s="63">
        <f t="shared" si="16"/>
        <v>0</v>
      </c>
      <c r="AA24" s="63">
        <f>ROUND('Indicadores Financeiros'!$J$71*$Z24,4)</f>
        <v>0</v>
      </c>
      <c r="AB24" s="25"/>
      <c r="AC24" s="23">
        <f t="shared" si="4"/>
        <v>0</v>
      </c>
      <c r="AD24" s="23">
        <f>IF(G24="m2",0,ROUND((ROUND(VLOOKUP($E24,'Tabela de Códigos e Valores'!$A:$AB,26,FALSE)/I24,2)+ROUND(P24/I24,2)+ROUND(M24*'Indicadores Financeiros'!$J$61/I24,2)+ROUND(R24/I24,2))*(1+T24),2))</f>
        <v>0</v>
      </c>
      <c r="AE24" s="23">
        <f>IF(G24="posto",IF(OR(E24=690018,E24=690019),'Indicadores Financeiros'!$J$108,IF(OR(E24=690002,E24=690016,E24=690019,E24=690035,E24=690038,E24=690064),'Indicadores Financeiros'!$G$108/2*(1+T24),'Indicadores Financeiros'!$G$108*(1+T24))),0)</f>
        <v>0</v>
      </c>
      <c r="AF24" s="57"/>
      <c r="AG24" s="31"/>
      <c r="AH24" s="253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  <c r="HI24" s="25"/>
      <c r="HJ24" s="25"/>
      <c r="HK24" s="25"/>
      <c r="HL24" s="25"/>
      <c r="HM24" s="25"/>
      <c r="HN24" s="25"/>
      <c r="HO24" s="25"/>
      <c r="HP24" s="25"/>
      <c r="HQ24" s="25"/>
      <c r="HR24" s="25"/>
      <c r="HS24" s="25"/>
      <c r="HT24" s="25"/>
      <c r="HU24" s="25"/>
      <c r="HV24" s="25"/>
      <c r="HW24" s="25"/>
      <c r="HX24" s="25"/>
      <c r="HY24" s="25"/>
      <c r="HZ24" s="25"/>
      <c r="IA24" s="25"/>
      <c r="IB24" s="25"/>
      <c r="IC24" s="25"/>
      <c r="ID24" s="25"/>
      <c r="IE24" s="25"/>
      <c r="IF24" s="25"/>
      <c r="IG24" s="25"/>
      <c r="IH24" s="25"/>
      <c r="II24" s="25"/>
      <c r="IJ24" s="25"/>
      <c r="IK24" s="25"/>
      <c r="IL24" s="25"/>
      <c r="IM24" s="25"/>
      <c r="IN24" s="25"/>
      <c r="IO24" s="25"/>
      <c r="IP24" s="25"/>
      <c r="IQ24" s="25"/>
      <c r="IR24" s="25"/>
      <c r="IS24" s="25"/>
      <c r="IT24" s="25"/>
      <c r="IU24" s="25"/>
      <c r="IV24" s="25"/>
      <c r="IW24" s="25"/>
      <c r="IX24" s="25"/>
      <c r="IY24" s="25"/>
      <c r="IZ24" s="25"/>
      <c r="JA24" s="25"/>
      <c r="JB24" s="25"/>
      <c r="JC24" s="25"/>
      <c r="JD24" s="25"/>
      <c r="JE24" s="25"/>
      <c r="JF24" s="25"/>
      <c r="JG24" s="25"/>
      <c r="JH24" s="25"/>
      <c r="JI24" s="25"/>
      <c r="JJ24" s="25"/>
      <c r="JK24" s="25"/>
      <c r="JL24" s="25"/>
      <c r="JM24" s="25"/>
      <c r="JN24" s="25"/>
      <c r="JO24" s="25"/>
      <c r="JP24" s="25"/>
      <c r="JQ24" s="25"/>
      <c r="JR24" s="25"/>
      <c r="JS24" s="25"/>
      <c r="JT24" s="25"/>
      <c r="JU24" s="25"/>
      <c r="JV24" s="25"/>
      <c r="JW24" s="25"/>
      <c r="JX24" s="25"/>
      <c r="JY24" s="25"/>
      <c r="JZ24" s="25"/>
      <c r="KA24" s="25"/>
      <c r="KB24" s="25"/>
      <c r="KC24" s="25"/>
      <c r="KD24" s="25"/>
      <c r="KE24" s="25"/>
      <c r="KF24" s="25"/>
      <c r="KG24" s="25"/>
      <c r="KH24" s="25"/>
      <c r="KI24" s="25"/>
      <c r="KJ24" s="25"/>
      <c r="KK24" s="25"/>
      <c r="KL24" s="25"/>
      <c r="KM24" s="25"/>
      <c r="KN24" s="25"/>
      <c r="KO24" s="25"/>
      <c r="KP24" s="25"/>
      <c r="KQ24" s="25"/>
      <c r="KR24" s="25"/>
      <c r="KS24" s="25"/>
      <c r="KT24" s="25"/>
      <c r="KU24" s="25"/>
      <c r="KV24" s="25"/>
      <c r="KW24" s="25"/>
      <c r="KX24" s="25"/>
      <c r="KY24" s="25"/>
      <c r="KZ24" s="25"/>
      <c r="LA24" s="25"/>
      <c r="LB24" s="25"/>
      <c r="LC24" s="25"/>
      <c r="LD24" s="25"/>
      <c r="LE24" s="25"/>
      <c r="LF24" s="25"/>
      <c r="LG24" s="25"/>
      <c r="LH24" s="25"/>
      <c r="LI24" s="25"/>
      <c r="LJ24" s="25"/>
      <c r="LK24" s="25"/>
      <c r="LL24" s="25"/>
      <c r="LM24" s="25"/>
      <c r="LN24" s="25"/>
      <c r="LO24" s="25"/>
      <c r="LP24" s="25"/>
      <c r="LQ24" s="25"/>
      <c r="LR24" s="25"/>
      <c r="LS24" s="25"/>
      <c r="LT24" s="25"/>
      <c r="LU24" s="25"/>
      <c r="LV24" s="25"/>
      <c r="LW24" s="25"/>
      <c r="LX24" s="25"/>
      <c r="LY24" s="25"/>
      <c r="LZ24" s="25"/>
      <c r="MA24" s="25"/>
      <c r="MB24" s="25"/>
      <c r="MC24" s="25"/>
      <c r="MD24" s="25"/>
      <c r="ME24" s="25"/>
      <c r="MF24" s="25"/>
      <c r="MG24" s="25"/>
      <c r="MH24" s="25"/>
    </row>
    <row r="25" spans="1:346" s="332" customFormat="1" ht="24" x14ac:dyDescent="0.25">
      <c r="A25" s="21">
        <v>4</v>
      </c>
      <c r="B25" s="21">
        <f>VLOOKUP($A25,'Indicadores Financeiros'!$A$127:$J$229,2,FALSE)</f>
        <v>353</v>
      </c>
      <c r="C25" s="22" t="str">
        <f>VLOOKUP($A25,'Indicadores Financeiros'!$A$127:$J$229,3,FALSE)</f>
        <v>São Paulo - JEC / JECRIM II - Central Vergueiro</v>
      </c>
      <c r="D25" s="326" t="str">
        <f>VLOOKUP($B25,BIP!A:E,5,FALSE)</f>
        <v>São Paulo</v>
      </c>
      <c r="E25" s="72">
        <v>690037</v>
      </c>
      <c r="F25" s="7" t="str">
        <f>VLOOKUP($E25,'Tabela de Códigos e Valores'!$A:$M,2,FALSE)</f>
        <v>Agente de Higienização (Tempo Integral) - (40%) - 44 horas semanais</v>
      </c>
      <c r="G25" s="7" t="str">
        <f>VLOOKUP($E25,'Tabela de Códigos e Valores'!$A:$M,5,FALSE)</f>
        <v>Posto</v>
      </c>
      <c r="H25" s="7" t="str">
        <f>VLOOKUP($E25,'Tabela de Códigos e Valores'!$A:$M,6,FALSE)</f>
        <v>Mensal</v>
      </c>
      <c r="I25" s="175">
        <f>VLOOKUP($E25,'Tabela de Códigos e Valores'!$A:$M,7,FALSE)</f>
        <v>21</v>
      </c>
      <c r="J25" s="175">
        <f>VLOOKUP($E25,'Tabela de Códigos e Valores'!$A:$M,8,FALSE)</f>
        <v>0</v>
      </c>
      <c r="K25" s="263">
        <v>1</v>
      </c>
      <c r="L25" s="188">
        <f>IFERROR(VLOOKUP(E25,'Indicadores Financeiros'!$A$90:$J$92,10,FALSE),0)</f>
        <v>0</v>
      </c>
      <c r="M25" s="175">
        <f>VLOOKUP($E25,'Tabela de Códigos e Valores'!$A:$Z,16,FALSE)</f>
        <v>0</v>
      </c>
      <c r="N25" s="175">
        <f>VLOOKUP($E25,'Tabela de Códigos e Valores'!$A:$Z,17,FALSE)</f>
        <v>0</v>
      </c>
      <c r="O25" s="175">
        <f>VLOOKUP($E25,'Tabela de Códigos e Valores'!$A:$AAB,28,FALSE)</f>
        <v>0</v>
      </c>
      <c r="P25" s="175">
        <f>ROUND(IF($G25&lt;&gt;"M2",IF(VLOOKUP($E25,'Tabela de Códigos e Valores'!$A:$J,10,FALSE)*6%&gt;=VLOOKUP('Relatório Custo'!$A25,'Indicadores Financeiros'!$A$127:$I$131,9,FALSE)*'Relatório Custo'!I25,0,VLOOKUP('Relatório Custo'!$A25,'Indicadores Financeiros'!$A$127:$I$131,9,FALSE)*'Relatório Custo'!I25-VLOOKUP($E25,'Tabela de Códigos e Valores'!$A:$J,10,FALSE)*6%),0),2)</f>
        <v>0</v>
      </c>
      <c r="Q25" s="175">
        <f>VLOOKUP($E25,'Tabela de Códigos e Valores'!$A:$AAC,30,FALSE)</f>
        <v>0</v>
      </c>
      <c r="R25" s="175">
        <f>ROUND(ROUND(($M25+$N25+$O25+$P25+$Q25),2)*VLOOKUP($E25,'Tabela de Códigos e Valores'!$A:$AE,31,FALSE)/(1-VLOOKUP($E25,'Tabela de Códigos e Valores'!$A:$AE,31,FALSE)),2)</f>
        <v>0</v>
      </c>
      <c r="S25" s="24">
        <f t="shared" si="13"/>
        <v>0</v>
      </c>
      <c r="T25" s="177">
        <f>VLOOKUP($A25,'Indicadores Financeiros'!$A$127:$J$131,8,FALSE)</f>
        <v>2.0400000000000001E-2</v>
      </c>
      <c r="U25" s="24">
        <f t="shared" si="14"/>
        <v>0</v>
      </c>
      <c r="V25" s="32">
        <f t="shared" si="15"/>
        <v>0</v>
      </c>
      <c r="W25" s="234">
        <f>VLOOKUP($A25,'Indicadores Financeiros'!$A$127:$J$131,10)</f>
        <v>1</v>
      </c>
      <c r="X25" s="63">
        <f>U25*IF(H25="Mensal",('Indicadores Financeiros'!$F$14-W25+1),IF(H25="Trimestral",INT(('Indicadores Financeiros'!$F$14-W25+1)/3),INT(('Indicadores Financeiros'!$F$14-W25+1)/12)))*K25</f>
        <v>0</v>
      </c>
      <c r="Y25" s="74"/>
      <c r="Z25" s="63">
        <f t="shared" si="16"/>
        <v>0</v>
      </c>
      <c r="AA25" s="63">
        <f>ROUND('Indicadores Financeiros'!$J$71*$Z25,4)</f>
        <v>0</v>
      </c>
      <c r="AB25" s="25"/>
      <c r="AC25" s="23">
        <f t="shared" si="4"/>
        <v>0</v>
      </c>
      <c r="AD25" s="23">
        <f>ROUND((ROUND(VLOOKUP($E25,'Tabela de Códigos e Valores'!$A:$AB,26,FALSE)/I25,2)+ROUND(P25/I25,2)+ROUND(M25*'Indicadores Financeiros'!$J$61/I25,2)+ROUND(R25/I25,2))*(1+T25),2)</f>
        <v>0</v>
      </c>
      <c r="AE25" s="23">
        <f>IF(G25="posto",IF(OR(E25=690018,E25=690019),'Indicadores Financeiros'!$J$108,IF(OR(E25=690002,E25=690016,E25=690019,E25=690035,E25=690038,E25=690064),'Indicadores Financeiros'!$G$108/2*(1+T25),'Indicadores Financeiros'!$G$108*(1+T25))),0)</f>
        <v>0</v>
      </c>
      <c r="AF25" s="57"/>
      <c r="AG25" s="31"/>
      <c r="AH25" s="253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  <c r="HP25" s="25"/>
      <c r="HQ25" s="25"/>
      <c r="HR25" s="25"/>
      <c r="HS25" s="25"/>
      <c r="HT25" s="25"/>
      <c r="HU25" s="25"/>
      <c r="HV25" s="25"/>
      <c r="HW25" s="25"/>
      <c r="HX25" s="25"/>
      <c r="HY25" s="25"/>
      <c r="HZ25" s="25"/>
      <c r="IA25" s="25"/>
      <c r="IB25" s="25"/>
      <c r="IC25" s="25"/>
      <c r="ID25" s="25"/>
      <c r="IE25" s="25"/>
      <c r="IF25" s="25"/>
      <c r="IG25" s="25"/>
      <c r="IH25" s="25"/>
      <c r="II25" s="25"/>
      <c r="IJ25" s="25"/>
      <c r="IK25" s="25"/>
      <c r="IL25" s="25"/>
      <c r="IM25" s="25"/>
      <c r="IN25" s="25"/>
      <c r="IO25" s="25"/>
      <c r="IP25" s="25"/>
      <c r="IQ25" s="25"/>
      <c r="IR25" s="25"/>
      <c r="IS25" s="25"/>
      <c r="IT25" s="25"/>
      <c r="IU25" s="25"/>
      <c r="IV25" s="25"/>
      <c r="IW25" s="25"/>
      <c r="IX25" s="25"/>
      <c r="IY25" s="25"/>
      <c r="IZ25" s="25"/>
      <c r="JA25" s="25"/>
      <c r="JB25" s="25"/>
      <c r="JC25" s="25"/>
      <c r="JD25" s="25"/>
      <c r="JE25" s="25"/>
      <c r="JF25" s="25"/>
      <c r="JG25" s="25"/>
      <c r="JH25" s="25"/>
      <c r="JI25" s="25"/>
      <c r="JJ25" s="25"/>
      <c r="JK25" s="25"/>
      <c r="JL25" s="25"/>
      <c r="JM25" s="25"/>
      <c r="JN25" s="25"/>
      <c r="JO25" s="25"/>
      <c r="JP25" s="25"/>
      <c r="JQ25" s="25"/>
      <c r="JR25" s="25"/>
      <c r="JS25" s="25"/>
      <c r="JT25" s="25"/>
      <c r="JU25" s="25"/>
      <c r="JV25" s="25"/>
      <c r="JW25" s="25"/>
      <c r="JX25" s="25"/>
      <c r="JY25" s="25"/>
      <c r="JZ25" s="25"/>
      <c r="KA25" s="25"/>
      <c r="KB25" s="25"/>
      <c r="KC25" s="25"/>
      <c r="KD25" s="25"/>
      <c r="KE25" s="25"/>
      <c r="KF25" s="25"/>
      <c r="KG25" s="25"/>
      <c r="KH25" s="25"/>
      <c r="KI25" s="25"/>
      <c r="KJ25" s="25"/>
      <c r="KK25" s="25"/>
      <c r="KL25" s="25"/>
      <c r="KM25" s="25"/>
      <c r="KN25" s="25"/>
      <c r="KO25" s="25"/>
      <c r="KP25" s="25"/>
      <c r="KQ25" s="25"/>
      <c r="KR25" s="25"/>
      <c r="KS25" s="25"/>
      <c r="KT25" s="25"/>
      <c r="KU25" s="25"/>
      <c r="KV25" s="25"/>
      <c r="KW25" s="25"/>
      <c r="KX25" s="25"/>
      <c r="KY25" s="25"/>
      <c r="KZ25" s="25"/>
      <c r="LA25" s="25"/>
      <c r="LB25" s="25"/>
      <c r="LC25" s="25"/>
      <c r="LD25" s="25"/>
      <c r="LE25" s="25"/>
      <c r="LF25" s="25"/>
      <c r="LG25" s="25"/>
      <c r="LH25" s="25"/>
      <c r="LI25" s="25"/>
      <c r="LJ25" s="25"/>
      <c r="LK25" s="25"/>
      <c r="LL25" s="25"/>
      <c r="LM25" s="25"/>
      <c r="LN25" s="25"/>
      <c r="LO25" s="25"/>
      <c r="LP25" s="25"/>
      <c r="LQ25" s="25"/>
      <c r="LR25" s="25"/>
      <c r="LS25" s="25"/>
      <c r="LT25" s="25"/>
      <c r="LU25" s="25"/>
      <c r="LV25" s="25"/>
      <c r="LW25" s="25"/>
      <c r="LX25" s="25"/>
      <c r="LY25" s="25"/>
      <c r="LZ25" s="25"/>
      <c r="MA25" s="25"/>
      <c r="MB25" s="25"/>
      <c r="MC25" s="25"/>
      <c r="MD25" s="25"/>
      <c r="ME25" s="25"/>
      <c r="MF25" s="25"/>
      <c r="MG25" s="25"/>
      <c r="MH25" s="25"/>
    </row>
    <row r="26" spans="1:346" s="332" customFormat="1" ht="24" x14ac:dyDescent="0.25">
      <c r="A26" s="21">
        <v>4</v>
      </c>
      <c r="B26" s="21">
        <f>VLOOKUP($A26,'Indicadores Financeiros'!$A$127:$J$229,2,FALSE)</f>
        <v>353</v>
      </c>
      <c r="C26" s="22" t="str">
        <f>VLOOKUP($A26,'Indicadores Financeiros'!$A$127:$J$229,3,FALSE)</f>
        <v>São Paulo - JEC / JECRIM II - Central Vergueiro</v>
      </c>
      <c r="D26" s="326" t="str">
        <f>VLOOKUP($B26,BIP!A:E,5,FALSE)</f>
        <v>São Paulo</v>
      </c>
      <c r="E26" s="72">
        <v>690056</v>
      </c>
      <c r="F26" s="7" t="str">
        <f>VLOOKUP($E26,'Tabela de Códigos e Valores'!$A:$M,2,FALSE)</f>
        <v>Encarregado(a) 11 ou mais subordinados - diurno - 44 horas semanais</v>
      </c>
      <c r="G26" s="7" t="str">
        <f>VLOOKUP($E26,'Tabela de Códigos e Valores'!$A:$M,5,FALSE)</f>
        <v>Posto</v>
      </c>
      <c r="H26" s="7" t="str">
        <f>VLOOKUP($E26,'Tabela de Códigos e Valores'!$A:$M,6,FALSE)</f>
        <v>Mensal</v>
      </c>
      <c r="I26" s="175">
        <f>VLOOKUP($E26,'Tabela de Códigos e Valores'!$A:$M,7,FALSE)</f>
        <v>21</v>
      </c>
      <c r="J26" s="175">
        <f>VLOOKUP($E26,'Tabela de Códigos e Valores'!$A:$M,8,FALSE)</f>
        <v>0</v>
      </c>
      <c r="K26" s="263">
        <v>1</v>
      </c>
      <c r="L26" s="188">
        <f>IFERROR(VLOOKUP(E26,'Indicadores Financeiros'!$A$90:$J$92,10,FALSE),0)</f>
        <v>0</v>
      </c>
      <c r="M26" s="175">
        <f>VLOOKUP($E26,'Tabela de Códigos e Valores'!$A:$Z,16,FALSE)</f>
        <v>0</v>
      </c>
      <c r="N26" s="175">
        <f>VLOOKUP($E26,'Tabela de Códigos e Valores'!$A:$Z,17,FALSE)</f>
        <v>0</v>
      </c>
      <c r="O26" s="175">
        <f>VLOOKUP($E26,'Tabela de Códigos e Valores'!$A:$AAB,28,FALSE)</f>
        <v>0</v>
      </c>
      <c r="P26" s="175">
        <f>ROUND(IF($G26&lt;&gt;"M2",IF(VLOOKUP($E26,'Tabela de Códigos e Valores'!$A:$J,10,FALSE)*6%&gt;=VLOOKUP('Relatório Custo'!$A26,'Indicadores Financeiros'!$A$127:$I$131,9,FALSE)*'Relatório Custo'!I26,0,VLOOKUP('Relatório Custo'!$A26,'Indicadores Financeiros'!$A$127:$I$131,9,FALSE)*'Relatório Custo'!I26-VLOOKUP($E26,'Tabela de Códigos e Valores'!$A:$J,10,FALSE)*6%),0),2)</f>
        <v>0</v>
      </c>
      <c r="Q26" s="175">
        <f>VLOOKUP($E26,'Tabela de Códigos e Valores'!$A:$AAC,30,FALSE)</f>
        <v>0</v>
      </c>
      <c r="R26" s="175">
        <f>ROUND(ROUND(($M26+$N26+$O26+$P26+$Q26),2)*VLOOKUP($E26,'Tabela de Códigos e Valores'!$A:$AE,31,FALSE)/(1-VLOOKUP($E26,'Tabela de Códigos e Valores'!$A:$AE,31,FALSE)),2)</f>
        <v>0</v>
      </c>
      <c r="S26" s="24">
        <f t="shared" si="13"/>
        <v>0</v>
      </c>
      <c r="T26" s="177">
        <f>VLOOKUP($A26,'Indicadores Financeiros'!$A$127:$J$131,8,FALSE)</f>
        <v>2.0400000000000001E-2</v>
      </c>
      <c r="U26" s="24">
        <f t="shared" si="14"/>
        <v>0</v>
      </c>
      <c r="V26" s="32">
        <f t="shared" si="15"/>
        <v>0</v>
      </c>
      <c r="W26" s="234">
        <f>VLOOKUP($A26,'Indicadores Financeiros'!$A$127:$J$131,10)</f>
        <v>1</v>
      </c>
      <c r="X26" s="63">
        <f>U26*IF(H26="Mensal",('Indicadores Financeiros'!$F$14-W26+1),IF(H26="Trimestral",INT(('Indicadores Financeiros'!$F$14-W26+1)/3),INT(('Indicadores Financeiros'!$F$14-W26+1)/12)))*K26</f>
        <v>0</v>
      </c>
      <c r="Y26" s="74"/>
      <c r="Z26" s="63">
        <f t="shared" si="16"/>
        <v>0</v>
      </c>
      <c r="AA26" s="63">
        <f>ROUND('Indicadores Financeiros'!$J$71*$Z26,4)</f>
        <v>0</v>
      </c>
      <c r="AB26" s="25"/>
      <c r="AC26" s="23">
        <f t="shared" si="4"/>
        <v>0</v>
      </c>
      <c r="AD26" s="23">
        <f>ROUND((ROUND(VLOOKUP($E26,'Tabela de Códigos e Valores'!$A:$AB,26,FALSE)/I26,2)+ROUND(P26/I26,2)+ROUND(M26*'Indicadores Financeiros'!$J$61/I26,2)+ROUND(R26/I26,2))*(1+T26),2)</f>
        <v>0</v>
      </c>
      <c r="AE26" s="23">
        <f>IF(G26="posto",IF(OR(E26=690018,E26=690019),'Indicadores Financeiros'!$J$108,IF(OR(E26=690002,E26=690016,E26=690019,E26=690035,E26=690038,E26=690064),'Indicadores Financeiros'!$G$108/2*(1+T26),'Indicadores Financeiros'!$G$108*(1+T26))),0)</f>
        <v>0</v>
      </c>
      <c r="AF26" s="57"/>
      <c r="AG26" s="31"/>
      <c r="AH26" s="253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  <c r="HI26" s="25"/>
      <c r="HJ26" s="25"/>
      <c r="HK26" s="25"/>
      <c r="HL26" s="25"/>
      <c r="HM26" s="25"/>
      <c r="HN26" s="25"/>
      <c r="HO26" s="25"/>
      <c r="HP26" s="25"/>
      <c r="HQ26" s="25"/>
      <c r="HR26" s="25"/>
      <c r="HS26" s="25"/>
      <c r="HT26" s="25"/>
      <c r="HU26" s="25"/>
      <c r="HV26" s="25"/>
      <c r="HW26" s="25"/>
      <c r="HX26" s="25"/>
      <c r="HY26" s="25"/>
      <c r="HZ26" s="25"/>
      <c r="IA26" s="25"/>
      <c r="IB26" s="25"/>
      <c r="IC26" s="25"/>
      <c r="ID26" s="25"/>
      <c r="IE26" s="25"/>
      <c r="IF26" s="25"/>
      <c r="IG26" s="25"/>
      <c r="IH26" s="25"/>
      <c r="II26" s="25"/>
      <c r="IJ26" s="25"/>
      <c r="IK26" s="25"/>
      <c r="IL26" s="25"/>
      <c r="IM26" s="25"/>
      <c r="IN26" s="25"/>
      <c r="IO26" s="25"/>
      <c r="IP26" s="25"/>
      <c r="IQ26" s="25"/>
      <c r="IR26" s="25"/>
      <c r="IS26" s="25"/>
      <c r="IT26" s="25"/>
      <c r="IU26" s="25"/>
      <c r="IV26" s="25"/>
      <c r="IW26" s="25"/>
      <c r="IX26" s="25"/>
      <c r="IY26" s="25"/>
      <c r="IZ26" s="25"/>
      <c r="JA26" s="25"/>
      <c r="JB26" s="25"/>
      <c r="JC26" s="25"/>
      <c r="JD26" s="25"/>
      <c r="JE26" s="25"/>
      <c r="JF26" s="25"/>
      <c r="JG26" s="25"/>
      <c r="JH26" s="25"/>
      <c r="JI26" s="25"/>
      <c r="JJ26" s="25"/>
      <c r="JK26" s="25"/>
      <c r="JL26" s="25"/>
      <c r="JM26" s="25"/>
      <c r="JN26" s="25"/>
      <c r="JO26" s="25"/>
      <c r="JP26" s="25"/>
      <c r="JQ26" s="25"/>
      <c r="JR26" s="25"/>
      <c r="JS26" s="25"/>
      <c r="JT26" s="25"/>
      <c r="JU26" s="25"/>
      <c r="JV26" s="25"/>
      <c r="JW26" s="25"/>
      <c r="JX26" s="25"/>
      <c r="JY26" s="25"/>
      <c r="JZ26" s="25"/>
      <c r="KA26" s="25"/>
      <c r="KB26" s="25"/>
      <c r="KC26" s="25"/>
      <c r="KD26" s="25"/>
      <c r="KE26" s="25"/>
      <c r="KF26" s="25"/>
      <c r="KG26" s="25"/>
      <c r="KH26" s="25"/>
      <c r="KI26" s="25"/>
      <c r="KJ26" s="25"/>
      <c r="KK26" s="25"/>
      <c r="KL26" s="25"/>
      <c r="KM26" s="25"/>
      <c r="KN26" s="25"/>
      <c r="KO26" s="25"/>
      <c r="KP26" s="25"/>
      <c r="KQ26" s="25"/>
      <c r="KR26" s="25"/>
      <c r="KS26" s="25"/>
      <c r="KT26" s="25"/>
      <c r="KU26" s="25"/>
      <c r="KV26" s="25"/>
      <c r="KW26" s="25"/>
      <c r="KX26" s="25"/>
      <c r="KY26" s="25"/>
      <c r="KZ26" s="25"/>
      <c r="LA26" s="25"/>
      <c r="LB26" s="25"/>
      <c r="LC26" s="25"/>
      <c r="LD26" s="25"/>
      <c r="LE26" s="25"/>
      <c r="LF26" s="25"/>
      <c r="LG26" s="25"/>
      <c r="LH26" s="25"/>
      <c r="LI26" s="25"/>
      <c r="LJ26" s="25"/>
      <c r="LK26" s="25"/>
      <c r="LL26" s="25"/>
      <c r="LM26" s="25"/>
      <c r="LN26" s="25"/>
      <c r="LO26" s="25"/>
      <c r="LP26" s="25"/>
      <c r="LQ26" s="25"/>
      <c r="LR26" s="25"/>
      <c r="LS26" s="25"/>
      <c r="LT26" s="25"/>
      <c r="LU26" s="25"/>
      <c r="LV26" s="25"/>
      <c r="LW26" s="25"/>
      <c r="LX26" s="25"/>
      <c r="LY26" s="25"/>
      <c r="LZ26" s="25"/>
      <c r="MA26" s="25"/>
      <c r="MB26" s="25"/>
      <c r="MC26" s="25"/>
      <c r="MD26" s="25"/>
      <c r="ME26" s="25"/>
      <c r="MF26" s="25"/>
      <c r="MG26" s="25"/>
      <c r="MH26" s="25"/>
    </row>
    <row r="27" spans="1:346" s="332" customFormat="1" ht="36" x14ac:dyDescent="0.25">
      <c r="A27" s="21">
        <v>5</v>
      </c>
      <c r="B27" s="21">
        <f>VLOOKUP($A27,'Indicadores Financeiros'!$A$127:$J$229,2,FALSE)</f>
        <v>615</v>
      </c>
      <c r="C27" s="22" t="str">
        <f>VLOOKUP($A27,'Indicadores Financeiros'!$A$127:$J$229,3,FALSE)</f>
        <v>São Paulo - Unidade(s) Administrativa(s) I - Praça do Patriarca</v>
      </c>
      <c r="D27" s="326" t="str">
        <f>VLOOKUP($B27,BIP!A:E,5,FALSE)</f>
        <v>São Paulo</v>
      </c>
      <c r="E27" s="73">
        <v>690001</v>
      </c>
      <c r="F27" s="7" t="str">
        <f>VLOOKUP($E27,'Tabela de Códigos e Valores'!$A:$M,2,FALSE)</f>
        <v>Auxiliar de limpeza - diurno - 44 horas semanais (segunda a sexta-feira)</v>
      </c>
      <c r="G27" s="7" t="str">
        <f>VLOOKUP($E27,'Tabela de Códigos e Valores'!$A:$M,5,FALSE)</f>
        <v>Posto</v>
      </c>
      <c r="H27" s="7" t="str">
        <f>VLOOKUP($E27,'Tabela de Códigos e Valores'!$A:$M,6,FALSE)</f>
        <v>Mensal</v>
      </c>
      <c r="I27" s="175">
        <f>VLOOKUP($E27,'Tabela de Códigos e Valores'!$A:$M,7,FALSE)</f>
        <v>21</v>
      </c>
      <c r="J27" s="175">
        <f>VLOOKUP($E27,'Tabela de Códigos e Valores'!$A:$M,8,FALSE)</f>
        <v>0</v>
      </c>
      <c r="K27" s="263">
        <v>31</v>
      </c>
      <c r="L27" s="188">
        <f>IFERROR(VLOOKUP(E27,'Indicadores Financeiros'!$A$90:$J$92,10,FALSE),0)</f>
        <v>0</v>
      </c>
      <c r="M27" s="175">
        <f>VLOOKUP($E27,'Tabela de Códigos e Valores'!$A:$Z,16,FALSE)</f>
        <v>0</v>
      </c>
      <c r="N27" s="175">
        <f>VLOOKUP($E27,'Tabela de Códigos e Valores'!$A:$Z,17,FALSE)</f>
        <v>0</v>
      </c>
      <c r="O27" s="175">
        <f>VLOOKUP($E27,'Tabela de Códigos e Valores'!$A:$AAB,28,FALSE)</f>
        <v>0</v>
      </c>
      <c r="P27" s="175">
        <f>ROUND(IF($G27&lt;&gt;"M2",IF(VLOOKUP($E27,'Tabela de Códigos e Valores'!$A:$J,10,FALSE)*6%&gt;=VLOOKUP('Relatório Custo'!$A27,'Indicadores Financeiros'!$A$127:$I$131,9,FALSE)*'Relatório Custo'!I27,0,VLOOKUP('Relatório Custo'!$A27,'Indicadores Financeiros'!$A$127:$I$131,9,FALSE)*'Relatório Custo'!I27-VLOOKUP($E27,'Tabela de Códigos e Valores'!$A:$J,10,FALSE)*6%),0),2)</f>
        <v>0</v>
      </c>
      <c r="Q27" s="175">
        <f>VLOOKUP($E27,'Tabela de Códigos e Valores'!$A:$AAC,30,FALSE)</f>
        <v>0</v>
      </c>
      <c r="R27" s="175">
        <f>ROUND(ROUND(($M27+$N27+$O27+$P27+$Q27),2)*VLOOKUP($E27,'Tabela de Códigos e Valores'!$A:$AE,31,FALSE)/(1-VLOOKUP($E27,'Tabela de Códigos e Valores'!$A:$AE,31,FALSE)),2)</f>
        <v>0</v>
      </c>
      <c r="S27" s="24">
        <f>SUM(L27:R27)</f>
        <v>0</v>
      </c>
      <c r="T27" s="177">
        <f>VLOOKUP($A27,'Indicadores Financeiros'!$A$127:$J$131,8,FALSE)</f>
        <v>2.0400000000000001E-2</v>
      </c>
      <c r="U27" s="24">
        <f>ROUND(S27*(1+T27),2)</f>
        <v>0</v>
      </c>
      <c r="V27" s="32">
        <f>ROUND(U27*K27,2)</f>
        <v>0</v>
      </c>
      <c r="W27" s="234">
        <f>VLOOKUP($A27,'Indicadores Financeiros'!$A$127:$J$131,10)</f>
        <v>1</v>
      </c>
      <c r="X27" s="63">
        <f>U27*IF(H27="Mensal",('Indicadores Financeiros'!$F$14-W27+1),IF(H27="Trimestral",INT(('Indicadores Financeiros'!$F$14-W27+1)/3),INT(('Indicadores Financeiros'!$F$14-W27+1)/12)))*K27</f>
        <v>0</v>
      </c>
      <c r="Y27" s="74"/>
      <c r="Z27" s="63">
        <f>IF(G27="Posto",M27,0)*K27</f>
        <v>0</v>
      </c>
      <c r="AA27" s="63">
        <f>ROUND('Indicadores Financeiros'!$J$71*$Z27,4)</f>
        <v>0</v>
      </c>
      <c r="AB27" s="25"/>
      <c r="AC27" s="23">
        <f>ROUND(IF(OR($G27="Posto",$G27="Plantão"),$U27/$I27,0),2)</f>
        <v>0</v>
      </c>
      <c r="AD27" s="23">
        <f>ROUND((ROUND(VLOOKUP($E27,'Tabela de Códigos e Valores'!$A:$AB,26,FALSE)/I27,2)+ROUND(P27/I27,2)+ROUND(M27*'Indicadores Financeiros'!$J$61/I27,2)+ROUND(R27/I27,2))*(1+T27),2)</f>
        <v>0</v>
      </c>
      <c r="AE27" s="23">
        <f>IF(G27="posto",IF(OR(E27=690018,E27=690019),'Indicadores Financeiros'!$J$108,IF(OR(E27=690002,E27=690016,E27=690019,E27=690035,E27=690038,E27=690064),'Indicadores Financeiros'!$G$108/2*(1+T27),'Indicadores Financeiros'!$G$108*(1+T27))),0)</f>
        <v>0</v>
      </c>
      <c r="AF27" s="57"/>
      <c r="AG27" s="31"/>
      <c r="AH27" s="253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  <c r="HI27" s="25"/>
      <c r="HJ27" s="25"/>
      <c r="HK27" s="25"/>
      <c r="HL27" s="25"/>
      <c r="HM27" s="25"/>
      <c r="HN27" s="25"/>
      <c r="HO27" s="25"/>
      <c r="HP27" s="25"/>
      <c r="HQ27" s="25"/>
      <c r="HR27" s="25"/>
      <c r="HS27" s="25"/>
      <c r="HT27" s="25"/>
      <c r="HU27" s="25"/>
      <c r="HV27" s="25"/>
      <c r="HW27" s="25"/>
      <c r="HX27" s="25"/>
      <c r="HY27" s="25"/>
      <c r="HZ27" s="25"/>
      <c r="IA27" s="25"/>
      <c r="IB27" s="25"/>
      <c r="IC27" s="25"/>
      <c r="ID27" s="25"/>
      <c r="IE27" s="25"/>
      <c r="IF27" s="25"/>
      <c r="IG27" s="25"/>
      <c r="IH27" s="25"/>
      <c r="II27" s="25"/>
      <c r="IJ27" s="25"/>
      <c r="IK27" s="25"/>
      <c r="IL27" s="25"/>
      <c r="IM27" s="25"/>
      <c r="IN27" s="25"/>
      <c r="IO27" s="25"/>
      <c r="IP27" s="25"/>
      <c r="IQ27" s="25"/>
      <c r="IR27" s="25"/>
      <c r="IS27" s="25"/>
      <c r="IT27" s="25"/>
      <c r="IU27" s="25"/>
      <c r="IV27" s="25"/>
      <c r="IW27" s="25"/>
      <c r="IX27" s="25"/>
      <c r="IY27" s="25"/>
      <c r="IZ27" s="25"/>
      <c r="JA27" s="25"/>
      <c r="JB27" s="25"/>
      <c r="JC27" s="25"/>
      <c r="JD27" s="25"/>
      <c r="JE27" s="25"/>
      <c r="JF27" s="25"/>
      <c r="JG27" s="25"/>
      <c r="JH27" s="25"/>
      <c r="JI27" s="25"/>
      <c r="JJ27" s="25"/>
      <c r="JK27" s="25"/>
      <c r="JL27" s="25"/>
      <c r="JM27" s="25"/>
      <c r="JN27" s="25"/>
      <c r="JO27" s="25"/>
      <c r="JP27" s="25"/>
      <c r="JQ27" s="25"/>
      <c r="JR27" s="25"/>
      <c r="JS27" s="25"/>
      <c r="JT27" s="25"/>
      <c r="JU27" s="25"/>
      <c r="JV27" s="25"/>
      <c r="JW27" s="25"/>
      <c r="JX27" s="25"/>
      <c r="JY27" s="25"/>
      <c r="JZ27" s="25"/>
      <c r="KA27" s="25"/>
      <c r="KB27" s="25"/>
      <c r="KC27" s="25"/>
      <c r="KD27" s="25"/>
      <c r="KE27" s="25"/>
      <c r="KF27" s="25"/>
      <c r="KG27" s="25"/>
      <c r="KH27" s="25"/>
      <c r="KI27" s="25"/>
      <c r="KJ27" s="25"/>
      <c r="KK27" s="25"/>
      <c r="KL27" s="25"/>
      <c r="KM27" s="25"/>
      <c r="KN27" s="25"/>
      <c r="KO27" s="25"/>
      <c r="KP27" s="25"/>
      <c r="KQ27" s="25"/>
      <c r="KR27" s="25"/>
      <c r="KS27" s="25"/>
      <c r="KT27" s="25"/>
      <c r="KU27" s="25"/>
      <c r="KV27" s="25"/>
      <c r="KW27" s="25"/>
      <c r="KX27" s="25"/>
      <c r="KY27" s="25"/>
      <c r="KZ27" s="25"/>
      <c r="LA27" s="25"/>
      <c r="LB27" s="25"/>
      <c r="LC27" s="25"/>
      <c r="LD27" s="25"/>
      <c r="LE27" s="25"/>
      <c r="LF27" s="25"/>
      <c r="LG27" s="25"/>
      <c r="LH27" s="25"/>
      <c r="LI27" s="25"/>
      <c r="LJ27" s="25"/>
      <c r="LK27" s="25"/>
      <c r="LL27" s="25"/>
      <c r="LM27" s="25"/>
      <c r="LN27" s="25"/>
      <c r="LO27" s="25"/>
      <c r="LP27" s="25"/>
      <c r="LQ27" s="25"/>
      <c r="LR27" s="25"/>
      <c r="LS27" s="25"/>
      <c r="LT27" s="25"/>
      <c r="LU27" s="25"/>
      <c r="LV27" s="25"/>
      <c r="LW27" s="25"/>
      <c r="LX27" s="25"/>
      <c r="LY27" s="25"/>
      <c r="LZ27" s="25"/>
      <c r="MA27" s="25"/>
      <c r="MB27" s="25"/>
      <c r="MC27" s="25"/>
      <c r="MD27" s="25"/>
      <c r="ME27" s="25"/>
      <c r="MF27" s="25"/>
      <c r="MG27" s="25"/>
      <c r="MH27" s="25"/>
    </row>
    <row r="28" spans="1:346" s="332" customFormat="1" ht="36" x14ac:dyDescent="0.25">
      <c r="A28" s="21">
        <v>5</v>
      </c>
      <c r="B28" s="21">
        <f>VLOOKUP($A28,'Indicadores Financeiros'!$A$127:$J$229,2,FALSE)</f>
        <v>615</v>
      </c>
      <c r="C28" s="22" t="str">
        <f>VLOOKUP($A28,'Indicadores Financeiros'!$A$127:$J$229,3,FALSE)</f>
        <v>São Paulo - Unidade(s) Administrativa(s) I - Praça do Patriarca</v>
      </c>
      <c r="D28" s="326" t="str">
        <f>VLOOKUP($B28,BIP!A:E,5,FALSE)</f>
        <v>São Paulo</v>
      </c>
      <c r="E28" s="3">
        <v>690002</v>
      </c>
      <c r="F28" s="7" t="str">
        <f>VLOOKUP($E28,'Tabela de Códigos e Valores'!$A:$M,2,FALSE)</f>
        <v>Auxiliar de limpeza - diurno - 24 horas  semanais</v>
      </c>
      <c r="G28" s="7" t="str">
        <f>VLOOKUP($E28,'Tabela de Códigos e Valores'!$A:$M,5,FALSE)</f>
        <v>Posto</v>
      </c>
      <c r="H28" s="7" t="str">
        <f>VLOOKUP($E28,'Tabela de Códigos e Valores'!$A:$M,6,FALSE)</f>
        <v>Mensal</v>
      </c>
      <c r="I28" s="175">
        <f>VLOOKUP($E28,'Tabela de Códigos e Valores'!$A:$M,7,FALSE)</f>
        <v>21</v>
      </c>
      <c r="J28" s="175">
        <f>VLOOKUP($E28,'Tabela de Códigos e Valores'!$A:$M,8,FALSE)</f>
        <v>0</v>
      </c>
      <c r="K28" s="263">
        <v>1</v>
      </c>
      <c r="L28" s="188">
        <f>IFERROR(VLOOKUP(E28,'Indicadores Financeiros'!$A$90:$J$92,10,FALSE),0)</f>
        <v>0</v>
      </c>
      <c r="M28" s="175">
        <f>VLOOKUP($E28,'Tabela de Códigos e Valores'!$A:$Z,16,FALSE)</f>
        <v>0</v>
      </c>
      <c r="N28" s="175">
        <f>VLOOKUP($E28,'Tabela de Códigos e Valores'!$A:$Z,17,FALSE)</f>
        <v>0</v>
      </c>
      <c r="O28" s="175">
        <f>VLOOKUP($E28,'Tabela de Códigos e Valores'!$A:$AAB,28,FALSE)</f>
        <v>0</v>
      </c>
      <c r="P28" s="175">
        <f>ROUND(IF($G28&lt;&gt;"M2",IF(VLOOKUP($E28,'Tabela de Códigos e Valores'!$A:$J,10,FALSE)*6%&gt;=VLOOKUP('Relatório Custo'!$A28,'Indicadores Financeiros'!$A$127:$I$131,9,FALSE)*'Relatório Custo'!I28,0,VLOOKUP('Relatório Custo'!$A28,'Indicadores Financeiros'!$A$127:$I$131,9,FALSE)*'Relatório Custo'!I28-VLOOKUP($E28,'Tabela de Códigos e Valores'!$A:$J,10,FALSE)*6%),0),2)</f>
        <v>0</v>
      </c>
      <c r="Q28" s="175">
        <f>VLOOKUP($E28,'Tabela de Códigos e Valores'!$A:$AAC,30,FALSE)</f>
        <v>0</v>
      </c>
      <c r="R28" s="175">
        <f>ROUND(ROUND(($M28+$N28+$O28+$P28+$Q28),2)*VLOOKUP($E28,'Tabela de Códigos e Valores'!$A:$AE,31,FALSE)/(1-VLOOKUP($E28,'Tabela de Códigos e Valores'!$A:$AE,31,FALSE)),2)</f>
        <v>0</v>
      </c>
      <c r="S28" s="24">
        <f t="shared" ref="S28:S35" si="17">SUM(L28:R28)</f>
        <v>0</v>
      </c>
      <c r="T28" s="177">
        <f>VLOOKUP($A28,'Indicadores Financeiros'!$A$127:$J$131,8,FALSE)</f>
        <v>2.0400000000000001E-2</v>
      </c>
      <c r="U28" s="24">
        <f t="shared" ref="U28:U35" si="18">ROUND(S28*(1+T28),2)</f>
        <v>0</v>
      </c>
      <c r="V28" s="32">
        <f t="shared" ref="V28:V35" si="19">ROUND(U28*K28,2)</f>
        <v>0</v>
      </c>
      <c r="W28" s="234">
        <f>VLOOKUP($A28,'Indicadores Financeiros'!$A$127:$J$131,10)</f>
        <v>1</v>
      </c>
      <c r="X28" s="63">
        <f>U28*IF(H28="Mensal",('Indicadores Financeiros'!$F$14-W28+1),IF(H28="Trimestral",INT(('Indicadores Financeiros'!$F$14-W28+1)/3),INT(('Indicadores Financeiros'!$F$14-W28+1)/12)))*K28</f>
        <v>0</v>
      </c>
      <c r="Y28" s="74"/>
      <c r="Z28" s="63">
        <f t="shared" ref="Z28:Z35" si="20">IF(G28="Posto",M28,0)*K28</f>
        <v>0</v>
      </c>
      <c r="AA28" s="63">
        <f>ROUND('Indicadores Financeiros'!$J$71*$Z28,4)</f>
        <v>0</v>
      </c>
      <c r="AB28" s="25"/>
      <c r="AC28" s="23">
        <f t="shared" si="4"/>
        <v>0</v>
      </c>
      <c r="AD28" s="23">
        <f>ROUND((ROUND(VLOOKUP($E28,'Tabela de Códigos e Valores'!$A:$AB,26,FALSE)/I28,2)+ROUND(P28/I28,2)+ROUND(M28*'Indicadores Financeiros'!$J$61/I28,2)+ROUND(R28/I28,2))*(1+T28),2)</f>
        <v>0</v>
      </c>
      <c r="AE28" s="23">
        <f>IF(G28="posto",IF(OR(E28=690018,E28=690019),'Indicadores Financeiros'!$J$108,IF(OR(E28=690002,E28=690016,E28=690019,E28=690035,E28=690038,E28=690064),'Indicadores Financeiros'!$G$108/2*(1+T28),'Indicadores Financeiros'!$G$108*(1+T28))),0)</f>
        <v>0</v>
      </c>
      <c r="AF28" s="57"/>
      <c r="AG28" s="31"/>
      <c r="AH28" s="253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  <c r="HI28" s="25"/>
      <c r="HJ28" s="25"/>
      <c r="HK28" s="25"/>
      <c r="HL28" s="25"/>
      <c r="HM28" s="25"/>
      <c r="HN28" s="25"/>
      <c r="HO28" s="25"/>
      <c r="HP28" s="25"/>
      <c r="HQ28" s="25"/>
      <c r="HR28" s="25"/>
      <c r="HS28" s="25"/>
      <c r="HT28" s="25"/>
      <c r="HU28" s="25"/>
      <c r="HV28" s="25"/>
      <c r="HW28" s="25"/>
      <c r="HX28" s="25"/>
      <c r="HY28" s="25"/>
      <c r="HZ28" s="25"/>
      <c r="IA28" s="25"/>
      <c r="IB28" s="25"/>
      <c r="IC28" s="25"/>
      <c r="ID28" s="25"/>
      <c r="IE28" s="25"/>
      <c r="IF28" s="25"/>
      <c r="IG28" s="25"/>
      <c r="IH28" s="25"/>
      <c r="II28" s="25"/>
      <c r="IJ28" s="25"/>
      <c r="IK28" s="25"/>
      <c r="IL28" s="25"/>
      <c r="IM28" s="25"/>
      <c r="IN28" s="25"/>
      <c r="IO28" s="25"/>
      <c r="IP28" s="25"/>
      <c r="IQ28" s="25"/>
      <c r="IR28" s="25"/>
      <c r="IS28" s="25"/>
      <c r="IT28" s="25"/>
      <c r="IU28" s="25"/>
      <c r="IV28" s="25"/>
      <c r="IW28" s="25"/>
      <c r="IX28" s="25"/>
      <c r="IY28" s="25"/>
      <c r="IZ28" s="25"/>
      <c r="JA28" s="25"/>
      <c r="JB28" s="25"/>
      <c r="JC28" s="25"/>
      <c r="JD28" s="25"/>
      <c r="JE28" s="25"/>
      <c r="JF28" s="25"/>
      <c r="JG28" s="25"/>
      <c r="JH28" s="25"/>
      <c r="JI28" s="25"/>
      <c r="JJ28" s="25"/>
      <c r="JK28" s="25"/>
      <c r="JL28" s="25"/>
      <c r="JM28" s="25"/>
      <c r="JN28" s="25"/>
      <c r="JO28" s="25"/>
      <c r="JP28" s="25"/>
      <c r="JQ28" s="25"/>
      <c r="JR28" s="25"/>
      <c r="JS28" s="25"/>
      <c r="JT28" s="25"/>
      <c r="JU28" s="25"/>
      <c r="JV28" s="25"/>
      <c r="JW28" s="25"/>
      <c r="JX28" s="25"/>
      <c r="JY28" s="25"/>
      <c r="JZ28" s="25"/>
      <c r="KA28" s="25"/>
      <c r="KB28" s="25"/>
      <c r="KC28" s="25"/>
      <c r="KD28" s="25"/>
      <c r="KE28" s="25"/>
      <c r="KF28" s="25"/>
      <c r="KG28" s="25"/>
      <c r="KH28" s="25"/>
      <c r="KI28" s="25"/>
      <c r="KJ28" s="25"/>
      <c r="KK28" s="25"/>
      <c r="KL28" s="25"/>
      <c r="KM28" s="25"/>
      <c r="KN28" s="25"/>
      <c r="KO28" s="25"/>
      <c r="KP28" s="25"/>
      <c r="KQ28" s="25"/>
      <c r="KR28" s="25"/>
      <c r="KS28" s="25"/>
      <c r="KT28" s="25"/>
      <c r="KU28" s="25"/>
      <c r="KV28" s="25"/>
      <c r="KW28" s="25"/>
      <c r="KX28" s="25"/>
      <c r="KY28" s="25"/>
      <c r="KZ28" s="25"/>
      <c r="LA28" s="25"/>
      <c r="LB28" s="25"/>
      <c r="LC28" s="25"/>
      <c r="LD28" s="25"/>
      <c r="LE28" s="25"/>
      <c r="LF28" s="25"/>
      <c r="LG28" s="25"/>
      <c r="LH28" s="25"/>
      <c r="LI28" s="25"/>
      <c r="LJ28" s="25"/>
      <c r="LK28" s="25"/>
      <c r="LL28" s="25"/>
      <c r="LM28" s="25"/>
      <c r="LN28" s="25"/>
      <c r="LO28" s="25"/>
      <c r="LP28" s="25"/>
      <c r="LQ28" s="25"/>
      <c r="LR28" s="25"/>
      <c r="LS28" s="25"/>
      <c r="LT28" s="25"/>
      <c r="LU28" s="25"/>
      <c r="LV28" s="25"/>
      <c r="LW28" s="25"/>
      <c r="LX28" s="25"/>
      <c r="LY28" s="25"/>
      <c r="LZ28" s="25"/>
      <c r="MA28" s="25"/>
      <c r="MB28" s="25"/>
      <c r="MC28" s="25"/>
      <c r="MD28" s="25"/>
      <c r="ME28" s="25"/>
      <c r="MF28" s="25"/>
      <c r="MG28" s="25"/>
      <c r="MH28" s="25"/>
    </row>
    <row r="29" spans="1:346" s="332" customFormat="1" ht="36" x14ac:dyDescent="0.25">
      <c r="A29" s="21">
        <v>5</v>
      </c>
      <c r="B29" s="21">
        <f>VLOOKUP($A29,'Indicadores Financeiros'!$A$127:$J$229,2,FALSE)</f>
        <v>615</v>
      </c>
      <c r="C29" s="22" t="str">
        <f>VLOOKUP($A29,'Indicadores Financeiros'!$A$127:$J$229,3,FALSE)</f>
        <v>São Paulo - Unidade(s) Administrativa(s) I - Praça do Patriarca</v>
      </c>
      <c r="D29" s="326" t="str">
        <f>VLOOKUP($B29,BIP!A:E,5,FALSE)</f>
        <v>São Paulo</v>
      </c>
      <c r="E29" s="3">
        <v>690004</v>
      </c>
      <c r="F29" s="7" t="str">
        <f>VLOOKUP($E29,'Tabela de Códigos e Valores'!$A:$M,2,FALSE)</f>
        <v>Serviço de limpeza - plantonista - domingos e feriados (5 horas)</v>
      </c>
      <c r="G29" s="7" t="str">
        <f>VLOOKUP($E29,'Tabela de Códigos e Valores'!$A:$M,5,FALSE)</f>
        <v>Plantão - Dom/Fer</v>
      </c>
      <c r="H29" s="7" t="str">
        <f>VLOOKUP($E29,'Tabela de Códigos e Valores'!$A:$M,6,FALSE)</f>
        <v>Mensal</v>
      </c>
      <c r="I29" s="175">
        <f>VLOOKUP($E29,'Tabela de Códigos e Valores'!$A:$M,7,FALSE)</f>
        <v>6</v>
      </c>
      <c r="J29" s="175">
        <f>VLOOKUP($E29,'Tabela de Códigos e Valores'!$A:$M,8,FALSE)</f>
        <v>30</v>
      </c>
      <c r="K29" s="263">
        <v>1</v>
      </c>
      <c r="L29" s="188">
        <f>IFERROR(VLOOKUP(E29,'Indicadores Financeiros'!$A$90:$J$92,10,FALSE),0)</f>
        <v>0</v>
      </c>
      <c r="M29" s="175">
        <f>VLOOKUP($E29,'Tabela de Códigos e Valores'!$A:$Z,16,FALSE)</f>
        <v>0</v>
      </c>
      <c r="N29" s="175">
        <f>VLOOKUP($E29,'Tabela de Códigos e Valores'!$A:$Z,17,FALSE)</f>
        <v>0</v>
      </c>
      <c r="O29" s="175">
        <f>VLOOKUP($E29,'Tabela de Códigos e Valores'!$A:$AAB,28,FALSE)</f>
        <v>0</v>
      </c>
      <c r="P29" s="175">
        <f>ROUND(IF($G29&lt;&gt;"M2",IF(VLOOKUP($E29,'Tabela de Códigos e Valores'!$A:$J,10,FALSE)*6%&gt;=VLOOKUP('Relatório Custo'!$A29,'Indicadores Financeiros'!$A$127:$I$131,9,FALSE)*'Relatório Custo'!I29,0,VLOOKUP('Relatório Custo'!$A29,'Indicadores Financeiros'!$A$127:$I$131,9,FALSE)*'Relatório Custo'!I29-VLOOKUP($E29,'Tabela de Códigos e Valores'!$A:$J,10,FALSE)*6%),0),2)</f>
        <v>0</v>
      </c>
      <c r="Q29" s="175">
        <f>VLOOKUP($E29,'Tabela de Códigos e Valores'!$A:$AAC,30,FALSE)</f>
        <v>0</v>
      </c>
      <c r="R29" s="175">
        <f>ROUND(ROUND(($M29+$N29+$O29+$P29+$Q29),2)*VLOOKUP($E29,'Tabela de Códigos e Valores'!$A:$AE,31,FALSE)/(1-VLOOKUP($E29,'Tabela de Códigos e Valores'!$A:$AE,31,FALSE)),2)</f>
        <v>0</v>
      </c>
      <c r="S29" s="24">
        <f t="shared" si="17"/>
        <v>0</v>
      </c>
      <c r="T29" s="177">
        <f>VLOOKUP($A29,'Indicadores Financeiros'!$A$127:$J$131,8,FALSE)</f>
        <v>2.0400000000000001E-2</v>
      </c>
      <c r="U29" s="24">
        <f t="shared" si="18"/>
        <v>0</v>
      </c>
      <c r="V29" s="32">
        <f t="shared" si="19"/>
        <v>0</v>
      </c>
      <c r="W29" s="234">
        <f>VLOOKUP($A29,'Indicadores Financeiros'!$A$127:$J$131,10)</f>
        <v>1</v>
      </c>
      <c r="X29" s="63">
        <f>U29*IF(H29="Mensal",('Indicadores Financeiros'!$F$14-W29+1),IF(H29="Trimestral",INT(('Indicadores Financeiros'!$F$14-W29+1)/3),INT(('Indicadores Financeiros'!$F$14-W29+1)/12)))*K29</f>
        <v>0</v>
      </c>
      <c r="Y29" s="74"/>
      <c r="Z29" s="63">
        <f t="shared" si="20"/>
        <v>0</v>
      </c>
      <c r="AA29" s="63">
        <f>ROUND('Indicadores Financeiros'!$J$71*$Z29,4)</f>
        <v>0</v>
      </c>
      <c r="AB29" s="25"/>
      <c r="AC29" s="23">
        <f>ROUND(IF(OR($G29="Posto",$G29="Plantão - Dom/Fer",$G29="Plantão - Sábado",$G29="Plantão - Recesso"),$U29/$I29,0),2)</f>
        <v>0</v>
      </c>
      <c r="AD29" s="23">
        <f>ROUND((ROUND(VLOOKUP($E29,'Tabela de Códigos e Valores'!$A:$AB,26,FALSE)/I29,2)+ROUND(P29/I29,2)+ROUND(M29*'Indicadores Financeiros'!$J$61/I29,2)+ROUND(R29/I29,2))*(1+T29),2)</f>
        <v>0</v>
      </c>
      <c r="AE29" s="23">
        <f>IF(G29="posto",IF(OR(E29=690018,E29=690019),'Indicadores Financeiros'!$J$108,IF(OR(E29=690002,E29=690016,E29=690019,E29=690035,E29=690038,E29=690064),'Indicadores Financeiros'!$G$108/2*(1+T29),'Indicadores Financeiros'!$G$108*(1+T29))),0)</f>
        <v>0</v>
      </c>
      <c r="AF29" s="57"/>
      <c r="AG29" s="31"/>
      <c r="AH29" s="253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  <c r="HI29" s="25"/>
      <c r="HJ29" s="25"/>
      <c r="HK29" s="25"/>
      <c r="HL29" s="25"/>
      <c r="HM29" s="25"/>
      <c r="HN29" s="25"/>
      <c r="HO29" s="25"/>
      <c r="HP29" s="25"/>
      <c r="HQ29" s="25"/>
      <c r="HR29" s="25"/>
      <c r="HS29" s="25"/>
      <c r="HT29" s="25"/>
      <c r="HU29" s="25"/>
      <c r="HV29" s="25"/>
      <c r="HW29" s="25"/>
      <c r="HX29" s="25"/>
      <c r="HY29" s="25"/>
      <c r="HZ29" s="25"/>
      <c r="IA29" s="25"/>
      <c r="IB29" s="25"/>
      <c r="IC29" s="25"/>
      <c r="ID29" s="25"/>
      <c r="IE29" s="25"/>
      <c r="IF29" s="25"/>
      <c r="IG29" s="25"/>
      <c r="IH29" s="25"/>
      <c r="II29" s="25"/>
      <c r="IJ29" s="25"/>
      <c r="IK29" s="25"/>
      <c r="IL29" s="25"/>
      <c r="IM29" s="25"/>
      <c r="IN29" s="25"/>
      <c r="IO29" s="25"/>
      <c r="IP29" s="25"/>
      <c r="IQ29" s="25"/>
      <c r="IR29" s="25"/>
      <c r="IS29" s="25"/>
      <c r="IT29" s="25"/>
      <c r="IU29" s="25"/>
      <c r="IV29" s="25"/>
      <c r="IW29" s="25"/>
      <c r="IX29" s="25"/>
      <c r="IY29" s="25"/>
      <c r="IZ29" s="25"/>
      <c r="JA29" s="25"/>
      <c r="JB29" s="25"/>
      <c r="JC29" s="25"/>
      <c r="JD29" s="25"/>
      <c r="JE29" s="25"/>
      <c r="JF29" s="25"/>
      <c r="JG29" s="25"/>
      <c r="JH29" s="25"/>
      <c r="JI29" s="25"/>
      <c r="JJ29" s="25"/>
      <c r="JK29" s="25"/>
      <c r="JL29" s="25"/>
      <c r="JM29" s="25"/>
      <c r="JN29" s="25"/>
      <c r="JO29" s="25"/>
      <c r="JP29" s="25"/>
      <c r="JQ29" s="25"/>
      <c r="JR29" s="25"/>
      <c r="JS29" s="25"/>
      <c r="JT29" s="25"/>
      <c r="JU29" s="25"/>
      <c r="JV29" s="25"/>
      <c r="JW29" s="25"/>
      <c r="JX29" s="25"/>
      <c r="JY29" s="25"/>
      <c r="JZ29" s="25"/>
      <c r="KA29" s="25"/>
      <c r="KB29" s="25"/>
      <c r="KC29" s="25"/>
      <c r="KD29" s="25"/>
      <c r="KE29" s="25"/>
      <c r="KF29" s="25"/>
      <c r="KG29" s="25"/>
      <c r="KH29" s="25"/>
      <c r="KI29" s="25"/>
      <c r="KJ29" s="25"/>
      <c r="KK29" s="25"/>
      <c r="KL29" s="25"/>
      <c r="KM29" s="25"/>
      <c r="KN29" s="25"/>
      <c r="KO29" s="25"/>
      <c r="KP29" s="25"/>
      <c r="KQ29" s="25"/>
      <c r="KR29" s="25"/>
      <c r="KS29" s="25"/>
      <c r="KT29" s="25"/>
      <c r="KU29" s="25"/>
      <c r="KV29" s="25"/>
      <c r="KW29" s="25"/>
      <c r="KX29" s="25"/>
      <c r="KY29" s="25"/>
      <c r="KZ29" s="25"/>
      <c r="LA29" s="25"/>
      <c r="LB29" s="25"/>
      <c r="LC29" s="25"/>
      <c r="LD29" s="25"/>
      <c r="LE29" s="25"/>
      <c r="LF29" s="25"/>
      <c r="LG29" s="25"/>
      <c r="LH29" s="25"/>
      <c r="LI29" s="25"/>
      <c r="LJ29" s="25"/>
      <c r="LK29" s="25"/>
      <c r="LL29" s="25"/>
      <c r="LM29" s="25"/>
      <c r="LN29" s="25"/>
      <c r="LO29" s="25"/>
      <c r="LP29" s="25"/>
      <c r="LQ29" s="25"/>
      <c r="LR29" s="25"/>
      <c r="LS29" s="25"/>
      <c r="LT29" s="25"/>
      <c r="LU29" s="25"/>
      <c r="LV29" s="25"/>
      <c r="LW29" s="25"/>
      <c r="LX29" s="25"/>
      <c r="LY29" s="25"/>
      <c r="LZ29" s="25"/>
      <c r="MA29" s="25"/>
      <c r="MB29" s="25"/>
      <c r="MC29" s="25"/>
      <c r="MD29" s="25"/>
      <c r="ME29" s="25"/>
      <c r="MF29" s="25"/>
      <c r="MG29" s="25"/>
      <c r="MH29" s="25"/>
    </row>
    <row r="30" spans="1:346" s="332" customFormat="1" ht="36" x14ac:dyDescent="0.25">
      <c r="A30" s="21">
        <v>5</v>
      </c>
      <c r="B30" s="21">
        <f>VLOOKUP($A30,'Indicadores Financeiros'!$A$127:$J$229,2,FALSE)</f>
        <v>615</v>
      </c>
      <c r="C30" s="22" t="str">
        <f>VLOOKUP($A30,'Indicadores Financeiros'!$A$127:$J$229,3,FALSE)</f>
        <v>São Paulo - Unidade(s) Administrativa(s) I - Praça do Patriarca</v>
      </c>
      <c r="D30" s="326" t="str">
        <f>VLOOKUP($B30,BIP!A:E,5,FALSE)</f>
        <v>São Paulo</v>
      </c>
      <c r="E30" s="72">
        <v>690020</v>
      </c>
      <c r="F30" s="7" t="str">
        <f>VLOOKUP($E30,'Tabela de Códigos e Valores'!$A:$M,2,FALSE)</f>
        <v>Serviço de Jardinagem</v>
      </c>
      <c r="G30" s="7" t="str">
        <f>VLOOKUP($E30,'Tabela de Códigos e Valores'!$A:$M,5,FALSE)</f>
        <v>M2</v>
      </c>
      <c r="H30" s="7" t="str">
        <f>VLOOKUP($E30,'Tabela de Códigos e Valores'!$A:$M,6,FALSE)</f>
        <v>Mensal</v>
      </c>
      <c r="I30" s="175">
        <f>VLOOKUP($E30,'Tabela de Códigos e Valores'!$A:$M,7,FALSE)</f>
        <v>0</v>
      </c>
      <c r="J30" s="175">
        <f>VLOOKUP($E30,'Tabela de Códigos e Valores'!$A:$M,8,FALSE)</f>
        <v>0</v>
      </c>
      <c r="K30" s="263">
        <v>90</v>
      </c>
      <c r="L30" s="188">
        <f>IFERROR(VLOOKUP(E30,'Indicadores Financeiros'!$A$90:$J$92,10,FALSE),0)</f>
        <v>0</v>
      </c>
      <c r="M30" s="175">
        <f>VLOOKUP($E30,'Tabela de Códigos e Valores'!$A:$Z,16,FALSE)</f>
        <v>0</v>
      </c>
      <c r="N30" s="175">
        <f>VLOOKUP($E30,'Tabela de Códigos e Valores'!$A:$Z,17,FALSE)</f>
        <v>0</v>
      </c>
      <c r="O30" s="175">
        <f>VLOOKUP($E30,'Tabela de Códigos e Valores'!$A:$AAB,28,FALSE)</f>
        <v>0</v>
      </c>
      <c r="P30" s="175">
        <f>ROUND(IF($G30&lt;&gt;"M2",IF(VLOOKUP($E30,'Tabela de Códigos e Valores'!$A:$J,10,FALSE)*6%&gt;=VLOOKUP('Relatório Custo'!$A30,'Indicadores Financeiros'!$A$127:$I$131,9,FALSE)*'Relatório Custo'!I30,0,VLOOKUP('Relatório Custo'!$A30,'Indicadores Financeiros'!$A$127:$I$131,9,FALSE)*'Relatório Custo'!I30-VLOOKUP($E30,'Tabela de Códigos e Valores'!$A:$J,10,FALSE)*6%),0),2)</f>
        <v>0</v>
      </c>
      <c r="Q30" s="175">
        <f>VLOOKUP($E30,'Tabela de Códigos e Valores'!$A:$AAC,30,FALSE)</f>
        <v>0</v>
      </c>
      <c r="R30" s="175">
        <f>ROUND(ROUND(($M30+$N30+$O30+$P30+$Q30),2)*VLOOKUP($E30,'Tabela de Códigos e Valores'!$A:$AE,31,FALSE)/(1-VLOOKUP($E30,'Tabela de Códigos e Valores'!$A:$AE,31,FALSE)),2)</f>
        <v>0</v>
      </c>
      <c r="S30" s="24">
        <f t="shared" si="17"/>
        <v>0</v>
      </c>
      <c r="T30" s="177">
        <f>VLOOKUP($A30,'Indicadores Financeiros'!$A$127:$J$131,8,FALSE)</f>
        <v>2.0400000000000001E-2</v>
      </c>
      <c r="U30" s="24">
        <f t="shared" si="18"/>
        <v>0</v>
      </c>
      <c r="V30" s="32">
        <f t="shared" si="19"/>
        <v>0</v>
      </c>
      <c r="W30" s="234">
        <f>VLOOKUP($A30,'Indicadores Financeiros'!$A$127:$J$131,10)</f>
        <v>1</v>
      </c>
      <c r="X30" s="63">
        <f>U30*IF(H30="Mensal",('Indicadores Financeiros'!$F$14-W30+1),IF(H30="Trimestral",INT(('Indicadores Financeiros'!$F$14-W30+1)/3),INT(('Indicadores Financeiros'!$F$14-W30+1)/12)))*K30</f>
        <v>0</v>
      </c>
      <c r="Y30" s="74"/>
      <c r="Z30" s="63">
        <f t="shared" si="20"/>
        <v>0</v>
      </c>
      <c r="AA30" s="63">
        <f>ROUND('Indicadores Financeiros'!$J$71*$Z30,4)</f>
        <v>0</v>
      </c>
      <c r="AB30" s="25"/>
      <c r="AC30" s="23">
        <f>ROUND(IF(OR($G30="Posto",$G30="Plantão"),$U30/$I30,0),2)</f>
        <v>0</v>
      </c>
      <c r="AD30" s="23">
        <f>IF(G30="m2",0,ROUND((ROUND(VLOOKUP($E30,'Tabela de Códigos e Valores'!$A:$AB,26,FALSE)/I30,2)+ROUND(P30/I30,2)+ROUND(M30*'Indicadores Financeiros'!$J$61/I30,2)+ROUND(R30/I30,2))*(1+T30),2))</f>
        <v>0</v>
      </c>
      <c r="AE30" s="23">
        <f>IF(G30="posto",IF(OR(E30=690018,E30=690019),'Indicadores Financeiros'!$J$108,IF(OR(E30=690002,E30=690016,E30=690019,E30=690035,E30=690038,E30=690064),'Indicadores Financeiros'!$G$108/2*(1+T30),'Indicadores Financeiros'!$G$108*(1+T30))),0)</f>
        <v>0</v>
      </c>
      <c r="AF30" s="57"/>
      <c r="AG30" s="31"/>
      <c r="AH30" s="253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  <c r="HI30" s="25"/>
      <c r="HJ30" s="25"/>
      <c r="HK30" s="25"/>
      <c r="HL30" s="25"/>
      <c r="HM30" s="25"/>
      <c r="HN30" s="25"/>
      <c r="HO30" s="25"/>
      <c r="HP30" s="25"/>
      <c r="HQ30" s="25"/>
      <c r="HR30" s="25"/>
      <c r="HS30" s="25"/>
      <c r="HT30" s="25"/>
      <c r="HU30" s="25"/>
      <c r="HV30" s="25"/>
      <c r="HW30" s="25"/>
      <c r="HX30" s="25"/>
      <c r="HY30" s="25"/>
      <c r="HZ30" s="25"/>
      <c r="IA30" s="25"/>
      <c r="IB30" s="25"/>
      <c r="IC30" s="25"/>
      <c r="ID30" s="25"/>
      <c r="IE30" s="25"/>
      <c r="IF30" s="25"/>
      <c r="IG30" s="25"/>
      <c r="IH30" s="25"/>
      <c r="II30" s="25"/>
      <c r="IJ30" s="25"/>
      <c r="IK30" s="25"/>
      <c r="IL30" s="25"/>
      <c r="IM30" s="25"/>
      <c r="IN30" s="25"/>
      <c r="IO30" s="25"/>
      <c r="IP30" s="25"/>
      <c r="IQ30" s="25"/>
      <c r="IR30" s="25"/>
      <c r="IS30" s="25"/>
      <c r="IT30" s="25"/>
      <c r="IU30" s="25"/>
      <c r="IV30" s="25"/>
      <c r="IW30" s="25"/>
      <c r="IX30" s="25"/>
      <c r="IY30" s="25"/>
      <c r="IZ30" s="25"/>
      <c r="JA30" s="25"/>
      <c r="JB30" s="25"/>
      <c r="JC30" s="25"/>
      <c r="JD30" s="25"/>
      <c r="JE30" s="25"/>
      <c r="JF30" s="25"/>
      <c r="JG30" s="25"/>
      <c r="JH30" s="25"/>
      <c r="JI30" s="25"/>
      <c r="JJ30" s="25"/>
      <c r="JK30" s="25"/>
      <c r="JL30" s="25"/>
      <c r="JM30" s="25"/>
      <c r="JN30" s="25"/>
      <c r="JO30" s="25"/>
      <c r="JP30" s="25"/>
      <c r="JQ30" s="25"/>
      <c r="JR30" s="25"/>
      <c r="JS30" s="25"/>
      <c r="JT30" s="25"/>
      <c r="JU30" s="25"/>
      <c r="JV30" s="25"/>
      <c r="JW30" s="25"/>
      <c r="JX30" s="25"/>
      <c r="JY30" s="25"/>
      <c r="JZ30" s="25"/>
      <c r="KA30" s="25"/>
      <c r="KB30" s="25"/>
      <c r="KC30" s="25"/>
      <c r="KD30" s="25"/>
      <c r="KE30" s="25"/>
      <c r="KF30" s="25"/>
      <c r="KG30" s="25"/>
      <c r="KH30" s="25"/>
      <c r="KI30" s="25"/>
      <c r="KJ30" s="25"/>
      <c r="KK30" s="25"/>
      <c r="KL30" s="25"/>
      <c r="KM30" s="25"/>
      <c r="KN30" s="25"/>
      <c r="KO30" s="25"/>
      <c r="KP30" s="25"/>
      <c r="KQ30" s="25"/>
      <c r="KR30" s="25"/>
      <c r="KS30" s="25"/>
      <c r="KT30" s="25"/>
      <c r="KU30" s="25"/>
      <c r="KV30" s="25"/>
      <c r="KW30" s="25"/>
      <c r="KX30" s="25"/>
      <c r="KY30" s="25"/>
      <c r="KZ30" s="25"/>
      <c r="LA30" s="25"/>
      <c r="LB30" s="25"/>
      <c r="LC30" s="25"/>
      <c r="LD30" s="25"/>
      <c r="LE30" s="25"/>
      <c r="LF30" s="25"/>
      <c r="LG30" s="25"/>
      <c r="LH30" s="25"/>
      <c r="LI30" s="25"/>
      <c r="LJ30" s="25"/>
      <c r="LK30" s="25"/>
      <c r="LL30" s="25"/>
      <c r="LM30" s="25"/>
      <c r="LN30" s="25"/>
      <c r="LO30" s="25"/>
      <c r="LP30" s="25"/>
      <c r="LQ30" s="25"/>
      <c r="LR30" s="25"/>
      <c r="LS30" s="25"/>
      <c r="LT30" s="25"/>
      <c r="LU30" s="25"/>
      <c r="LV30" s="25"/>
      <c r="LW30" s="25"/>
      <c r="LX30" s="25"/>
      <c r="LY30" s="25"/>
      <c r="LZ30" s="25"/>
      <c r="MA30" s="25"/>
      <c r="MB30" s="25"/>
      <c r="MC30" s="25"/>
      <c r="MD30" s="25"/>
      <c r="ME30" s="25"/>
      <c r="MF30" s="25"/>
      <c r="MG30" s="25"/>
      <c r="MH30" s="25"/>
    </row>
    <row r="31" spans="1:346" s="332" customFormat="1" ht="36" x14ac:dyDescent="0.25">
      <c r="A31" s="21">
        <v>5</v>
      </c>
      <c r="B31" s="21">
        <f>VLOOKUP($A31,'Indicadores Financeiros'!$A$127:$J$229,2,FALSE)</f>
        <v>615</v>
      </c>
      <c r="C31" s="22" t="str">
        <f>VLOOKUP($A31,'Indicadores Financeiros'!$A$127:$J$229,3,FALSE)</f>
        <v>São Paulo - Unidade(s) Administrativa(s) I - Praça do Patriarca</v>
      </c>
      <c r="D31" s="326" t="str">
        <f>VLOOKUP($B31,BIP!A:E,5,FALSE)</f>
        <v>São Paulo</v>
      </c>
      <c r="E31" s="72">
        <v>690021</v>
      </c>
      <c r="F31" s="7" t="str">
        <f>VLOOKUP($E31,'Tabela de Códigos e Valores'!$A:$M,2,FALSE)</f>
        <v>Serviço de limpeza de vidros com exposição à situação de risco</v>
      </c>
      <c r="G31" s="7" t="str">
        <f>VLOOKUP($E31,'Tabela de Códigos e Valores'!$A:$M,5,FALSE)</f>
        <v>M2</v>
      </c>
      <c r="H31" s="7" t="str">
        <f>VLOOKUP($E31,'Tabela de Códigos e Valores'!$A:$M,6,FALSE)</f>
        <v>Trimestral</v>
      </c>
      <c r="I31" s="175">
        <f>VLOOKUP($E31,'Tabela de Códigos e Valores'!$A:$M,7,FALSE)</f>
        <v>0</v>
      </c>
      <c r="J31" s="175">
        <f>VLOOKUP($E31,'Tabela de Códigos e Valores'!$A:$M,8,FALSE)</f>
        <v>0</v>
      </c>
      <c r="K31" s="263">
        <v>963</v>
      </c>
      <c r="L31" s="188">
        <f>IFERROR(VLOOKUP(E31,'Indicadores Financeiros'!$A$90:$J$92,10,FALSE),0)</f>
        <v>0</v>
      </c>
      <c r="M31" s="175">
        <f>VLOOKUP($E31,'Tabela de Códigos e Valores'!$A:$Z,16,FALSE)</f>
        <v>0</v>
      </c>
      <c r="N31" s="175">
        <f>VLOOKUP($E31,'Tabela de Códigos e Valores'!$A:$Z,17,FALSE)</f>
        <v>0</v>
      </c>
      <c r="O31" s="175">
        <f>VLOOKUP($E31,'Tabela de Códigos e Valores'!$A:$AAB,28,FALSE)</f>
        <v>0</v>
      </c>
      <c r="P31" s="175">
        <f>ROUND(IF($G31&lt;&gt;"M2",IF(VLOOKUP($E31,'Tabela de Códigos e Valores'!$A:$J,10,FALSE)*6%&gt;=VLOOKUP('Relatório Custo'!$A31,'Indicadores Financeiros'!$A$127:$I$131,9,FALSE)*'Relatório Custo'!I31,0,VLOOKUP('Relatório Custo'!$A31,'Indicadores Financeiros'!$A$127:$I$131,9,FALSE)*'Relatório Custo'!I31-VLOOKUP($E31,'Tabela de Códigos e Valores'!$A:$J,10,FALSE)*6%),0),2)</f>
        <v>0</v>
      </c>
      <c r="Q31" s="175">
        <f>VLOOKUP($E31,'Tabela de Códigos e Valores'!$A:$AAC,30,FALSE)</f>
        <v>0</v>
      </c>
      <c r="R31" s="175">
        <f>ROUND(ROUND(($M31+$N31+$O31+$P31+$Q31),2)*VLOOKUP($E31,'Tabela de Códigos e Valores'!$A:$AE,31,FALSE)/(1-VLOOKUP($E31,'Tabela de Códigos e Valores'!$A:$AE,31,FALSE)),2)</f>
        <v>0</v>
      </c>
      <c r="S31" s="24">
        <f t="shared" si="17"/>
        <v>0</v>
      </c>
      <c r="T31" s="177">
        <f>VLOOKUP($A31,'Indicadores Financeiros'!$A$127:$J$131,8,FALSE)</f>
        <v>2.0400000000000001E-2</v>
      </c>
      <c r="U31" s="24">
        <f t="shared" si="18"/>
        <v>0</v>
      </c>
      <c r="V31" s="32">
        <f t="shared" si="19"/>
        <v>0</v>
      </c>
      <c r="W31" s="234">
        <f>VLOOKUP($A31,'Indicadores Financeiros'!$A$127:$J$131,10)</f>
        <v>1</v>
      </c>
      <c r="X31" s="63">
        <f>U31*IF(H31="Mensal",('Indicadores Financeiros'!$F$14-W31+1),IF(H31="Trimestral",INT(('Indicadores Financeiros'!$F$14-W31+1)/3),INT(('Indicadores Financeiros'!$F$14-W31+1)/12)))*K31</f>
        <v>0</v>
      </c>
      <c r="Y31" s="74"/>
      <c r="Z31" s="63">
        <f t="shared" si="20"/>
        <v>0</v>
      </c>
      <c r="AA31" s="63">
        <f>ROUND('Indicadores Financeiros'!$J$71*$Z31,4)</f>
        <v>0</v>
      </c>
      <c r="AB31" s="25"/>
      <c r="AC31" s="23">
        <f t="shared" si="4"/>
        <v>0</v>
      </c>
      <c r="AD31" s="23">
        <f>IF(G31="m2",0,ROUND((ROUND(VLOOKUP($E31,'Tabela de Códigos e Valores'!$A:$AB,26,FALSE)/I31,2)+ROUND(P31/I31,2)+ROUND(M31*'Indicadores Financeiros'!$J$61/I31,2)+ROUND(R31/I31,2))*(1+T31),2))</f>
        <v>0</v>
      </c>
      <c r="AE31" s="23">
        <f>IF(G31="posto",IF(OR(E31=690018,E31=690019),'Indicadores Financeiros'!$J$108,IF(OR(E31=690002,E31=690016,E31=690019,E31=690035,E31=690038,E31=690064),'Indicadores Financeiros'!$G$108/2*(1+T31),'Indicadores Financeiros'!$G$108*(1+T31))),0)</f>
        <v>0</v>
      </c>
      <c r="AF31" s="57"/>
      <c r="AG31" s="31"/>
      <c r="AH31" s="253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  <c r="HI31" s="25"/>
      <c r="HJ31" s="25"/>
      <c r="HK31" s="25"/>
      <c r="HL31" s="25"/>
      <c r="HM31" s="25"/>
      <c r="HN31" s="25"/>
      <c r="HO31" s="25"/>
      <c r="HP31" s="25"/>
      <c r="HQ31" s="25"/>
      <c r="HR31" s="25"/>
      <c r="HS31" s="25"/>
      <c r="HT31" s="25"/>
      <c r="HU31" s="25"/>
      <c r="HV31" s="25"/>
      <c r="HW31" s="25"/>
      <c r="HX31" s="25"/>
      <c r="HY31" s="25"/>
      <c r="HZ31" s="25"/>
      <c r="IA31" s="25"/>
      <c r="IB31" s="25"/>
      <c r="IC31" s="25"/>
      <c r="ID31" s="25"/>
      <c r="IE31" s="25"/>
      <c r="IF31" s="25"/>
      <c r="IG31" s="25"/>
      <c r="IH31" s="25"/>
      <c r="II31" s="25"/>
      <c r="IJ31" s="25"/>
      <c r="IK31" s="25"/>
      <c r="IL31" s="25"/>
      <c r="IM31" s="25"/>
      <c r="IN31" s="25"/>
      <c r="IO31" s="25"/>
      <c r="IP31" s="25"/>
      <c r="IQ31" s="25"/>
      <c r="IR31" s="25"/>
      <c r="IS31" s="25"/>
      <c r="IT31" s="25"/>
      <c r="IU31" s="25"/>
      <c r="IV31" s="25"/>
      <c r="IW31" s="25"/>
      <c r="IX31" s="25"/>
      <c r="IY31" s="25"/>
      <c r="IZ31" s="25"/>
      <c r="JA31" s="25"/>
      <c r="JB31" s="25"/>
      <c r="JC31" s="25"/>
      <c r="JD31" s="25"/>
      <c r="JE31" s="25"/>
      <c r="JF31" s="25"/>
      <c r="JG31" s="25"/>
      <c r="JH31" s="25"/>
      <c r="JI31" s="25"/>
      <c r="JJ31" s="25"/>
      <c r="JK31" s="25"/>
      <c r="JL31" s="25"/>
      <c r="JM31" s="25"/>
      <c r="JN31" s="25"/>
      <c r="JO31" s="25"/>
      <c r="JP31" s="25"/>
      <c r="JQ31" s="25"/>
      <c r="JR31" s="25"/>
      <c r="JS31" s="25"/>
      <c r="JT31" s="25"/>
      <c r="JU31" s="25"/>
      <c r="JV31" s="25"/>
      <c r="JW31" s="25"/>
      <c r="JX31" s="25"/>
      <c r="JY31" s="25"/>
      <c r="JZ31" s="25"/>
      <c r="KA31" s="25"/>
      <c r="KB31" s="25"/>
      <c r="KC31" s="25"/>
      <c r="KD31" s="25"/>
      <c r="KE31" s="25"/>
      <c r="KF31" s="25"/>
      <c r="KG31" s="25"/>
      <c r="KH31" s="25"/>
      <c r="KI31" s="25"/>
      <c r="KJ31" s="25"/>
      <c r="KK31" s="25"/>
      <c r="KL31" s="25"/>
      <c r="KM31" s="25"/>
      <c r="KN31" s="25"/>
      <c r="KO31" s="25"/>
      <c r="KP31" s="25"/>
      <c r="KQ31" s="25"/>
      <c r="KR31" s="25"/>
      <c r="KS31" s="25"/>
      <c r="KT31" s="25"/>
      <c r="KU31" s="25"/>
      <c r="KV31" s="25"/>
      <c r="KW31" s="25"/>
      <c r="KX31" s="25"/>
      <c r="KY31" s="25"/>
      <c r="KZ31" s="25"/>
      <c r="LA31" s="25"/>
      <c r="LB31" s="25"/>
      <c r="LC31" s="25"/>
      <c r="LD31" s="25"/>
      <c r="LE31" s="25"/>
      <c r="LF31" s="25"/>
      <c r="LG31" s="25"/>
      <c r="LH31" s="25"/>
      <c r="LI31" s="25"/>
      <c r="LJ31" s="25"/>
      <c r="LK31" s="25"/>
      <c r="LL31" s="25"/>
      <c r="LM31" s="25"/>
      <c r="LN31" s="25"/>
      <c r="LO31" s="25"/>
      <c r="LP31" s="25"/>
      <c r="LQ31" s="25"/>
      <c r="LR31" s="25"/>
      <c r="LS31" s="25"/>
      <c r="LT31" s="25"/>
      <c r="LU31" s="25"/>
      <c r="LV31" s="25"/>
      <c r="LW31" s="25"/>
      <c r="LX31" s="25"/>
      <c r="LY31" s="25"/>
      <c r="LZ31" s="25"/>
      <c r="MA31" s="25"/>
      <c r="MB31" s="25"/>
      <c r="MC31" s="25"/>
      <c r="MD31" s="25"/>
      <c r="ME31" s="25"/>
      <c r="MF31" s="25"/>
      <c r="MG31" s="25"/>
      <c r="MH31" s="25"/>
    </row>
    <row r="32" spans="1:346" s="332" customFormat="1" ht="36" x14ac:dyDescent="0.25">
      <c r="A32" s="21">
        <v>5</v>
      </c>
      <c r="B32" s="21">
        <f>VLOOKUP($A32,'Indicadores Financeiros'!$A$127:$J$229,2,FALSE)</f>
        <v>615</v>
      </c>
      <c r="C32" s="22" t="str">
        <f>VLOOKUP($A32,'Indicadores Financeiros'!$A$127:$J$229,3,FALSE)</f>
        <v>São Paulo - Unidade(s) Administrativa(s) I - Praça do Patriarca</v>
      </c>
      <c r="D32" s="326" t="str">
        <f>VLOOKUP($B32,BIP!A:E,5,FALSE)</f>
        <v>São Paulo</v>
      </c>
      <c r="E32" s="72">
        <v>690029</v>
      </c>
      <c r="F32" s="7" t="str">
        <f>VLOOKUP($E32,'Tabela de Códigos e Valores'!$A:$M,2,FALSE)</f>
        <v>Serviço de limpeza de vidros sem exposição à situação de risco</v>
      </c>
      <c r="G32" s="7" t="str">
        <f>VLOOKUP($E32,'Tabela de Códigos e Valores'!$A:$M,5,FALSE)</f>
        <v>M2</v>
      </c>
      <c r="H32" s="7" t="str">
        <f>VLOOKUP($E32,'Tabela de Códigos e Valores'!$A:$M,6,FALSE)</f>
        <v>Trimestral</v>
      </c>
      <c r="I32" s="175">
        <f>VLOOKUP($E32,'Tabela de Códigos e Valores'!$A:$M,7,FALSE)</f>
        <v>0</v>
      </c>
      <c r="J32" s="175">
        <f>VLOOKUP($E32,'Tabela de Códigos e Valores'!$A:$M,8,FALSE)</f>
        <v>0</v>
      </c>
      <c r="K32" s="263">
        <v>4553</v>
      </c>
      <c r="L32" s="188">
        <f>IFERROR(VLOOKUP(E32,'Indicadores Financeiros'!$A$90:$J$92,10,FALSE),0)</f>
        <v>0</v>
      </c>
      <c r="M32" s="175">
        <f>VLOOKUP($E32,'Tabela de Códigos e Valores'!$A:$Z,16,FALSE)</f>
        <v>0</v>
      </c>
      <c r="N32" s="175">
        <f>VLOOKUP($E32,'Tabela de Códigos e Valores'!$A:$Z,17,FALSE)</f>
        <v>0</v>
      </c>
      <c r="O32" s="175">
        <f>VLOOKUP($E32,'Tabela de Códigos e Valores'!$A:$AAB,28,FALSE)</f>
        <v>0</v>
      </c>
      <c r="P32" s="175">
        <f>ROUND(IF($G32&lt;&gt;"M2",IF(VLOOKUP($E32,'Tabela de Códigos e Valores'!$A:$J,10,FALSE)*6%&gt;=VLOOKUP('Relatório Custo'!$A32,'Indicadores Financeiros'!$A$127:$I$131,9,FALSE)*'Relatório Custo'!I32,0,VLOOKUP('Relatório Custo'!$A32,'Indicadores Financeiros'!$A$127:$I$131,9,FALSE)*'Relatório Custo'!I32-VLOOKUP($E32,'Tabela de Códigos e Valores'!$A:$J,10,FALSE)*6%),0),2)</f>
        <v>0</v>
      </c>
      <c r="Q32" s="175">
        <f>VLOOKUP($E32,'Tabela de Códigos e Valores'!$A:$AAC,30,FALSE)</f>
        <v>0</v>
      </c>
      <c r="R32" s="175">
        <f>ROUND(ROUND(($M32+$N32+$O32+$P32+$Q32),2)*VLOOKUP($E32,'Tabela de Códigos e Valores'!$A:$AE,31,FALSE)/(1-VLOOKUP($E32,'Tabela de Códigos e Valores'!$A:$AE,31,FALSE)),2)</f>
        <v>0</v>
      </c>
      <c r="S32" s="24">
        <f t="shared" si="17"/>
        <v>0</v>
      </c>
      <c r="T32" s="177">
        <f>VLOOKUP($A32,'Indicadores Financeiros'!$A$127:$J$131,8,FALSE)</f>
        <v>2.0400000000000001E-2</v>
      </c>
      <c r="U32" s="24">
        <f t="shared" si="18"/>
        <v>0</v>
      </c>
      <c r="V32" s="32">
        <f t="shared" si="19"/>
        <v>0</v>
      </c>
      <c r="W32" s="234">
        <f>VLOOKUP($A32,'Indicadores Financeiros'!$A$127:$J$131,10)</f>
        <v>1</v>
      </c>
      <c r="X32" s="63">
        <f>U32*IF(H32="Mensal",('Indicadores Financeiros'!$F$14-W32+1),IF(H32="Trimestral",INT(('Indicadores Financeiros'!$F$14-W32+1)/3),INT(('Indicadores Financeiros'!$F$14-W32+1)/12)))*K32</f>
        <v>0</v>
      </c>
      <c r="Y32" s="74"/>
      <c r="Z32" s="63">
        <f t="shared" si="20"/>
        <v>0</v>
      </c>
      <c r="AA32" s="63">
        <f>ROUND('Indicadores Financeiros'!$J$71*$Z32,4)</f>
        <v>0</v>
      </c>
      <c r="AB32" s="25"/>
      <c r="AC32" s="23">
        <f t="shared" si="4"/>
        <v>0</v>
      </c>
      <c r="AD32" s="23">
        <f>IF(G32="m2",0,ROUND((ROUND(VLOOKUP($E32,'Tabela de Códigos e Valores'!$A:$AB,26,FALSE)/I32,2)+ROUND(P32/I32,2)+ROUND(M32*'Indicadores Financeiros'!$J$61/I32,2)+ROUND(R32/I32,2))*(1+T32),2))</f>
        <v>0</v>
      </c>
      <c r="AE32" s="23">
        <f>IF(G32="posto",IF(OR(E32=690018,E32=690019),'Indicadores Financeiros'!$J$108,IF(OR(E32=690002,E32=690016,E32=690019,E32=690035,E32=690038,E32=690064),'Indicadores Financeiros'!$G$108/2*(1+T32),'Indicadores Financeiros'!$G$108*(1+T32))),0)</f>
        <v>0</v>
      </c>
      <c r="AF32" s="57"/>
      <c r="AG32" s="31"/>
      <c r="AH32" s="253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  <c r="HI32" s="25"/>
      <c r="HJ32" s="25"/>
      <c r="HK32" s="25"/>
      <c r="HL32" s="25"/>
      <c r="HM32" s="25"/>
      <c r="HN32" s="25"/>
      <c r="HO32" s="25"/>
      <c r="HP32" s="25"/>
      <c r="HQ32" s="25"/>
      <c r="HR32" s="25"/>
      <c r="HS32" s="25"/>
      <c r="HT32" s="25"/>
      <c r="HU32" s="25"/>
      <c r="HV32" s="25"/>
      <c r="HW32" s="25"/>
      <c r="HX32" s="25"/>
      <c r="HY32" s="25"/>
      <c r="HZ32" s="25"/>
      <c r="IA32" s="25"/>
      <c r="IB32" s="25"/>
      <c r="IC32" s="25"/>
      <c r="ID32" s="25"/>
      <c r="IE32" s="25"/>
      <c r="IF32" s="25"/>
      <c r="IG32" s="25"/>
      <c r="IH32" s="25"/>
      <c r="II32" s="25"/>
      <c r="IJ32" s="25"/>
      <c r="IK32" s="25"/>
      <c r="IL32" s="25"/>
      <c r="IM32" s="25"/>
      <c r="IN32" s="25"/>
      <c r="IO32" s="25"/>
      <c r="IP32" s="25"/>
      <c r="IQ32" s="25"/>
      <c r="IR32" s="25"/>
      <c r="IS32" s="25"/>
      <c r="IT32" s="25"/>
      <c r="IU32" s="25"/>
      <c r="IV32" s="25"/>
      <c r="IW32" s="25"/>
      <c r="IX32" s="25"/>
      <c r="IY32" s="25"/>
      <c r="IZ32" s="25"/>
      <c r="JA32" s="25"/>
      <c r="JB32" s="25"/>
      <c r="JC32" s="25"/>
      <c r="JD32" s="25"/>
      <c r="JE32" s="25"/>
      <c r="JF32" s="25"/>
      <c r="JG32" s="25"/>
      <c r="JH32" s="25"/>
      <c r="JI32" s="25"/>
      <c r="JJ32" s="25"/>
      <c r="JK32" s="25"/>
      <c r="JL32" s="25"/>
      <c r="JM32" s="25"/>
      <c r="JN32" s="25"/>
      <c r="JO32" s="25"/>
      <c r="JP32" s="25"/>
      <c r="JQ32" s="25"/>
      <c r="JR32" s="25"/>
      <c r="JS32" s="25"/>
      <c r="JT32" s="25"/>
      <c r="JU32" s="25"/>
      <c r="JV32" s="25"/>
      <c r="JW32" s="25"/>
      <c r="JX32" s="25"/>
      <c r="JY32" s="25"/>
      <c r="JZ32" s="25"/>
      <c r="KA32" s="25"/>
      <c r="KB32" s="25"/>
      <c r="KC32" s="25"/>
      <c r="KD32" s="25"/>
      <c r="KE32" s="25"/>
      <c r="KF32" s="25"/>
      <c r="KG32" s="25"/>
      <c r="KH32" s="25"/>
      <c r="KI32" s="25"/>
      <c r="KJ32" s="25"/>
      <c r="KK32" s="25"/>
      <c r="KL32" s="25"/>
      <c r="KM32" s="25"/>
      <c r="KN32" s="25"/>
      <c r="KO32" s="25"/>
      <c r="KP32" s="25"/>
      <c r="KQ32" s="25"/>
      <c r="KR32" s="25"/>
      <c r="KS32" s="25"/>
      <c r="KT32" s="25"/>
      <c r="KU32" s="25"/>
      <c r="KV32" s="25"/>
      <c r="KW32" s="25"/>
      <c r="KX32" s="25"/>
      <c r="KY32" s="25"/>
      <c r="KZ32" s="25"/>
      <c r="LA32" s="25"/>
      <c r="LB32" s="25"/>
      <c r="LC32" s="25"/>
      <c r="LD32" s="25"/>
      <c r="LE32" s="25"/>
      <c r="LF32" s="25"/>
      <c r="LG32" s="25"/>
      <c r="LH32" s="25"/>
      <c r="LI32" s="25"/>
      <c r="LJ32" s="25"/>
      <c r="LK32" s="25"/>
      <c r="LL32" s="25"/>
      <c r="LM32" s="25"/>
      <c r="LN32" s="25"/>
      <c r="LO32" s="25"/>
      <c r="LP32" s="25"/>
      <c r="LQ32" s="25"/>
      <c r="LR32" s="25"/>
      <c r="LS32" s="25"/>
      <c r="LT32" s="25"/>
      <c r="LU32" s="25"/>
      <c r="LV32" s="25"/>
      <c r="LW32" s="25"/>
      <c r="LX32" s="25"/>
      <c r="LY32" s="25"/>
      <c r="LZ32" s="25"/>
      <c r="MA32" s="25"/>
      <c r="MB32" s="25"/>
      <c r="MC32" s="25"/>
      <c r="MD32" s="25"/>
      <c r="ME32" s="25"/>
      <c r="MF32" s="25"/>
      <c r="MG32" s="25"/>
      <c r="MH32" s="25"/>
    </row>
    <row r="33" spans="1:346" s="332" customFormat="1" ht="36" x14ac:dyDescent="0.25">
      <c r="A33" s="21">
        <v>5</v>
      </c>
      <c r="B33" s="21">
        <f>VLOOKUP($A33,'Indicadores Financeiros'!$A$127:$J$229,2,FALSE)</f>
        <v>615</v>
      </c>
      <c r="C33" s="22" t="str">
        <f>VLOOKUP($A33,'Indicadores Financeiros'!$A$127:$J$229,3,FALSE)</f>
        <v>São Paulo - Unidade(s) Administrativa(s) I - Praça do Patriarca</v>
      </c>
      <c r="D33" s="326" t="str">
        <f>VLOOKUP($B33,BIP!A:E,5,FALSE)</f>
        <v>São Paulo</v>
      </c>
      <c r="E33" s="72">
        <v>690032</v>
      </c>
      <c r="F33" s="7" t="str">
        <f>VLOOKUP($E33,'Tabela de Códigos e Valores'!$A:$M,2,FALSE)</f>
        <v>Auxiliar de limpeza - diurno - 44 horas semanais (segunda a sábado)</v>
      </c>
      <c r="G33" s="7" t="str">
        <f>VLOOKUP($E33,'Tabela de Códigos e Valores'!$A:$M,5,FALSE)</f>
        <v>Posto</v>
      </c>
      <c r="H33" s="7" t="str">
        <f>VLOOKUP($E33,'Tabela de Códigos e Valores'!$A:$M,6,FALSE)</f>
        <v>Mensal</v>
      </c>
      <c r="I33" s="175">
        <f>VLOOKUP($E33,'Tabela de Códigos e Valores'!$A:$M,7,FALSE)</f>
        <v>25.33</v>
      </c>
      <c r="J33" s="175">
        <f>VLOOKUP($E33,'Tabela de Códigos e Valores'!$A:$M,8,FALSE)</f>
        <v>0</v>
      </c>
      <c r="K33" s="263">
        <v>1</v>
      </c>
      <c r="L33" s="188">
        <f>IFERROR(VLOOKUP(E33,'Indicadores Financeiros'!$A$90:$J$92,10,FALSE),0)</f>
        <v>0</v>
      </c>
      <c r="M33" s="175">
        <f>VLOOKUP($E33,'Tabela de Códigos e Valores'!$A:$Z,16,FALSE)</f>
        <v>0</v>
      </c>
      <c r="N33" s="175">
        <f>VLOOKUP($E33,'Tabela de Códigos e Valores'!$A:$Z,17,FALSE)</f>
        <v>0</v>
      </c>
      <c r="O33" s="175">
        <f>VLOOKUP($E33,'Tabela de Códigos e Valores'!$A:$AAB,28,FALSE)</f>
        <v>0</v>
      </c>
      <c r="P33" s="175">
        <f>ROUND(IF($G33&lt;&gt;"M2",IF(VLOOKUP($E33,'Tabela de Códigos e Valores'!$A:$J,10,FALSE)*6%&gt;=VLOOKUP('Relatório Custo'!$A33,'Indicadores Financeiros'!$A$127:$I$131,9,FALSE)*'Relatório Custo'!I33,0,VLOOKUP('Relatório Custo'!$A33,'Indicadores Financeiros'!$A$127:$I$131,9,FALSE)*'Relatório Custo'!I33-VLOOKUP($E33,'Tabela de Códigos e Valores'!$A:$J,10,FALSE)*6%),0),2)</f>
        <v>0</v>
      </c>
      <c r="Q33" s="175">
        <f>VLOOKUP($E33,'Tabela de Códigos e Valores'!$A:$AAC,30,FALSE)</f>
        <v>0</v>
      </c>
      <c r="R33" s="175">
        <f>ROUND(ROUND(($M33+$N33+$O33+$P33+$Q33),2)*VLOOKUP($E33,'Tabela de Códigos e Valores'!$A:$AE,31,FALSE)/(1-VLOOKUP($E33,'Tabela de Códigos e Valores'!$A:$AE,31,FALSE)),2)</f>
        <v>0</v>
      </c>
      <c r="S33" s="24">
        <f t="shared" si="17"/>
        <v>0</v>
      </c>
      <c r="T33" s="177">
        <f>VLOOKUP($A33,'Indicadores Financeiros'!$A$127:$J$131,8,FALSE)</f>
        <v>2.0400000000000001E-2</v>
      </c>
      <c r="U33" s="24">
        <f t="shared" si="18"/>
        <v>0</v>
      </c>
      <c r="V33" s="32">
        <f t="shared" si="19"/>
        <v>0</v>
      </c>
      <c r="W33" s="234">
        <f>VLOOKUP($A33,'Indicadores Financeiros'!$A$127:$J$131,10)</f>
        <v>1</v>
      </c>
      <c r="X33" s="63">
        <f>U33*IF(H33="Mensal",('Indicadores Financeiros'!$F$14-W33+1),IF(H33="Trimestral",INT(('Indicadores Financeiros'!$F$14-W33+1)/3),INT(('Indicadores Financeiros'!$F$14-W33+1)/12)))*K33</f>
        <v>0</v>
      </c>
      <c r="Y33" s="74"/>
      <c r="Z33" s="63">
        <f t="shared" si="20"/>
        <v>0</v>
      </c>
      <c r="AA33" s="63">
        <f>ROUND('Indicadores Financeiros'!$J$71*$Z33,4)</f>
        <v>0</v>
      </c>
      <c r="AB33" s="25"/>
      <c r="AC33" s="23">
        <f t="shared" si="4"/>
        <v>0</v>
      </c>
      <c r="AD33" s="23">
        <f>ROUND((ROUND(VLOOKUP($E33,'Tabela de Códigos e Valores'!$A:$AB,26,FALSE)/I33,2)+ROUND(P33/I33,2)+ROUND(M33*'Indicadores Financeiros'!$J$61/I33,2)+ROUND(R33/I33,2))*(1+T33),2)</f>
        <v>0</v>
      </c>
      <c r="AE33" s="23">
        <f>IF(G33="posto",IF(OR(E33=690018,E33=690019),'Indicadores Financeiros'!$J$108,IF(OR(E33=690002,E33=690016,E33=690019,E33=690035,E33=690038,E33=690064),'Indicadores Financeiros'!$G$108/2*(1+T33),'Indicadores Financeiros'!$G$108*(1+T33))),0)</f>
        <v>0</v>
      </c>
      <c r="AF33" s="57"/>
      <c r="AG33" s="31"/>
      <c r="AH33" s="253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5"/>
      <c r="GH33" s="25"/>
      <c r="GI33" s="25"/>
      <c r="GJ33" s="25"/>
      <c r="GK33" s="25"/>
      <c r="GL33" s="25"/>
      <c r="GM33" s="25"/>
      <c r="GN33" s="25"/>
      <c r="GO33" s="25"/>
      <c r="GP33" s="25"/>
      <c r="GQ33" s="25"/>
      <c r="GR33" s="25"/>
      <c r="GS33" s="25"/>
      <c r="GT33" s="25"/>
      <c r="GU33" s="25"/>
      <c r="GV33" s="25"/>
      <c r="GW33" s="25"/>
      <c r="GX33" s="25"/>
      <c r="GY33" s="25"/>
      <c r="GZ33" s="25"/>
      <c r="HA33" s="25"/>
      <c r="HB33" s="25"/>
      <c r="HC33" s="25"/>
      <c r="HD33" s="25"/>
      <c r="HE33" s="25"/>
      <c r="HF33" s="25"/>
      <c r="HG33" s="25"/>
      <c r="HH33" s="25"/>
      <c r="HI33" s="25"/>
      <c r="HJ33" s="25"/>
      <c r="HK33" s="25"/>
      <c r="HL33" s="25"/>
      <c r="HM33" s="25"/>
      <c r="HN33" s="25"/>
      <c r="HO33" s="25"/>
      <c r="HP33" s="25"/>
      <c r="HQ33" s="25"/>
      <c r="HR33" s="25"/>
      <c r="HS33" s="25"/>
      <c r="HT33" s="25"/>
      <c r="HU33" s="25"/>
      <c r="HV33" s="25"/>
      <c r="HW33" s="25"/>
      <c r="HX33" s="25"/>
      <c r="HY33" s="25"/>
      <c r="HZ33" s="25"/>
      <c r="IA33" s="25"/>
      <c r="IB33" s="25"/>
      <c r="IC33" s="25"/>
      <c r="ID33" s="25"/>
      <c r="IE33" s="25"/>
      <c r="IF33" s="25"/>
      <c r="IG33" s="25"/>
      <c r="IH33" s="25"/>
      <c r="II33" s="25"/>
      <c r="IJ33" s="25"/>
      <c r="IK33" s="25"/>
      <c r="IL33" s="25"/>
      <c r="IM33" s="25"/>
      <c r="IN33" s="25"/>
      <c r="IO33" s="25"/>
      <c r="IP33" s="25"/>
      <c r="IQ33" s="25"/>
      <c r="IR33" s="25"/>
      <c r="IS33" s="25"/>
      <c r="IT33" s="25"/>
      <c r="IU33" s="25"/>
      <c r="IV33" s="25"/>
      <c r="IW33" s="25"/>
      <c r="IX33" s="25"/>
      <c r="IY33" s="25"/>
      <c r="IZ33" s="25"/>
      <c r="JA33" s="25"/>
      <c r="JB33" s="25"/>
      <c r="JC33" s="25"/>
      <c r="JD33" s="25"/>
      <c r="JE33" s="25"/>
      <c r="JF33" s="25"/>
      <c r="JG33" s="25"/>
      <c r="JH33" s="25"/>
      <c r="JI33" s="25"/>
      <c r="JJ33" s="25"/>
      <c r="JK33" s="25"/>
      <c r="JL33" s="25"/>
      <c r="JM33" s="25"/>
      <c r="JN33" s="25"/>
      <c r="JO33" s="25"/>
      <c r="JP33" s="25"/>
      <c r="JQ33" s="25"/>
      <c r="JR33" s="25"/>
      <c r="JS33" s="25"/>
      <c r="JT33" s="25"/>
      <c r="JU33" s="25"/>
      <c r="JV33" s="25"/>
      <c r="JW33" s="25"/>
      <c r="JX33" s="25"/>
      <c r="JY33" s="25"/>
      <c r="JZ33" s="25"/>
      <c r="KA33" s="25"/>
      <c r="KB33" s="25"/>
      <c r="KC33" s="25"/>
      <c r="KD33" s="25"/>
      <c r="KE33" s="25"/>
      <c r="KF33" s="25"/>
      <c r="KG33" s="25"/>
      <c r="KH33" s="25"/>
      <c r="KI33" s="25"/>
      <c r="KJ33" s="25"/>
      <c r="KK33" s="25"/>
      <c r="KL33" s="25"/>
      <c r="KM33" s="25"/>
      <c r="KN33" s="25"/>
      <c r="KO33" s="25"/>
      <c r="KP33" s="25"/>
      <c r="KQ33" s="25"/>
      <c r="KR33" s="25"/>
      <c r="KS33" s="25"/>
      <c r="KT33" s="25"/>
      <c r="KU33" s="25"/>
      <c r="KV33" s="25"/>
      <c r="KW33" s="25"/>
      <c r="KX33" s="25"/>
      <c r="KY33" s="25"/>
      <c r="KZ33" s="25"/>
      <c r="LA33" s="25"/>
      <c r="LB33" s="25"/>
      <c r="LC33" s="25"/>
      <c r="LD33" s="25"/>
      <c r="LE33" s="25"/>
      <c r="LF33" s="25"/>
      <c r="LG33" s="25"/>
      <c r="LH33" s="25"/>
      <c r="LI33" s="25"/>
      <c r="LJ33" s="25"/>
      <c r="LK33" s="25"/>
      <c r="LL33" s="25"/>
      <c r="LM33" s="25"/>
      <c r="LN33" s="25"/>
      <c r="LO33" s="25"/>
      <c r="LP33" s="25"/>
      <c r="LQ33" s="25"/>
      <c r="LR33" s="25"/>
      <c r="LS33" s="25"/>
      <c r="LT33" s="25"/>
      <c r="LU33" s="25"/>
      <c r="LV33" s="25"/>
      <c r="LW33" s="25"/>
      <c r="LX33" s="25"/>
      <c r="LY33" s="25"/>
      <c r="LZ33" s="25"/>
      <c r="MA33" s="25"/>
      <c r="MB33" s="25"/>
      <c r="MC33" s="25"/>
      <c r="MD33" s="25"/>
      <c r="ME33" s="25"/>
      <c r="MF33" s="25"/>
      <c r="MG33" s="25"/>
      <c r="MH33" s="25"/>
    </row>
    <row r="34" spans="1:346" s="332" customFormat="1" ht="36" x14ac:dyDescent="0.25">
      <c r="A34" s="21">
        <v>5</v>
      </c>
      <c r="B34" s="21">
        <f>VLOOKUP($A34,'Indicadores Financeiros'!$A$127:$J$229,2,FALSE)</f>
        <v>615</v>
      </c>
      <c r="C34" s="22" t="str">
        <f>VLOOKUP($A34,'Indicadores Financeiros'!$A$127:$J$229,3,FALSE)</f>
        <v>São Paulo - Unidade(s) Administrativa(s) I - Praça do Patriarca</v>
      </c>
      <c r="D34" s="326" t="str">
        <f>VLOOKUP($B34,BIP!A:E,5,FALSE)</f>
        <v>São Paulo</v>
      </c>
      <c r="E34" s="72">
        <v>690037</v>
      </c>
      <c r="F34" s="7" t="str">
        <f>VLOOKUP($E34,'Tabela de Códigos e Valores'!$A:$M,2,FALSE)</f>
        <v>Agente de Higienização (Tempo Integral) - (40%) - 44 horas semanais</v>
      </c>
      <c r="G34" s="7" t="str">
        <f>VLOOKUP($E34,'Tabela de Códigos e Valores'!$A:$M,5,FALSE)</f>
        <v>Posto</v>
      </c>
      <c r="H34" s="7" t="str">
        <f>VLOOKUP($E34,'Tabela de Códigos e Valores'!$A:$M,6,FALSE)</f>
        <v>Mensal</v>
      </c>
      <c r="I34" s="175">
        <f>VLOOKUP($E34,'Tabela de Códigos e Valores'!$A:$M,7,FALSE)</f>
        <v>21</v>
      </c>
      <c r="J34" s="175">
        <f>VLOOKUP($E34,'Tabela de Códigos e Valores'!$A:$M,8,FALSE)</f>
        <v>0</v>
      </c>
      <c r="K34" s="263">
        <v>4</v>
      </c>
      <c r="L34" s="188">
        <f>IFERROR(VLOOKUP(E34,'Indicadores Financeiros'!$A$90:$J$92,10,FALSE),0)</f>
        <v>0</v>
      </c>
      <c r="M34" s="175">
        <f>VLOOKUP($E34,'Tabela de Códigos e Valores'!$A:$Z,16,FALSE)</f>
        <v>0</v>
      </c>
      <c r="N34" s="175">
        <f>VLOOKUP($E34,'Tabela de Códigos e Valores'!$A:$Z,17,FALSE)</f>
        <v>0</v>
      </c>
      <c r="O34" s="175">
        <f>VLOOKUP($E34,'Tabela de Códigos e Valores'!$A:$AAB,28,FALSE)</f>
        <v>0</v>
      </c>
      <c r="P34" s="175">
        <f>ROUND(IF($G34&lt;&gt;"M2",IF(VLOOKUP($E34,'Tabela de Códigos e Valores'!$A:$J,10,FALSE)*6%&gt;=VLOOKUP('Relatório Custo'!$A34,'Indicadores Financeiros'!$A$127:$I$131,9,FALSE)*'Relatório Custo'!I34,0,VLOOKUP('Relatório Custo'!$A34,'Indicadores Financeiros'!$A$127:$I$131,9,FALSE)*'Relatório Custo'!I34-VLOOKUP($E34,'Tabela de Códigos e Valores'!$A:$J,10,FALSE)*6%),0),2)</f>
        <v>0</v>
      </c>
      <c r="Q34" s="175">
        <f>VLOOKUP($E34,'Tabela de Códigos e Valores'!$A:$AAC,30,FALSE)</f>
        <v>0</v>
      </c>
      <c r="R34" s="175">
        <f>ROUND(ROUND(($M34+$N34+$O34+$P34+$Q34),2)*VLOOKUP($E34,'Tabela de Códigos e Valores'!$A:$AE,31,FALSE)/(1-VLOOKUP($E34,'Tabela de Códigos e Valores'!$A:$AE,31,FALSE)),2)</f>
        <v>0</v>
      </c>
      <c r="S34" s="24">
        <f t="shared" si="17"/>
        <v>0</v>
      </c>
      <c r="T34" s="177">
        <f>VLOOKUP($A34,'Indicadores Financeiros'!$A$127:$J$131,8,FALSE)</f>
        <v>2.0400000000000001E-2</v>
      </c>
      <c r="U34" s="24">
        <f t="shared" si="18"/>
        <v>0</v>
      </c>
      <c r="V34" s="32">
        <f t="shared" si="19"/>
        <v>0</v>
      </c>
      <c r="W34" s="234">
        <f>VLOOKUP($A34,'Indicadores Financeiros'!$A$127:$J$131,10)</f>
        <v>1</v>
      </c>
      <c r="X34" s="63">
        <f>U34*IF(H34="Mensal",('Indicadores Financeiros'!$F$14-W34+1),IF(H34="Trimestral",INT(('Indicadores Financeiros'!$F$14-W34+1)/3),INT(('Indicadores Financeiros'!$F$14-W34+1)/12)))*K34</f>
        <v>0</v>
      </c>
      <c r="Y34" s="74"/>
      <c r="Z34" s="63">
        <f t="shared" si="20"/>
        <v>0</v>
      </c>
      <c r="AA34" s="63">
        <f>ROUND('Indicadores Financeiros'!$J$71*$Z34,4)</f>
        <v>0</v>
      </c>
      <c r="AB34" s="25"/>
      <c r="AC34" s="23">
        <f t="shared" si="4"/>
        <v>0</v>
      </c>
      <c r="AD34" s="23">
        <f>ROUND((ROUND(VLOOKUP($E34,'Tabela de Códigos e Valores'!$A:$AB,26,FALSE)/I34,2)+ROUND(P34/I34,2)+ROUND(M34*'Indicadores Financeiros'!$J$61/I34,2)+ROUND(R34/I34,2))*(1+T34),2)</f>
        <v>0</v>
      </c>
      <c r="AE34" s="23">
        <f>IF(G34="posto",IF(OR(E34=690018,E34=690019),'Indicadores Financeiros'!$J$108,IF(OR(E34=690002,E34=690016,E34=690019,E34=690035,E34=690038,E34=690064),'Indicadores Financeiros'!$G$108/2*(1+T34),'Indicadores Financeiros'!$G$108*(1+T34))),0)</f>
        <v>0</v>
      </c>
      <c r="AF34" s="57"/>
      <c r="AG34" s="31"/>
      <c r="AH34" s="253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  <c r="GK34" s="25"/>
      <c r="GL34" s="25"/>
      <c r="GM34" s="25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25"/>
      <c r="HA34" s="25"/>
      <c r="HB34" s="25"/>
      <c r="HC34" s="25"/>
      <c r="HD34" s="25"/>
      <c r="HE34" s="25"/>
      <c r="HF34" s="25"/>
      <c r="HG34" s="25"/>
      <c r="HH34" s="25"/>
      <c r="HI34" s="25"/>
      <c r="HJ34" s="25"/>
      <c r="HK34" s="25"/>
      <c r="HL34" s="25"/>
      <c r="HM34" s="25"/>
      <c r="HN34" s="25"/>
      <c r="HO34" s="25"/>
      <c r="HP34" s="25"/>
      <c r="HQ34" s="25"/>
      <c r="HR34" s="25"/>
      <c r="HS34" s="25"/>
      <c r="HT34" s="25"/>
      <c r="HU34" s="25"/>
      <c r="HV34" s="25"/>
      <c r="HW34" s="25"/>
      <c r="HX34" s="25"/>
      <c r="HY34" s="25"/>
      <c r="HZ34" s="25"/>
      <c r="IA34" s="25"/>
      <c r="IB34" s="25"/>
      <c r="IC34" s="25"/>
      <c r="ID34" s="25"/>
      <c r="IE34" s="25"/>
      <c r="IF34" s="25"/>
      <c r="IG34" s="25"/>
      <c r="IH34" s="25"/>
      <c r="II34" s="25"/>
      <c r="IJ34" s="25"/>
      <c r="IK34" s="25"/>
      <c r="IL34" s="25"/>
      <c r="IM34" s="25"/>
      <c r="IN34" s="25"/>
      <c r="IO34" s="25"/>
      <c r="IP34" s="25"/>
      <c r="IQ34" s="25"/>
      <c r="IR34" s="25"/>
      <c r="IS34" s="25"/>
      <c r="IT34" s="25"/>
      <c r="IU34" s="25"/>
      <c r="IV34" s="25"/>
      <c r="IW34" s="25"/>
      <c r="IX34" s="25"/>
      <c r="IY34" s="25"/>
      <c r="IZ34" s="25"/>
      <c r="JA34" s="25"/>
      <c r="JB34" s="25"/>
      <c r="JC34" s="25"/>
      <c r="JD34" s="25"/>
      <c r="JE34" s="25"/>
      <c r="JF34" s="25"/>
      <c r="JG34" s="25"/>
      <c r="JH34" s="25"/>
      <c r="JI34" s="25"/>
      <c r="JJ34" s="25"/>
      <c r="JK34" s="25"/>
      <c r="JL34" s="25"/>
      <c r="JM34" s="25"/>
      <c r="JN34" s="25"/>
      <c r="JO34" s="25"/>
      <c r="JP34" s="25"/>
      <c r="JQ34" s="25"/>
      <c r="JR34" s="25"/>
      <c r="JS34" s="25"/>
      <c r="JT34" s="25"/>
      <c r="JU34" s="25"/>
      <c r="JV34" s="25"/>
      <c r="JW34" s="25"/>
      <c r="JX34" s="25"/>
      <c r="JY34" s="25"/>
      <c r="JZ34" s="25"/>
      <c r="KA34" s="25"/>
      <c r="KB34" s="25"/>
      <c r="KC34" s="25"/>
      <c r="KD34" s="25"/>
      <c r="KE34" s="25"/>
      <c r="KF34" s="25"/>
      <c r="KG34" s="25"/>
      <c r="KH34" s="25"/>
      <c r="KI34" s="25"/>
      <c r="KJ34" s="25"/>
      <c r="KK34" s="25"/>
      <c r="KL34" s="25"/>
      <c r="KM34" s="25"/>
      <c r="KN34" s="25"/>
      <c r="KO34" s="25"/>
      <c r="KP34" s="25"/>
      <c r="KQ34" s="25"/>
      <c r="KR34" s="25"/>
      <c r="KS34" s="25"/>
      <c r="KT34" s="25"/>
      <c r="KU34" s="25"/>
      <c r="KV34" s="25"/>
      <c r="KW34" s="25"/>
      <c r="KX34" s="25"/>
      <c r="KY34" s="25"/>
      <c r="KZ34" s="25"/>
      <c r="LA34" s="25"/>
      <c r="LB34" s="25"/>
      <c r="LC34" s="25"/>
      <c r="LD34" s="25"/>
      <c r="LE34" s="25"/>
      <c r="LF34" s="25"/>
      <c r="LG34" s="25"/>
      <c r="LH34" s="25"/>
      <c r="LI34" s="25"/>
      <c r="LJ34" s="25"/>
      <c r="LK34" s="25"/>
      <c r="LL34" s="25"/>
      <c r="LM34" s="25"/>
      <c r="LN34" s="25"/>
      <c r="LO34" s="25"/>
      <c r="LP34" s="25"/>
      <c r="LQ34" s="25"/>
      <c r="LR34" s="25"/>
      <c r="LS34" s="25"/>
      <c r="LT34" s="25"/>
      <c r="LU34" s="25"/>
      <c r="LV34" s="25"/>
      <c r="LW34" s="25"/>
      <c r="LX34" s="25"/>
      <c r="LY34" s="25"/>
      <c r="LZ34" s="25"/>
      <c r="MA34" s="25"/>
      <c r="MB34" s="25"/>
      <c r="MC34" s="25"/>
      <c r="MD34" s="25"/>
      <c r="ME34" s="25"/>
      <c r="MF34" s="25"/>
      <c r="MG34" s="25"/>
      <c r="MH34" s="25"/>
    </row>
    <row r="35" spans="1:346" s="332" customFormat="1" ht="36" x14ac:dyDescent="0.25">
      <c r="A35" s="21">
        <v>5</v>
      </c>
      <c r="B35" s="21">
        <f>VLOOKUP($A35,'Indicadores Financeiros'!$A$127:$J$229,2,FALSE)</f>
        <v>615</v>
      </c>
      <c r="C35" s="22" t="str">
        <f>VLOOKUP($A35,'Indicadores Financeiros'!$A$127:$J$229,3,FALSE)</f>
        <v>São Paulo - Unidade(s) Administrativa(s) I - Praça do Patriarca</v>
      </c>
      <c r="D35" s="326" t="str">
        <f>VLOOKUP($B35,BIP!A:E,5,FALSE)</f>
        <v>São Paulo</v>
      </c>
      <c r="E35" s="72">
        <v>690056</v>
      </c>
      <c r="F35" s="7" t="str">
        <f>VLOOKUP($E35,'Tabela de Códigos e Valores'!$A:$M,2,FALSE)</f>
        <v>Encarregado(a) 11 ou mais subordinados - diurno - 44 horas semanais</v>
      </c>
      <c r="G35" s="7" t="str">
        <f>VLOOKUP($E35,'Tabela de Códigos e Valores'!$A:$M,5,FALSE)</f>
        <v>Posto</v>
      </c>
      <c r="H35" s="7" t="str">
        <f>VLOOKUP($E35,'Tabela de Códigos e Valores'!$A:$M,6,FALSE)</f>
        <v>Mensal</v>
      </c>
      <c r="I35" s="175">
        <f>VLOOKUP($E35,'Tabela de Códigos e Valores'!$A:$M,7,FALSE)</f>
        <v>21</v>
      </c>
      <c r="J35" s="175">
        <f>VLOOKUP($E35,'Tabela de Códigos e Valores'!$A:$M,8,FALSE)</f>
        <v>0</v>
      </c>
      <c r="K35" s="263">
        <v>1</v>
      </c>
      <c r="L35" s="188">
        <f>IFERROR(VLOOKUP(E35,'Indicadores Financeiros'!$A$90:$J$92,10,FALSE),0)</f>
        <v>0</v>
      </c>
      <c r="M35" s="175">
        <f>VLOOKUP($E35,'Tabela de Códigos e Valores'!$A:$Z,16,FALSE)</f>
        <v>0</v>
      </c>
      <c r="N35" s="175">
        <f>VLOOKUP($E35,'Tabela de Códigos e Valores'!$A:$Z,17,FALSE)</f>
        <v>0</v>
      </c>
      <c r="O35" s="175">
        <f>VLOOKUP($E35,'Tabela de Códigos e Valores'!$A:$AAB,28,FALSE)</f>
        <v>0</v>
      </c>
      <c r="P35" s="175">
        <f>ROUND(IF($G35&lt;&gt;"M2",IF(VLOOKUP($E35,'Tabela de Códigos e Valores'!$A:$J,10,FALSE)*6%&gt;=VLOOKUP('Relatório Custo'!$A35,'Indicadores Financeiros'!$A$127:$I$131,9,FALSE)*'Relatório Custo'!I35,0,VLOOKUP('Relatório Custo'!$A35,'Indicadores Financeiros'!$A$127:$I$131,9,FALSE)*'Relatório Custo'!I35-VLOOKUP($E35,'Tabela de Códigos e Valores'!$A:$J,10,FALSE)*6%),0),2)</f>
        <v>0</v>
      </c>
      <c r="Q35" s="175">
        <f>VLOOKUP($E35,'Tabela de Códigos e Valores'!$A:$AAC,30,FALSE)</f>
        <v>0</v>
      </c>
      <c r="R35" s="175">
        <f>ROUND(ROUND(($M35+$N35+$O35+$P35+$Q35),2)*VLOOKUP($E35,'Tabela de Códigos e Valores'!$A:$AE,31,FALSE)/(1-VLOOKUP($E35,'Tabela de Códigos e Valores'!$A:$AE,31,FALSE)),2)</f>
        <v>0</v>
      </c>
      <c r="S35" s="24">
        <f t="shared" si="17"/>
        <v>0</v>
      </c>
      <c r="T35" s="177">
        <f>VLOOKUP($A35,'Indicadores Financeiros'!$A$127:$J$131,8,FALSE)</f>
        <v>2.0400000000000001E-2</v>
      </c>
      <c r="U35" s="24">
        <f t="shared" si="18"/>
        <v>0</v>
      </c>
      <c r="V35" s="32">
        <f t="shared" si="19"/>
        <v>0</v>
      </c>
      <c r="W35" s="234">
        <f>VLOOKUP($A35,'Indicadores Financeiros'!$A$127:$J$131,10)</f>
        <v>1</v>
      </c>
      <c r="X35" s="63">
        <f>U35*IF(H35="Mensal",('Indicadores Financeiros'!$F$14-W35+1),IF(H35="Trimestral",INT(('Indicadores Financeiros'!$F$14-W35+1)/3),INT(('Indicadores Financeiros'!$F$14-W35+1)/12)))*K35</f>
        <v>0</v>
      </c>
      <c r="Y35" s="74"/>
      <c r="Z35" s="63">
        <f t="shared" si="20"/>
        <v>0</v>
      </c>
      <c r="AA35" s="63">
        <f>ROUND('Indicadores Financeiros'!$J$71*$Z35,4)</f>
        <v>0</v>
      </c>
      <c r="AB35" s="25"/>
      <c r="AC35" s="23">
        <f t="shared" si="4"/>
        <v>0</v>
      </c>
      <c r="AD35" s="23">
        <f>ROUND((ROUND(VLOOKUP($E35,'Tabela de Códigos e Valores'!$A:$AB,26,FALSE)/I35,2)+ROUND(P35/I35,2)+ROUND(M35*'Indicadores Financeiros'!$J$61/I35,2)+ROUND(R35/I35,2))*(1+T35),2)</f>
        <v>0</v>
      </c>
      <c r="AE35" s="23">
        <f>IF(G35="posto",IF(OR(E35=690018,E35=690019),'Indicadores Financeiros'!$J$108,IF(OR(E35=690002,E35=690016,E35=690019,E35=690035,E35=690038,E35=690064),'Indicadores Financeiros'!$G$108/2*(1+T35),'Indicadores Financeiros'!$G$108*(1+T35))),0)</f>
        <v>0</v>
      </c>
      <c r="AF35" s="57"/>
      <c r="AG35" s="31"/>
      <c r="AH35" s="253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/>
      <c r="GG35" s="25"/>
      <c r="GH35" s="25"/>
      <c r="GI35" s="25"/>
      <c r="GJ35" s="25"/>
      <c r="GK35" s="25"/>
      <c r="GL35" s="25"/>
      <c r="GM35" s="25"/>
      <c r="GN35" s="25"/>
      <c r="GO35" s="25"/>
      <c r="GP35" s="25"/>
      <c r="GQ35" s="25"/>
      <c r="GR35" s="25"/>
      <c r="GS35" s="25"/>
      <c r="GT35" s="25"/>
      <c r="GU35" s="25"/>
      <c r="GV35" s="25"/>
      <c r="GW35" s="25"/>
      <c r="GX35" s="25"/>
      <c r="GY35" s="25"/>
      <c r="GZ35" s="25"/>
      <c r="HA35" s="25"/>
      <c r="HB35" s="25"/>
      <c r="HC35" s="25"/>
      <c r="HD35" s="25"/>
      <c r="HE35" s="25"/>
      <c r="HF35" s="25"/>
      <c r="HG35" s="25"/>
      <c r="HH35" s="25"/>
      <c r="HI35" s="25"/>
      <c r="HJ35" s="25"/>
      <c r="HK35" s="25"/>
      <c r="HL35" s="25"/>
      <c r="HM35" s="25"/>
      <c r="HN35" s="25"/>
      <c r="HO35" s="25"/>
      <c r="HP35" s="25"/>
      <c r="HQ35" s="25"/>
      <c r="HR35" s="25"/>
      <c r="HS35" s="25"/>
      <c r="HT35" s="25"/>
      <c r="HU35" s="25"/>
      <c r="HV35" s="25"/>
      <c r="HW35" s="25"/>
      <c r="HX35" s="25"/>
      <c r="HY35" s="25"/>
      <c r="HZ35" s="25"/>
      <c r="IA35" s="25"/>
      <c r="IB35" s="25"/>
      <c r="IC35" s="25"/>
      <c r="ID35" s="25"/>
      <c r="IE35" s="25"/>
      <c r="IF35" s="25"/>
      <c r="IG35" s="25"/>
      <c r="IH35" s="25"/>
      <c r="II35" s="25"/>
      <c r="IJ35" s="25"/>
      <c r="IK35" s="25"/>
      <c r="IL35" s="25"/>
      <c r="IM35" s="25"/>
      <c r="IN35" s="25"/>
      <c r="IO35" s="25"/>
      <c r="IP35" s="25"/>
      <c r="IQ35" s="25"/>
      <c r="IR35" s="25"/>
      <c r="IS35" s="25"/>
      <c r="IT35" s="25"/>
      <c r="IU35" s="25"/>
      <c r="IV35" s="25"/>
      <c r="IW35" s="25"/>
      <c r="IX35" s="25"/>
      <c r="IY35" s="25"/>
      <c r="IZ35" s="25"/>
      <c r="JA35" s="25"/>
      <c r="JB35" s="25"/>
      <c r="JC35" s="25"/>
      <c r="JD35" s="25"/>
      <c r="JE35" s="25"/>
      <c r="JF35" s="25"/>
      <c r="JG35" s="25"/>
      <c r="JH35" s="25"/>
      <c r="JI35" s="25"/>
      <c r="JJ35" s="25"/>
      <c r="JK35" s="25"/>
      <c r="JL35" s="25"/>
      <c r="JM35" s="25"/>
      <c r="JN35" s="25"/>
      <c r="JO35" s="25"/>
      <c r="JP35" s="25"/>
      <c r="JQ35" s="25"/>
      <c r="JR35" s="25"/>
      <c r="JS35" s="25"/>
      <c r="JT35" s="25"/>
      <c r="JU35" s="25"/>
      <c r="JV35" s="25"/>
      <c r="JW35" s="25"/>
      <c r="JX35" s="25"/>
      <c r="JY35" s="25"/>
      <c r="JZ35" s="25"/>
      <c r="KA35" s="25"/>
      <c r="KB35" s="25"/>
      <c r="KC35" s="25"/>
      <c r="KD35" s="25"/>
      <c r="KE35" s="25"/>
      <c r="KF35" s="25"/>
      <c r="KG35" s="25"/>
      <c r="KH35" s="25"/>
      <c r="KI35" s="25"/>
      <c r="KJ35" s="25"/>
      <c r="KK35" s="25"/>
      <c r="KL35" s="25"/>
      <c r="KM35" s="25"/>
      <c r="KN35" s="25"/>
      <c r="KO35" s="25"/>
      <c r="KP35" s="25"/>
      <c r="KQ35" s="25"/>
      <c r="KR35" s="25"/>
      <c r="KS35" s="25"/>
      <c r="KT35" s="25"/>
      <c r="KU35" s="25"/>
      <c r="KV35" s="25"/>
      <c r="KW35" s="25"/>
      <c r="KX35" s="25"/>
      <c r="KY35" s="25"/>
      <c r="KZ35" s="25"/>
      <c r="LA35" s="25"/>
      <c r="LB35" s="25"/>
      <c r="LC35" s="25"/>
      <c r="LD35" s="25"/>
      <c r="LE35" s="25"/>
      <c r="LF35" s="25"/>
      <c r="LG35" s="25"/>
      <c r="LH35" s="25"/>
      <c r="LI35" s="25"/>
      <c r="LJ35" s="25"/>
      <c r="LK35" s="25"/>
      <c r="LL35" s="25"/>
      <c r="LM35" s="25"/>
      <c r="LN35" s="25"/>
      <c r="LO35" s="25"/>
      <c r="LP35" s="25"/>
      <c r="LQ35" s="25"/>
      <c r="LR35" s="25"/>
      <c r="LS35" s="25"/>
      <c r="LT35" s="25"/>
      <c r="LU35" s="25"/>
      <c r="LV35" s="25"/>
      <c r="LW35" s="25"/>
      <c r="LX35" s="25"/>
      <c r="LY35" s="25"/>
      <c r="LZ35" s="25"/>
      <c r="MA35" s="25"/>
      <c r="MB35" s="25"/>
      <c r="MC35" s="25"/>
      <c r="MD35" s="25"/>
      <c r="ME35" s="25"/>
      <c r="MF35" s="25"/>
      <c r="MG35" s="25"/>
      <c r="MH35" s="25"/>
    </row>
    <row r="36" spans="1:346" s="25" customFormat="1" x14ac:dyDescent="0.25">
      <c r="A36" s="258"/>
      <c r="B36" s="322"/>
      <c r="C36" s="259"/>
      <c r="D36" s="327"/>
      <c r="E36" s="259"/>
      <c r="F36" s="259"/>
      <c r="G36" s="259"/>
      <c r="H36" s="259"/>
      <c r="I36" s="260"/>
      <c r="J36" s="259"/>
      <c r="K36" s="259"/>
      <c r="L36" s="259"/>
      <c r="M36" s="259"/>
      <c r="N36" s="259"/>
      <c r="O36" s="259"/>
      <c r="P36" s="259"/>
      <c r="Q36" s="259"/>
      <c r="R36" s="259"/>
      <c r="S36" s="261"/>
      <c r="T36" s="259"/>
      <c r="U36" s="259"/>
      <c r="V36" s="259"/>
      <c r="W36" s="259"/>
      <c r="X36" s="262">
        <f>SUBTOTAL(9,X3:X35)</f>
        <v>0</v>
      </c>
      <c r="Y36" s="20"/>
      <c r="Z36" s="262">
        <f>SUBTOTAL(9,Z3:Z35)</f>
        <v>0</v>
      </c>
      <c r="AA36" s="262">
        <f>SUBTOTAL(9,AA3:AA35)</f>
        <v>0</v>
      </c>
      <c r="AF36" s="309"/>
      <c r="AG36" s="28"/>
      <c r="AH36" s="20"/>
    </row>
    <row r="37" spans="1:346" s="25" customFormat="1" x14ac:dyDescent="0.25">
      <c r="B37" s="323"/>
      <c r="D37" s="328"/>
      <c r="I37" s="57"/>
      <c r="M37" s="57"/>
      <c r="N37" s="27"/>
      <c r="O37" s="27"/>
      <c r="P37" s="27"/>
      <c r="Q37" s="27"/>
      <c r="R37" s="27"/>
      <c r="S37" s="31"/>
      <c r="T37" s="31"/>
      <c r="U37" s="31"/>
      <c r="V37" s="31"/>
      <c r="W37" s="31"/>
      <c r="AF37" s="310"/>
      <c r="AG37" s="28"/>
      <c r="AH37" s="20"/>
    </row>
    <row r="38" spans="1:346" s="25" customFormat="1" x14ac:dyDescent="0.25">
      <c r="B38" s="323"/>
      <c r="D38" s="328"/>
      <c r="I38" s="57"/>
      <c r="M38" s="31"/>
      <c r="N38" s="31"/>
      <c r="O38" s="31"/>
      <c r="P38" s="31"/>
      <c r="Q38" s="31"/>
      <c r="R38" s="31"/>
      <c r="S38" s="31"/>
      <c r="T38" s="33"/>
      <c r="U38" s="33"/>
      <c r="V38" s="33"/>
      <c r="W38" s="33"/>
      <c r="X38" s="31"/>
      <c r="AF38" s="28"/>
      <c r="AG38" s="28"/>
      <c r="AH38" s="20"/>
    </row>
    <row r="39" spans="1:346" s="25" customFormat="1" x14ac:dyDescent="0.25">
      <c r="A39" s="148"/>
      <c r="B39" s="324"/>
      <c r="C39" s="148"/>
      <c r="D39" s="329"/>
      <c r="E39" s="148"/>
      <c r="F39" s="148"/>
      <c r="G39" s="148"/>
      <c r="H39" s="148"/>
      <c r="I39" s="149"/>
      <c r="J39" s="148"/>
      <c r="K39" s="148"/>
      <c r="L39" s="148"/>
      <c r="M39" s="150"/>
      <c r="N39" s="148"/>
      <c r="O39" s="148"/>
      <c r="P39" s="148"/>
      <c r="Q39" s="148"/>
      <c r="R39" s="148"/>
      <c r="S39" s="148"/>
      <c r="T39" s="220"/>
      <c r="U39" s="220"/>
      <c r="V39" s="220"/>
      <c r="W39" s="220"/>
      <c r="X39" s="149"/>
      <c r="AF39" s="28"/>
      <c r="AG39" s="28"/>
      <c r="AH39" s="20"/>
    </row>
    <row r="40" spans="1:346" s="25" customFormat="1" x14ac:dyDescent="0.25">
      <c r="A40" s="428" t="s">
        <v>175</v>
      </c>
      <c r="B40" s="429"/>
      <c r="C40" s="429"/>
      <c r="D40" s="429"/>
      <c r="E40" s="429"/>
      <c r="F40" s="429"/>
      <c r="G40" s="429"/>
      <c r="H40" s="429"/>
      <c r="I40" s="429"/>
      <c r="J40" s="429"/>
      <c r="K40" s="429"/>
      <c r="L40" s="429"/>
      <c r="M40" s="429"/>
      <c r="N40" s="429"/>
      <c r="O40" s="429"/>
      <c r="P40" s="429"/>
      <c r="Q40" s="429"/>
      <c r="R40" s="429"/>
      <c r="S40" s="429"/>
      <c r="T40" s="429"/>
      <c r="U40" s="429"/>
      <c r="V40" s="429"/>
      <c r="W40" s="429"/>
      <c r="X40" s="430"/>
      <c r="Y40" s="20"/>
      <c r="AF40" s="28"/>
      <c r="AG40" s="28"/>
      <c r="AH40" s="20"/>
    </row>
    <row r="41" spans="1:346" s="25" customFormat="1" x14ac:dyDescent="0.25">
      <c r="A41" s="415"/>
      <c r="B41" s="416"/>
      <c r="C41" s="416"/>
      <c r="D41" s="416"/>
      <c r="E41" s="416"/>
      <c r="F41" s="416"/>
      <c r="G41" s="416"/>
      <c r="H41" s="416"/>
      <c r="I41" s="416"/>
      <c r="J41" s="416"/>
      <c r="K41" s="416"/>
      <c r="L41" s="178"/>
      <c r="M41" s="416"/>
      <c r="N41" s="416"/>
      <c r="O41" s="225"/>
      <c r="P41" s="225"/>
      <c r="Q41" s="225"/>
      <c r="R41" s="225"/>
      <c r="S41" s="225"/>
      <c r="T41" s="225"/>
      <c r="U41" s="28"/>
      <c r="V41" s="28"/>
      <c r="W41" s="28"/>
      <c r="X41" s="222"/>
      <c r="Y41" s="20"/>
      <c r="AF41" s="151"/>
      <c r="AG41" s="151"/>
    </row>
    <row r="42" spans="1:346" s="25" customFormat="1" x14ac:dyDescent="0.2">
      <c r="A42" s="425" t="s">
        <v>176</v>
      </c>
      <c r="B42" s="426"/>
      <c r="C42" s="426"/>
      <c r="D42" s="426"/>
      <c r="E42" s="426"/>
      <c r="F42" s="426"/>
      <c r="G42" s="426"/>
      <c r="H42" s="426"/>
      <c r="I42" s="426"/>
      <c r="J42" s="426"/>
      <c r="K42" s="426"/>
      <c r="L42" s="181"/>
      <c r="M42" s="153" t="s">
        <v>177</v>
      </c>
      <c r="N42" s="55"/>
      <c r="O42" s="74"/>
      <c r="P42" s="74"/>
      <c r="Q42" s="74"/>
      <c r="R42" s="74"/>
      <c r="S42" s="74"/>
      <c r="T42" s="74"/>
      <c r="U42" s="28"/>
      <c r="V42" s="28"/>
      <c r="W42" s="28"/>
      <c r="X42" s="222"/>
      <c r="Y42" s="20"/>
    </row>
    <row r="43" spans="1:346" s="25" customFormat="1" x14ac:dyDescent="0.25">
      <c r="A43" s="254" t="s">
        <v>178</v>
      </c>
      <c r="B43" s="178"/>
      <c r="C43" s="6"/>
      <c r="D43" s="182"/>
      <c r="E43" s="6"/>
      <c r="F43" s="6"/>
      <c r="G43" s="6"/>
      <c r="H43" s="6"/>
      <c r="I43" s="6"/>
      <c r="J43" s="6"/>
      <c r="K43" s="6"/>
      <c r="L43" s="182"/>
      <c r="M43" s="6" t="s">
        <v>179</v>
      </c>
      <c r="N43" s="6"/>
      <c r="O43" s="74"/>
      <c r="P43" s="74"/>
      <c r="Q43" s="74"/>
      <c r="R43" s="74"/>
      <c r="S43" s="74"/>
      <c r="T43" s="74"/>
      <c r="U43" s="28"/>
      <c r="V43" s="28"/>
      <c r="W43" s="28"/>
      <c r="X43" s="222"/>
      <c r="Y43" s="20"/>
    </row>
    <row r="44" spans="1:346" s="25" customFormat="1" x14ac:dyDescent="0.25">
      <c r="A44" s="254"/>
      <c r="B44" s="178"/>
      <c r="C44" s="6"/>
      <c r="D44" s="182"/>
      <c r="E44" s="6"/>
      <c r="F44" s="6"/>
      <c r="G44" s="6"/>
      <c r="H44" s="6"/>
      <c r="I44" s="6"/>
      <c r="J44" s="6"/>
      <c r="K44" s="6"/>
      <c r="L44" s="182"/>
      <c r="M44" s="6" t="s">
        <v>180</v>
      </c>
      <c r="N44" s="6"/>
      <c r="O44" s="74"/>
      <c r="P44" s="74"/>
      <c r="Q44" s="74"/>
      <c r="R44" s="74"/>
      <c r="S44" s="74"/>
      <c r="T44" s="74"/>
      <c r="U44" s="28"/>
      <c r="V44" s="28"/>
      <c r="W44" s="28"/>
      <c r="X44" s="222"/>
      <c r="Y44" s="20"/>
    </row>
    <row r="45" spans="1:346" s="25" customFormat="1" x14ac:dyDescent="0.25">
      <c r="A45" s="425" t="s">
        <v>181</v>
      </c>
      <c r="B45" s="426"/>
      <c r="C45" s="426"/>
      <c r="D45" s="426"/>
      <c r="E45" s="426"/>
      <c r="F45" s="426"/>
      <c r="G45" s="426"/>
      <c r="H45" s="426"/>
      <c r="I45" s="426"/>
      <c r="J45" s="426"/>
      <c r="K45" s="426"/>
      <c r="L45" s="181"/>
      <c r="M45" s="6" t="s">
        <v>182</v>
      </c>
      <c r="N45" s="6"/>
      <c r="O45" s="74"/>
      <c r="P45" s="74"/>
      <c r="Q45" s="74"/>
      <c r="R45" s="74"/>
      <c r="S45" s="74"/>
      <c r="T45" s="74"/>
      <c r="U45" s="28"/>
      <c r="V45" s="28"/>
      <c r="W45" s="28"/>
      <c r="X45" s="222"/>
      <c r="Y45" s="20"/>
    </row>
    <row r="46" spans="1:346" s="25" customFormat="1" x14ac:dyDescent="0.25">
      <c r="A46" s="427" t="s">
        <v>183</v>
      </c>
      <c r="B46" s="417"/>
      <c r="C46" s="417"/>
      <c r="D46" s="417"/>
      <c r="E46" s="417"/>
      <c r="F46" s="417"/>
      <c r="G46" s="417"/>
      <c r="H46" s="417"/>
      <c r="I46" s="417"/>
      <c r="J46" s="417"/>
      <c r="K46" s="417"/>
      <c r="L46" s="182"/>
      <c r="M46" s="6" t="s">
        <v>184</v>
      </c>
      <c r="N46" s="6"/>
      <c r="O46" s="74"/>
      <c r="P46" s="74"/>
      <c r="Q46" s="74"/>
      <c r="R46" s="74"/>
      <c r="S46" s="74"/>
      <c r="T46" s="74"/>
      <c r="U46" s="28"/>
      <c r="V46" s="28"/>
      <c r="W46" s="28"/>
      <c r="X46" s="222"/>
      <c r="Y46" s="20"/>
    </row>
    <row r="47" spans="1:346" s="25" customFormat="1" x14ac:dyDescent="0.25">
      <c r="A47" s="415"/>
      <c r="B47" s="416"/>
      <c r="C47" s="416"/>
      <c r="D47" s="416"/>
      <c r="E47" s="416"/>
      <c r="F47" s="416"/>
      <c r="G47" s="416"/>
      <c r="H47" s="416"/>
      <c r="I47" s="416"/>
      <c r="J47" s="416"/>
      <c r="K47" s="416"/>
      <c r="L47" s="178"/>
      <c r="M47" s="6" t="s">
        <v>185</v>
      </c>
      <c r="N47" s="6"/>
      <c r="O47" s="74"/>
      <c r="P47" s="74"/>
      <c r="Q47" s="74"/>
      <c r="R47" s="74"/>
      <c r="S47" s="74"/>
      <c r="T47" s="74"/>
      <c r="U47" s="28"/>
      <c r="V47" s="28"/>
      <c r="W47" s="28"/>
      <c r="X47" s="222"/>
      <c r="Y47" s="20"/>
    </row>
    <row r="48" spans="1:346" s="25" customFormat="1" x14ac:dyDescent="0.25">
      <c r="A48" s="425" t="s">
        <v>186</v>
      </c>
      <c r="B48" s="426"/>
      <c r="C48" s="426"/>
      <c r="D48" s="426"/>
      <c r="E48" s="426"/>
      <c r="F48" s="426"/>
      <c r="G48" s="426"/>
      <c r="H48" s="426"/>
      <c r="I48" s="426"/>
      <c r="J48" s="426"/>
      <c r="K48" s="426"/>
      <c r="L48" s="181"/>
      <c r="M48" s="6" t="s">
        <v>187</v>
      </c>
      <c r="N48" s="6"/>
      <c r="O48" s="74"/>
      <c r="P48" s="74"/>
      <c r="Q48" s="74"/>
      <c r="R48" s="74"/>
      <c r="S48" s="74"/>
      <c r="T48" s="74"/>
      <c r="U48" s="28"/>
      <c r="V48" s="28"/>
      <c r="W48" s="28"/>
      <c r="X48" s="222"/>
      <c r="Y48" s="20"/>
    </row>
    <row r="49" spans="1:25" s="25" customFormat="1" x14ac:dyDescent="0.25">
      <c r="A49" s="412" t="s">
        <v>188</v>
      </c>
      <c r="B49" s="413"/>
      <c r="C49" s="312"/>
      <c r="D49" s="330"/>
      <c r="E49" s="421" t="s">
        <v>189</v>
      </c>
      <c r="F49" s="421"/>
      <c r="G49" s="421"/>
      <c r="H49" s="421"/>
      <c r="I49" s="421"/>
      <c r="J49" s="421"/>
      <c r="K49" s="421"/>
      <c r="L49" s="179"/>
      <c r="M49" s="417"/>
      <c r="N49" s="417"/>
      <c r="O49" s="74"/>
      <c r="P49" s="74"/>
      <c r="Q49" s="74"/>
      <c r="R49" s="74"/>
      <c r="S49" s="74"/>
      <c r="T49" s="74"/>
      <c r="U49" s="28"/>
      <c r="V49" s="28"/>
      <c r="W49" s="28"/>
      <c r="X49" s="222"/>
      <c r="Y49" s="20"/>
    </row>
    <row r="50" spans="1:25" s="25" customFormat="1" x14ac:dyDescent="0.25">
      <c r="A50" s="419"/>
      <c r="B50" s="420"/>
      <c r="C50" s="26"/>
      <c r="D50" s="179"/>
      <c r="E50" s="421" t="s">
        <v>190</v>
      </c>
      <c r="F50" s="421"/>
      <c r="G50" s="421"/>
      <c r="H50" s="421"/>
      <c r="I50" s="421"/>
      <c r="J50" s="421"/>
      <c r="K50" s="421"/>
      <c r="L50" s="179"/>
      <c r="M50" s="153" t="s">
        <v>191</v>
      </c>
      <c r="N50" s="153"/>
      <c r="O50" s="74"/>
      <c r="P50" s="74"/>
      <c r="Q50" s="74"/>
      <c r="R50" s="74"/>
      <c r="S50" s="74"/>
      <c r="T50" s="74"/>
      <c r="U50" s="28"/>
      <c r="V50" s="28"/>
      <c r="W50" s="28"/>
      <c r="X50" s="222"/>
      <c r="Y50" s="20"/>
    </row>
    <row r="51" spans="1:25" s="25" customFormat="1" x14ac:dyDescent="0.25">
      <c r="A51" s="419"/>
      <c r="B51" s="420"/>
      <c r="C51" s="26"/>
      <c r="D51" s="179"/>
      <c r="E51" s="421" t="s">
        <v>192</v>
      </c>
      <c r="F51" s="421"/>
      <c r="G51" s="421"/>
      <c r="H51" s="421"/>
      <c r="I51" s="421"/>
      <c r="J51" s="421"/>
      <c r="K51" s="421"/>
      <c r="L51" s="179"/>
      <c r="M51" s="6" t="s">
        <v>193</v>
      </c>
      <c r="N51" s="6"/>
      <c r="O51" s="74"/>
      <c r="P51" s="74"/>
      <c r="Q51" s="74"/>
      <c r="R51" s="74"/>
      <c r="S51" s="74"/>
      <c r="T51" s="74"/>
      <c r="U51" s="28"/>
      <c r="V51" s="28"/>
      <c r="W51" s="28"/>
      <c r="X51" s="222"/>
      <c r="Y51" s="20"/>
    </row>
    <row r="52" spans="1:25" s="25" customFormat="1" x14ac:dyDescent="0.25">
      <c r="A52" s="419"/>
      <c r="B52" s="420"/>
      <c r="C52" s="26"/>
      <c r="D52" s="179"/>
      <c r="E52" s="422" t="s">
        <v>194</v>
      </c>
      <c r="F52" s="422"/>
      <c r="G52" s="422"/>
      <c r="H52" s="422"/>
      <c r="I52" s="422"/>
      <c r="J52" s="422"/>
      <c r="K52" s="422"/>
      <c r="L52" s="180"/>
      <c r="M52" s="6" t="s">
        <v>180</v>
      </c>
      <c r="N52" s="6"/>
      <c r="O52" s="74"/>
      <c r="P52" s="74"/>
      <c r="Q52" s="74"/>
      <c r="R52" s="74"/>
      <c r="S52" s="74"/>
      <c r="T52" s="74"/>
      <c r="U52" s="28"/>
      <c r="V52" s="28"/>
      <c r="W52" s="28"/>
      <c r="X52" s="222"/>
      <c r="Y52" s="20"/>
    </row>
    <row r="53" spans="1:25" s="25" customFormat="1" x14ac:dyDescent="0.25">
      <c r="A53" s="412" t="s">
        <v>195</v>
      </c>
      <c r="B53" s="413"/>
      <c r="C53" s="312"/>
      <c r="D53" s="330"/>
      <c r="E53" s="421" t="s">
        <v>196</v>
      </c>
      <c r="F53" s="421"/>
      <c r="G53" s="421"/>
      <c r="H53" s="421"/>
      <c r="I53" s="421"/>
      <c r="J53" s="421"/>
      <c r="K53" s="421"/>
      <c r="L53" s="179"/>
      <c r="M53" s="6" t="s">
        <v>197</v>
      </c>
      <c r="N53" s="6"/>
      <c r="O53" s="74"/>
      <c r="P53" s="74"/>
      <c r="Q53" s="74"/>
      <c r="R53" s="74"/>
      <c r="S53" s="74"/>
      <c r="T53" s="74"/>
      <c r="U53" s="28"/>
      <c r="V53" s="28"/>
      <c r="W53" s="28"/>
      <c r="X53" s="222"/>
      <c r="Y53" s="20"/>
    </row>
    <row r="54" spans="1:25" s="25" customFormat="1" x14ac:dyDescent="0.25">
      <c r="A54" s="412" t="s">
        <v>198</v>
      </c>
      <c r="B54" s="413"/>
      <c r="C54" s="312"/>
      <c r="D54" s="330"/>
      <c r="E54" s="414" t="s">
        <v>199</v>
      </c>
      <c r="F54" s="414"/>
      <c r="G54" s="414"/>
      <c r="H54" s="414"/>
      <c r="I54" s="414"/>
      <c r="J54" s="414"/>
      <c r="K54" s="414"/>
      <c r="L54" s="179"/>
      <c r="M54" s="6" t="s">
        <v>200</v>
      </c>
      <c r="N54" s="6"/>
      <c r="O54" s="74"/>
      <c r="P54" s="74"/>
      <c r="Q54" s="74"/>
      <c r="R54" s="74"/>
      <c r="S54" s="74"/>
      <c r="T54" s="74"/>
      <c r="U54" s="28"/>
      <c r="V54" s="28"/>
      <c r="W54" s="28"/>
      <c r="X54" s="222"/>
      <c r="Y54" s="20"/>
    </row>
    <row r="55" spans="1:25" s="25" customFormat="1" x14ac:dyDescent="0.25">
      <c r="A55" s="415"/>
      <c r="B55" s="416"/>
      <c r="C55" s="416"/>
      <c r="D55" s="416"/>
      <c r="E55" s="416"/>
      <c r="F55" s="416"/>
      <c r="G55" s="416"/>
      <c r="H55" s="416"/>
      <c r="I55" s="416"/>
      <c r="J55" s="416"/>
      <c r="K55" s="416"/>
      <c r="L55" s="178"/>
      <c r="M55" s="6" t="s">
        <v>185</v>
      </c>
      <c r="N55" s="6"/>
      <c r="O55" s="74"/>
      <c r="P55" s="74"/>
      <c r="Q55" s="74"/>
      <c r="R55" s="74"/>
      <c r="S55" s="74"/>
      <c r="T55" s="74"/>
      <c r="U55" s="28"/>
      <c r="V55" s="28"/>
      <c r="W55" s="28"/>
      <c r="X55" s="222"/>
      <c r="Y55" s="20"/>
    </row>
    <row r="56" spans="1:25" s="25" customFormat="1" x14ac:dyDescent="0.25">
      <c r="A56" s="264"/>
      <c r="B56" s="178"/>
      <c r="C56" s="178"/>
      <c r="D56" s="182"/>
      <c r="E56" s="178"/>
      <c r="F56" s="178"/>
      <c r="G56" s="178"/>
      <c r="H56" s="178"/>
      <c r="I56" s="178"/>
      <c r="J56" s="178"/>
      <c r="K56" s="178"/>
      <c r="L56" s="178"/>
      <c r="M56" s="6" t="s">
        <v>201</v>
      </c>
      <c r="N56" s="6"/>
      <c r="O56" s="265"/>
      <c r="P56" s="265"/>
      <c r="Q56" s="265"/>
      <c r="R56" s="265"/>
      <c r="S56" s="265"/>
      <c r="T56" s="265"/>
      <c r="U56" s="28"/>
      <c r="V56" s="28"/>
      <c r="W56" s="28"/>
      <c r="X56" s="222"/>
      <c r="Y56" s="20"/>
    </row>
    <row r="57" spans="1:25" s="25" customFormat="1" x14ac:dyDescent="0.25">
      <c r="A57" s="423"/>
      <c r="B57" s="424"/>
      <c r="C57" s="424"/>
      <c r="D57" s="424"/>
      <c r="E57" s="424"/>
      <c r="F57" s="424"/>
      <c r="G57" s="424"/>
      <c r="H57" s="424"/>
      <c r="I57" s="424"/>
      <c r="J57" s="424"/>
      <c r="K57" s="424"/>
      <c r="L57" s="266"/>
      <c r="M57" s="267" t="s">
        <v>202</v>
      </c>
      <c r="N57" s="268"/>
      <c r="O57" s="221"/>
      <c r="P57" s="221"/>
      <c r="Q57" s="221"/>
      <c r="R57" s="221"/>
      <c r="S57" s="221"/>
      <c r="T57" s="221"/>
      <c r="U57" s="223"/>
      <c r="V57" s="223"/>
      <c r="W57" s="223"/>
      <c r="X57" s="224"/>
      <c r="Y57" s="20"/>
    </row>
    <row r="58" spans="1:25" s="25" customFormat="1" x14ac:dyDescent="0.25">
      <c r="A58" s="151"/>
      <c r="B58" s="325"/>
      <c r="C58" s="151"/>
      <c r="D58" s="331"/>
      <c r="E58" s="151"/>
      <c r="F58" s="151"/>
      <c r="G58" s="151"/>
      <c r="H58" s="151"/>
      <c r="I58" s="152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4"/>
      <c r="U58" s="154"/>
      <c r="V58" s="154"/>
      <c r="W58" s="154"/>
      <c r="X58" s="151"/>
    </row>
    <row r="59" spans="1:25" s="25" customFormat="1" x14ac:dyDescent="0.25">
      <c r="B59" s="323"/>
      <c r="D59" s="328"/>
      <c r="I59" s="57"/>
      <c r="T59" s="20"/>
      <c r="U59" s="20"/>
      <c r="V59" s="20"/>
      <c r="W59" s="20"/>
    </row>
    <row r="60" spans="1:25" s="25" customFormat="1" x14ac:dyDescent="0.25">
      <c r="B60" s="323"/>
      <c r="D60" s="328"/>
      <c r="I60" s="57"/>
      <c r="T60" s="20"/>
      <c r="U60" s="20"/>
      <c r="V60" s="20"/>
      <c r="W60" s="20"/>
    </row>
    <row r="61" spans="1:25" s="25" customFormat="1" x14ac:dyDescent="0.25">
      <c r="B61" s="323"/>
      <c r="D61" s="328"/>
      <c r="I61" s="57"/>
      <c r="T61" s="20"/>
      <c r="U61" s="20"/>
      <c r="V61" s="20"/>
      <c r="W61" s="20"/>
    </row>
    <row r="62" spans="1:25" s="25" customFormat="1" x14ac:dyDescent="0.25">
      <c r="B62" s="323"/>
      <c r="D62" s="328"/>
      <c r="I62" s="57"/>
      <c r="T62" s="20"/>
      <c r="U62" s="20"/>
      <c r="V62" s="20"/>
      <c r="W62" s="20"/>
    </row>
    <row r="63" spans="1:25" s="25" customFormat="1" x14ac:dyDescent="0.25">
      <c r="B63" s="323"/>
      <c r="D63" s="328"/>
      <c r="I63" s="57"/>
      <c r="T63" s="20"/>
      <c r="U63" s="20"/>
      <c r="V63" s="20"/>
      <c r="W63" s="20"/>
    </row>
    <row r="64" spans="1:25" s="25" customFormat="1" x14ac:dyDescent="0.25">
      <c r="B64" s="323"/>
      <c r="D64" s="328"/>
      <c r="I64" s="57"/>
      <c r="T64" s="20"/>
      <c r="U64" s="20"/>
      <c r="V64" s="20"/>
      <c r="W64" s="20"/>
    </row>
    <row r="65" spans="2:23" s="25" customFormat="1" x14ac:dyDescent="0.25">
      <c r="B65" s="323"/>
      <c r="D65" s="328"/>
      <c r="I65" s="57"/>
      <c r="T65" s="20"/>
      <c r="U65" s="20"/>
      <c r="V65" s="20"/>
      <c r="W65" s="20"/>
    </row>
    <row r="66" spans="2:23" s="25" customFormat="1" x14ac:dyDescent="0.25">
      <c r="B66" s="323"/>
      <c r="D66" s="328"/>
      <c r="I66" s="57"/>
      <c r="T66" s="20"/>
      <c r="U66" s="20"/>
      <c r="V66" s="20"/>
      <c r="W66" s="20"/>
    </row>
    <row r="67" spans="2:23" s="25" customFormat="1" x14ac:dyDescent="0.25">
      <c r="B67" s="323"/>
      <c r="D67" s="328"/>
      <c r="I67" s="57"/>
      <c r="T67" s="20"/>
      <c r="U67" s="20"/>
      <c r="V67" s="20"/>
      <c r="W67" s="20"/>
    </row>
    <row r="68" spans="2:23" s="25" customFormat="1" x14ac:dyDescent="0.25">
      <c r="B68" s="323"/>
      <c r="D68" s="328"/>
      <c r="I68" s="57"/>
      <c r="T68" s="20"/>
      <c r="U68" s="20"/>
      <c r="V68" s="20"/>
      <c r="W68" s="20"/>
    </row>
    <row r="69" spans="2:23" s="25" customFormat="1" x14ac:dyDescent="0.25">
      <c r="B69" s="323"/>
      <c r="D69" s="328"/>
      <c r="I69" s="57"/>
      <c r="T69" s="20"/>
      <c r="U69" s="20"/>
      <c r="V69" s="20"/>
      <c r="W69" s="20"/>
    </row>
    <row r="70" spans="2:23" s="25" customFormat="1" x14ac:dyDescent="0.25">
      <c r="B70" s="323"/>
      <c r="D70" s="328"/>
      <c r="I70" s="57"/>
      <c r="T70" s="20"/>
      <c r="U70" s="20"/>
      <c r="V70" s="20"/>
      <c r="W70" s="20"/>
    </row>
    <row r="71" spans="2:23" s="25" customFormat="1" x14ac:dyDescent="0.25">
      <c r="B71" s="323"/>
      <c r="D71" s="328"/>
      <c r="G71" s="36"/>
      <c r="H71" s="36"/>
      <c r="I71" s="418"/>
      <c r="J71" s="418"/>
      <c r="K71" s="163"/>
      <c r="L71" s="163"/>
      <c r="M71" s="164"/>
      <c r="N71" s="163"/>
      <c r="O71" s="163"/>
      <c r="P71" s="163"/>
      <c r="Q71" s="163"/>
      <c r="R71" s="163"/>
      <c r="S71" s="164"/>
      <c r="T71" s="164"/>
      <c r="U71" s="164"/>
      <c r="V71" s="164"/>
      <c r="W71" s="164"/>
    </row>
    <row r="72" spans="2:23" s="25" customFormat="1" x14ac:dyDescent="0.25">
      <c r="B72" s="323"/>
      <c r="D72" s="328"/>
      <c r="I72" s="57"/>
      <c r="M72" s="27"/>
      <c r="N72" s="27"/>
      <c r="O72" s="27"/>
      <c r="P72" s="27"/>
      <c r="Q72" s="27"/>
      <c r="R72" s="27"/>
    </row>
    <row r="73" spans="2:23" s="25" customFormat="1" x14ac:dyDescent="0.25">
      <c r="B73" s="323"/>
      <c r="D73" s="328"/>
      <c r="I73" s="57"/>
      <c r="M73" s="27"/>
      <c r="N73" s="27"/>
      <c r="O73" s="27"/>
      <c r="P73" s="27"/>
      <c r="Q73" s="27"/>
      <c r="R73" s="27"/>
    </row>
    <row r="74" spans="2:23" s="25" customFormat="1" x14ac:dyDescent="0.25">
      <c r="B74" s="323"/>
      <c r="D74" s="328"/>
      <c r="I74" s="57"/>
      <c r="M74" s="27"/>
      <c r="N74" s="27"/>
      <c r="O74" s="27"/>
      <c r="P74" s="27"/>
      <c r="Q74" s="27"/>
      <c r="R74" s="27"/>
    </row>
    <row r="75" spans="2:23" s="25" customFormat="1" x14ac:dyDescent="0.25">
      <c r="B75" s="323"/>
      <c r="D75" s="328"/>
      <c r="I75" s="57"/>
      <c r="M75" s="27"/>
      <c r="N75" s="27"/>
      <c r="O75" s="27"/>
      <c r="P75" s="27"/>
      <c r="Q75" s="27"/>
      <c r="R75" s="27"/>
    </row>
    <row r="76" spans="2:23" s="25" customFormat="1" x14ac:dyDescent="0.25">
      <c r="B76" s="323"/>
      <c r="D76" s="328"/>
      <c r="I76" s="57"/>
      <c r="M76" s="27"/>
      <c r="N76" s="27"/>
      <c r="O76" s="27"/>
      <c r="P76" s="27"/>
      <c r="Q76" s="27"/>
      <c r="R76" s="27"/>
    </row>
    <row r="77" spans="2:23" s="25" customFormat="1" x14ac:dyDescent="0.25">
      <c r="B77" s="323"/>
      <c r="D77" s="328"/>
      <c r="I77" s="57"/>
      <c r="M77" s="27"/>
      <c r="N77" s="27"/>
      <c r="O77" s="27"/>
      <c r="P77" s="27"/>
      <c r="Q77" s="27"/>
      <c r="R77" s="27"/>
    </row>
    <row r="78" spans="2:23" s="25" customFormat="1" x14ac:dyDescent="0.25">
      <c r="B78" s="323"/>
      <c r="D78" s="328"/>
      <c r="I78" s="57"/>
      <c r="M78" s="27"/>
      <c r="N78" s="27"/>
      <c r="O78" s="27"/>
      <c r="P78" s="27"/>
      <c r="Q78" s="27"/>
      <c r="R78" s="27"/>
    </row>
    <row r="79" spans="2:23" s="25" customFormat="1" x14ac:dyDescent="0.25">
      <c r="B79" s="323"/>
      <c r="D79" s="328"/>
      <c r="I79" s="57"/>
      <c r="M79" s="27"/>
      <c r="N79" s="27"/>
      <c r="O79" s="27"/>
      <c r="P79" s="27"/>
      <c r="Q79" s="27"/>
      <c r="R79" s="27"/>
    </row>
    <row r="80" spans="2:23" s="25" customFormat="1" x14ac:dyDescent="0.25">
      <c r="B80" s="323"/>
      <c r="D80" s="328"/>
      <c r="I80" s="57"/>
      <c r="M80" s="27"/>
      <c r="N80" s="27"/>
      <c r="O80" s="27"/>
      <c r="P80" s="27"/>
      <c r="Q80" s="27"/>
      <c r="R80" s="27"/>
    </row>
    <row r="81" spans="2:18" s="25" customFormat="1" x14ac:dyDescent="0.25">
      <c r="B81" s="323"/>
      <c r="D81" s="328"/>
      <c r="I81" s="57"/>
      <c r="M81" s="27"/>
      <c r="N81" s="27"/>
      <c r="O81" s="27"/>
      <c r="P81" s="27"/>
      <c r="Q81" s="27"/>
      <c r="R81" s="27"/>
    </row>
    <row r="82" spans="2:18" s="25" customFormat="1" x14ac:dyDescent="0.25">
      <c r="B82" s="323"/>
      <c r="D82" s="328"/>
      <c r="I82" s="57"/>
      <c r="M82" s="27"/>
      <c r="N82" s="27"/>
      <c r="O82" s="27"/>
      <c r="P82" s="27"/>
      <c r="Q82" s="27"/>
      <c r="R82" s="27"/>
    </row>
    <row r="83" spans="2:18" s="25" customFormat="1" x14ac:dyDescent="0.25">
      <c r="B83" s="323"/>
      <c r="D83" s="328"/>
      <c r="I83" s="57"/>
      <c r="M83" s="27"/>
      <c r="N83" s="27"/>
      <c r="O83" s="27"/>
      <c r="P83" s="27"/>
      <c r="Q83" s="27"/>
      <c r="R83" s="27"/>
    </row>
    <row r="84" spans="2:18" s="25" customFormat="1" x14ac:dyDescent="0.25">
      <c r="B84" s="323"/>
      <c r="D84" s="328"/>
      <c r="I84" s="57"/>
      <c r="M84" s="27"/>
      <c r="N84" s="27"/>
      <c r="O84" s="27"/>
      <c r="P84" s="27"/>
      <c r="Q84" s="27"/>
      <c r="R84" s="27"/>
    </row>
    <row r="85" spans="2:18" s="25" customFormat="1" x14ac:dyDescent="0.25">
      <c r="B85" s="323"/>
      <c r="D85" s="328"/>
      <c r="I85" s="57"/>
      <c r="M85" s="27"/>
      <c r="N85" s="27"/>
      <c r="O85" s="27"/>
      <c r="P85" s="27"/>
      <c r="Q85" s="27"/>
      <c r="R85" s="27"/>
    </row>
    <row r="86" spans="2:18" s="25" customFormat="1" x14ac:dyDescent="0.25">
      <c r="B86" s="323"/>
      <c r="D86" s="328"/>
      <c r="I86" s="57"/>
      <c r="M86" s="27"/>
      <c r="N86" s="27"/>
      <c r="O86" s="27"/>
      <c r="P86" s="27"/>
      <c r="Q86" s="27"/>
      <c r="R86" s="27"/>
    </row>
    <row r="87" spans="2:18" s="25" customFormat="1" x14ac:dyDescent="0.25">
      <c r="B87" s="323"/>
      <c r="D87" s="328"/>
      <c r="I87" s="57"/>
      <c r="M87" s="27"/>
      <c r="N87" s="27"/>
      <c r="O87" s="27"/>
      <c r="P87" s="27"/>
      <c r="Q87" s="27"/>
      <c r="R87" s="27"/>
    </row>
    <row r="88" spans="2:18" s="25" customFormat="1" x14ac:dyDescent="0.25">
      <c r="B88" s="323"/>
      <c r="D88" s="328"/>
      <c r="I88" s="57"/>
      <c r="M88" s="27"/>
      <c r="N88" s="27"/>
      <c r="O88" s="27"/>
      <c r="P88" s="27"/>
      <c r="Q88" s="27"/>
      <c r="R88" s="27"/>
    </row>
    <row r="89" spans="2:18" s="25" customFormat="1" x14ac:dyDescent="0.25">
      <c r="B89" s="323"/>
      <c r="D89" s="328"/>
      <c r="I89" s="57"/>
      <c r="M89" s="27"/>
      <c r="N89" s="27"/>
      <c r="O89" s="27"/>
      <c r="P89" s="27"/>
      <c r="Q89" s="27"/>
      <c r="R89" s="27"/>
    </row>
    <row r="90" spans="2:18" s="25" customFormat="1" x14ac:dyDescent="0.25">
      <c r="B90" s="323"/>
      <c r="D90" s="328"/>
      <c r="I90" s="57"/>
      <c r="M90" s="27"/>
      <c r="N90" s="27"/>
      <c r="O90" s="27"/>
      <c r="P90" s="27"/>
      <c r="Q90" s="27"/>
      <c r="R90" s="27"/>
    </row>
    <row r="91" spans="2:18" s="25" customFormat="1" x14ac:dyDescent="0.25">
      <c r="B91" s="323"/>
      <c r="D91" s="328"/>
      <c r="I91" s="57"/>
      <c r="M91" s="27"/>
      <c r="N91" s="27"/>
      <c r="O91" s="27"/>
      <c r="P91" s="27"/>
      <c r="Q91" s="27"/>
      <c r="R91" s="27"/>
    </row>
    <row r="92" spans="2:18" s="25" customFormat="1" x14ac:dyDescent="0.25">
      <c r="B92" s="323"/>
      <c r="D92" s="328"/>
      <c r="I92" s="57"/>
      <c r="M92" s="27"/>
      <c r="N92" s="27"/>
      <c r="O92" s="27"/>
      <c r="P92" s="27"/>
      <c r="Q92" s="27"/>
      <c r="R92" s="27"/>
    </row>
    <row r="93" spans="2:18" s="25" customFormat="1" x14ac:dyDescent="0.25">
      <c r="B93" s="323"/>
      <c r="D93" s="328"/>
      <c r="I93" s="57"/>
      <c r="M93" s="27"/>
      <c r="N93" s="27"/>
      <c r="O93" s="27"/>
      <c r="P93" s="27"/>
      <c r="Q93" s="27"/>
      <c r="R93" s="27"/>
    </row>
    <row r="94" spans="2:18" s="25" customFormat="1" x14ac:dyDescent="0.25">
      <c r="B94" s="323"/>
      <c r="D94" s="328"/>
      <c r="I94" s="57"/>
      <c r="M94" s="27"/>
      <c r="N94" s="27"/>
      <c r="O94" s="27"/>
      <c r="P94" s="27"/>
      <c r="Q94" s="27"/>
      <c r="R94" s="27"/>
    </row>
    <row r="95" spans="2:18" s="25" customFormat="1" x14ac:dyDescent="0.25">
      <c r="B95" s="323"/>
      <c r="D95" s="328"/>
      <c r="I95" s="57"/>
      <c r="M95" s="27"/>
      <c r="N95" s="27"/>
      <c r="O95" s="27"/>
      <c r="P95" s="27"/>
      <c r="Q95" s="27"/>
      <c r="R95" s="27"/>
    </row>
    <row r="96" spans="2:18" s="25" customFormat="1" x14ac:dyDescent="0.25">
      <c r="B96" s="323"/>
      <c r="D96" s="328"/>
      <c r="I96" s="57"/>
      <c r="M96" s="27"/>
      <c r="N96" s="27"/>
      <c r="O96" s="27"/>
      <c r="P96" s="27"/>
      <c r="Q96" s="27"/>
      <c r="R96" s="27"/>
    </row>
    <row r="97" spans="2:18" s="25" customFormat="1" x14ac:dyDescent="0.25">
      <c r="B97" s="323"/>
      <c r="D97" s="328"/>
      <c r="I97" s="57"/>
      <c r="M97" s="27"/>
      <c r="N97" s="27"/>
      <c r="O97" s="27"/>
      <c r="P97" s="27"/>
      <c r="Q97" s="27"/>
      <c r="R97" s="27"/>
    </row>
    <row r="98" spans="2:18" s="25" customFormat="1" x14ac:dyDescent="0.25">
      <c r="B98" s="323"/>
      <c r="D98" s="328"/>
      <c r="I98" s="57"/>
      <c r="M98" s="27"/>
      <c r="N98" s="27"/>
      <c r="O98" s="27"/>
      <c r="P98" s="27"/>
      <c r="Q98" s="27"/>
      <c r="R98" s="27"/>
    </row>
    <row r="99" spans="2:18" s="25" customFormat="1" x14ac:dyDescent="0.25">
      <c r="B99" s="323"/>
      <c r="D99" s="328"/>
      <c r="I99" s="57"/>
      <c r="M99" s="27"/>
      <c r="N99" s="27"/>
      <c r="O99" s="27"/>
      <c r="P99" s="27"/>
      <c r="Q99" s="27"/>
      <c r="R99" s="27"/>
    </row>
    <row r="100" spans="2:18" s="25" customFormat="1" x14ac:dyDescent="0.25">
      <c r="B100" s="323"/>
      <c r="D100" s="328"/>
      <c r="I100" s="57"/>
      <c r="M100" s="27"/>
      <c r="N100" s="27"/>
      <c r="O100" s="27"/>
      <c r="P100" s="27"/>
      <c r="Q100" s="27"/>
      <c r="R100" s="27"/>
    </row>
    <row r="101" spans="2:18" s="25" customFormat="1" x14ac:dyDescent="0.25">
      <c r="B101" s="323"/>
      <c r="D101" s="328"/>
      <c r="I101" s="57"/>
      <c r="M101" s="27"/>
      <c r="N101" s="27"/>
      <c r="O101" s="27"/>
      <c r="P101" s="27"/>
      <c r="Q101" s="27"/>
      <c r="R101" s="27"/>
    </row>
    <row r="102" spans="2:18" s="25" customFormat="1" x14ac:dyDescent="0.25">
      <c r="B102" s="323"/>
      <c r="D102" s="328"/>
      <c r="I102" s="57"/>
      <c r="M102" s="27"/>
      <c r="N102" s="27"/>
      <c r="O102" s="27"/>
      <c r="P102" s="27"/>
      <c r="Q102" s="27"/>
      <c r="R102" s="27"/>
    </row>
    <row r="103" spans="2:18" s="25" customFormat="1" x14ac:dyDescent="0.25">
      <c r="B103" s="323"/>
      <c r="D103" s="328"/>
      <c r="I103" s="57"/>
      <c r="M103" s="27"/>
      <c r="N103" s="27"/>
      <c r="O103" s="27"/>
      <c r="P103" s="27"/>
      <c r="Q103" s="27"/>
      <c r="R103" s="27"/>
    </row>
    <row r="104" spans="2:18" s="25" customFormat="1" x14ac:dyDescent="0.25">
      <c r="B104" s="323"/>
      <c r="D104" s="328"/>
      <c r="I104" s="57"/>
      <c r="M104" s="27"/>
      <c r="N104" s="27"/>
      <c r="O104" s="27"/>
      <c r="P104" s="27"/>
      <c r="Q104" s="27"/>
      <c r="R104" s="27"/>
    </row>
    <row r="105" spans="2:18" s="25" customFormat="1" x14ac:dyDescent="0.25">
      <c r="B105" s="323"/>
      <c r="D105" s="328"/>
      <c r="I105" s="57"/>
      <c r="M105" s="27"/>
      <c r="N105" s="27"/>
      <c r="O105" s="27"/>
      <c r="P105" s="27"/>
      <c r="Q105" s="27"/>
      <c r="R105" s="27"/>
    </row>
    <row r="106" spans="2:18" s="25" customFormat="1" x14ac:dyDescent="0.25">
      <c r="B106" s="323"/>
      <c r="D106" s="328"/>
      <c r="I106" s="57"/>
      <c r="M106" s="27"/>
      <c r="N106" s="27"/>
      <c r="O106" s="27"/>
      <c r="P106" s="27"/>
      <c r="Q106" s="27"/>
      <c r="R106" s="27"/>
    </row>
    <row r="107" spans="2:18" s="25" customFormat="1" x14ac:dyDescent="0.25">
      <c r="B107" s="323"/>
      <c r="D107" s="328"/>
      <c r="I107" s="57"/>
      <c r="M107" s="27"/>
      <c r="N107" s="27"/>
      <c r="O107" s="27"/>
      <c r="P107" s="27"/>
      <c r="Q107" s="27"/>
      <c r="R107" s="27"/>
    </row>
    <row r="108" spans="2:18" s="25" customFormat="1" x14ac:dyDescent="0.25">
      <c r="B108" s="323"/>
      <c r="D108" s="328"/>
      <c r="I108" s="57"/>
      <c r="M108" s="27"/>
      <c r="N108" s="27"/>
      <c r="O108" s="27"/>
      <c r="P108" s="27"/>
      <c r="Q108" s="27"/>
      <c r="R108" s="27"/>
    </row>
    <row r="109" spans="2:18" s="25" customFormat="1" x14ac:dyDescent="0.25">
      <c r="B109" s="323"/>
      <c r="D109" s="328"/>
      <c r="I109" s="57"/>
      <c r="M109" s="27"/>
      <c r="N109" s="27"/>
      <c r="O109" s="27"/>
      <c r="P109" s="27"/>
      <c r="Q109" s="27"/>
      <c r="R109" s="27"/>
    </row>
    <row r="110" spans="2:18" s="25" customFormat="1" x14ac:dyDescent="0.25">
      <c r="B110" s="323"/>
      <c r="D110" s="328"/>
      <c r="I110" s="57"/>
      <c r="M110" s="27"/>
      <c r="N110" s="27"/>
      <c r="O110" s="27"/>
      <c r="P110" s="27"/>
      <c r="Q110" s="27"/>
      <c r="R110" s="27"/>
    </row>
    <row r="111" spans="2:18" s="25" customFormat="1" x14ac:dyDescent="0.25">
      <c r="B111" s="323"/>
      <c r="D111" s="328"/>
      <c r="I111" s="57"/>
      <c r="M111" s="27"/>
      <c r="N111" s="27"/>
      <c r="O111" s="27"/>
      <c r="P111" s="27"/>
      <c r="Q111" s="27"/>
      <c r="R111" s="27"/>
    </row>
    <row r="112" spans="2:18" s="25" customFormat="1" x14ac:dyDescent="0.25">
      <c r="B112" s="323"/>
      <c r="D112" s="328"/>
      <c r="I112" s="57"/>
      <c r="M112" s="27"/>
      <c r="N112" s="27"/>
      <c r="O112" s="27"/>
      <c r="P112" s="27"/>
      <c r="Q112" s="27"/>
      <c r="R112" s="27"/>
    </row>
    <row r="113" spans="2:18" s="25" customFormat="1" x14ac:dyDescent="0.25">
      <c r="B113" s="323"/>
      <c r="D113" s="328"/>
      <c r="I113" s="57"/>
      <c r="M113" s="27"/>
      <c r="N113" s="27"/>
      <c r="O113" s="27"/>
      <c r="P113" s="27"/>
      <c r="Q113" s="27"/>
      <c r="R113" s="27"/>
    </row>
    <row r="114" spans="2:18" s="25" customFormat="1" x14ac:dyDescent="0.25">
      <c r="B114" s="323"/>
      <c r="D114" s="328"/>
      <c r="I114" s="57"/>
      <c r="M114" s="27"/>
      <c r="N114" s="27"/>
      <c r="O114" s="27"/>
      <c r="P114" s="27"/>
      <c r="Q114" s="27"/>
      <c r="R114" s="27"/>
    </row>
    <row r="115" spans="2:18" s="25" customFormat="1" x14ac:dyDescent="0.25">
      <c r="B115" s="323"/>
      <c r="D115" s="328"/>
      <c r="I115" s="57"/>
      <c r="M115" s="27"/>
      <c r="N115" s="27"/>
      <c r="O115" s="27"/>
      <c r="P115" s="27"/>
      <c r="Q115" s="27"/>
      <c r="R115" s="27"/>
    </row>
    <row r="116" spans="2:18" s="25" customFormat="1" x14ac:dyDescent="0.25">
      <c r="B116" s="323"/>
      <c r="D116" s="328"/>
      <c r="I116" s="57"/>
      <c r="M116" s="27"/>
      <c r="N116" s="27"/>
      <c r="O116" s="27"/>
      <c r="P116" s="27"/>
      <c r="Q116" s="27"/>
      <c r="R116" s="27"/>
    </row>
    <row r="117" spans="2:18" s="25" customFormat="1" x14ac:dyDescent="0.25">
      <c r="B117" s="323"/>
      <c r="D117" s="328"/>
      <c r="I117" s="57"/>
      <c r="M117" s="27"/>
      <c r="N117" s="27"/>
      <c r="O117" s="27"/>
      <c r="P117" s="27"/>
      <c r="Q117" s="27"/>
      <c r="R117" s="27"/>
    </row>
    <row r="118" spans="2:18" s="25" customFormat="1" x14ac:dyDescent="0.25">
      <c r="B118" s="323"/>
      <c r="D118" s="328"/>
      <c r="I118" s="57"/>
      <c r="M118" s="27"/>
      <c r="N118" s="27"/>
      <c r="O118" s="27"/>
      <c r="P118" s="27"/>
      <c r="Q118" s="27"/>
      <c r="R118" s="27"/>
    </row>
    <row r="119" spans="2:18" s="25" customFormat="1" x14ac:dyDescent="0.25">
      <c r="B119" s="323"/>
      <c r="D119" s="328"/>
      <c r="I119" s="57"/>
      <c r="M119" s="27"/>
      <c r="N119" s="27"/>
      <c r="O119" s="27"/>
      <c r="P119" s="27"/>
      <c r="Q119" s="27"/>
      <c r="R119" s="27"/>
    </row>
    <row r="120" spans="2:18" s="25" customFormat="1" x14ac:dyDescent="0.25">
      <c r="B120" s="323"/>
      <c r="D120" s="328"/>
      <c r="I120" s="57"/>
      <c r="M120" s="27"/>
      <c r="N120" s="27"/>
      <c r="O120" s="27"/>
      <c r="P120" s="27"/>
      <c r="Q120" s="27"/>
      <c r="R120" s="27"/>
    </row>
    <row r="121" spans="2:18" s="25" customFormat="1" x14ac:dyDescent="0.25">
      <c r="B121" s="323"/>
      <c r="D121" s="328"/>
      <c r="I121" s="57"/>
      <c r="M121" s="27"/>
      <c r="N121" s="27"/>
      <c r="O121" s="27"/>
      <c r="P121" s="27"/>
      <c r="Q121" s="27"/>
      <c r="R121" s="27"/>
    </row>
    <row r="122" spans="2:18" s="25" customFormat="1" x14ac:dyDescent="0.25">
      <c r="B122" s="323"/>
      <c r="D122" s="328"/>
      <c r="I122" s="57"/>
      <c r="M122" s="27"/>
      <c r="N122" s="27"/>
      <c r="O122" s="27"/>
      <c r="P122" s="27"/>
      <c r="Q122" s="27"/>
      <c r="R122" s="27"/>
    </row>
    <row r="123" spans="2:18" s="25" customFormat="1" x14ac:dyDescent="0.25">
      <c r="B123" s="323"/>
      <c r="D123" s="328"/>
      <c r="I123" s="57"/>
      <c r="M123" s="27"/>
      <c r="N123" s="27"/>
      <c r="O123" s="27"/>
      <c r="P123" s="27"/>
      <c r="Q123" s="27"/>
      <c r="R123" s="27"/>
    </row>
    <row r="124" spans="2:18" s="25" customFormat="1" x14ac:dyDescent="0.25">
      <c r="B124" s="323"/>
      <c r="D124" s="328"/>
      <c r="I124" s="57"/>
      <c r="M124" s="27"/>
      <c r="N124" s="27"/>
      <c r="O124" s="27"/>
      <c r="P124" s="27"/>
      <c r="Q124" s="27"/>
      <c r="R124" s="27"/>
    </row>
    <row r="125" spans="2:18" s="25" customFormat="1" x14ac:dyDescent="0.25">
      <c r="B125" s="323"/>
      <c r="D125" s="328"/>
      <c r="I125" s="57"/>
      <c r="M125" s="27"/>
      <c r="N125" s="27"/>
      <c r="O125" s="27"/>
      <c r="P125" s="27"/>
      <c r="Q125" s="27"/>
      <c r="R125" s="27"/>
    </row>
    <row r="126" spans="2:18" s="25" customFormat="1" x14ac:dyDescent="0.25">
      <c r="B126" s="323"/>
      <c r="D126" s="328"/>
      <c r="I126" s="57"/>
      <c r="M126" s="27"/>
      <c r="N126" s="27"/>
      <c r="O126" s="27"/>
      <c r="P126" s="27"/>
      <c r="Q126" s="27"/>
      <c r="R126" s="27"/>
    </row>
    <row r="127" spans="2:18" s="25" customFormat="1" x14ac:dyDescent="0.25">
      <c r="B127" s="323"/>
      <c r="D127" s="328"/>
      <c r="I127" s="57"/>
      <c r="M127" s="27"/>
      <c r="N127" s="27"/>
      <c r="O127" s="27"/>
      <c r="P127" s="27"/>
      <c r="Q127" s="27"/>
      <c r="R127" s="27"/>
    </row>
    <row r="128" spans="2:18" s="25" customFormat="1" x14ac:dyDescent="0.25">
      <c r="B128" s="323"/>
      <c r="D128" s="328"/>
      <c r="I128" s="57"/>
      <c r="M128" s="27"/>
      <c r="N128" s="27"/>
      <c r="O128" s="27"/>
      <c r="P128" s="27"/>
      <c r="Q128" s="27"/>
      <c r="R128" s="27"/>
    </row>
    <row r="129" spans="2:18" s="25" customFormat="1" x14ac:dyDescent="0.25">
      <c r="B129" s="323"/>
      <c r="D129" s="328"/>
      <c r="I129" s="57"/>
      <c r="M129" s="27"/>
      <c r="N129" s="27"/>
      <c r="O129" s="27"/>
      <c r="P129" s="27"/>
      <c r="Q129" s="27"/>
      <c r="R129" s="27"/>
    </row>
    <row r="130" spans="2:18" s="25" customFormat="1" x14ac:dyDescent="0.25">
      <c r="B130" s="323"/>
      <c r="D130" s="328"/>
      <c r="I130" s="57"/>
      <c r="M130" s="27"/>
      <c r="N130" s="27"/>
      <c r="O130" s="27"/>
      <c r="P130" s="27"/>
      <c r="Q130" s="27"/>
      <c r="R130" s="27"/>
    </row>
    <row r="131" spans="2:18" s="25" customFormat="1" x14ac:dyDescent="0.25">
      <c r="B131" s="323"/>
      <c r="D131" s="328"/>
      <c r="I131" s="57"/>
      <c r="M131" s="27"/>
      <c r="N131" s="27"/>
      <c r="O131" s="27"/>
      <c r="P131" s="27"/>
      <c r="Q131" s="27"/>
      <c r="R131" s="27"/>
    </row>
    <row r="132" spans="2:18" s="25" customFormat="1" x14ac:dyDescent="0.25">
      <c r="B132" s="323"/>
      <c r="D132" s="328"/>
      <c r="I132" s="57"/>
      <c r="M132" s="27"/>
      <c r="N132" s="27"/>
      <c r="O132" s="27"/>
      <c r="P132" s="27"/>
      <c r="Q132" s="27"/>
      <c r="R132" s="27"/>
    </row>
    <row r="133" spans="2:18" s="25" customFormat="1" x14ac:dyDescent="0.25">
      <c r="B133" s="323"/>
      <c r="D133" s="328"/>
      <c r="I133" s="57"/>
      <c r="M133" s="27"/>
      <c r="N133" s="27"/>
      <c r="O133" s="27"/>
      <c r="P133" s="27"/>
      <c r="Q133" s="27"/>
      <c r="R133" s="27"/>
    </row>
    <row r="134" spans="2:18" s="25" customFormat="1" x14ac:dyDescent="0.25">
      <c r="B134" s="323"/>
      <c r="D134" s="328"/>
      <c r="I134" s="57"/>
      <c r="M134" s="27"/>
      <c r="N134" s="27"/>
      <c r="O134" s="27"/>
      <c r="P134" s="27"/>
      <c r="Q134" s="27"/>
      <c r="R134" s="27"/>
    </row>
    <row r="135" spans="2:18" s="25" customFormat="1" x14ac:dyDescent="0.25">
      <c r="B135" s="323"/>
      <c r="D135" s="328"/>
      <c r="I135" s="57"/>
      <c r="M135" s="27"/>
      <c r="N135" s="27"/>
      <c r="O135" s="27"/>
      <c r="P135" s="27"/>
      <c r="Q135" s="27"/>
      <c r="R135" s="27"/>
    </row>
    <row r="136" spans="2:18" s="25" customFormat="1" x14ac:dyDescent="0.25">
      <c r="B136" s="323"/>
      <c r="D136" s="328"/>
      <c r="I136" s="57"/>
      <c r="M136" s="27"/>
      <c r="N136" s="27"/>
      <c r="O136" s="27"/>
      <c r="P136" s="27"/>
      <c r="Q136" s="27"/>
      <c r="R136" s="27"/>
    </row>
    <row r="137" spans="2:18" s="25" customFormat="1" x14ac:dyDescent="0.25">
      <c r="B137" s="323"/>
      <c r="D137" s="328"/>
      <c r="I137" s="57"/>
      <c r="M137" s="27"/>
      <c r="N137" s="27"/>
      <c r="O137" s="27"/>
      <c r="P137" s="27"/>
      <c r="Q137" s="27"/>
      <c r="R137" s="27"/>
    </row>
    <row r="138" spans="2:18" s="25" customFormat="1" x14ac:dyDescent="0.25">
      <c r="B138" s="323"/>
      <c r="D138" s="328"/>
      <c r="I138" s="57"/>
      <c r="M138" s="27"/>
      <c r="N138" s="27"/>
      <c r="O138" s="27"/>
      <c r="P138" s="27"/>
      <c r="Q138" s="27"/>
      <c r="R138" s="27"/>
    </row>
    <row r="139" spans="2:18" s="25" customFormat="1" x14ac:dyDescent="0.25">
      <c r="B139" s="323"/>
      <c r="D139" s="328"/>
      <c r="I139" s="57"/>
      <c r="M139" s="27"/>
      <c r="N139" s="27"/>
      <c r="O139" s="27"/>
      <c r="P139" s="27"/>
      <c r="Q139" s="27"/>
      <c r="R139" s="27"/>
    </row>
    <row r="140" spans="2:18" s="25" customFormat="1" x14ac:dyDescent="0.25">
      <c r="B140" s="323"/>
      <c r="D140" s="328"/>
      <c r="I140" s="57"/>
      <c r="M140" s="27"/>
      <c r="N140" s="27"/>
      <c r="O140" s="27"/>
      <c r="P140" s="27"/>
      <c r="Q140" s="27"/>
      <c r="R140" s="27"/>
    </row>
    <row r="141" spans="2:18" s="25" customFormat="1" x14ac:dyDescent="0.25">
      <c r="B141" s="323"/>
      <c r="D141" s="328"/>
      <c r="I141" s="57"/>
      <c r="M141" s="27"/>
      <c r="N141" s="27"/>
      <c r="O141" s="27"/>
      <c r="P141" s="27"/>
      <c r="Q141" s="27"/>
      <c r="R141" s="27"/>
    </row>
    <row r="142" spans="2:18" s="25" customFormat="1" x14ac:dyDescent="0.25">
      <c r="B142" s="323"/>
      <c r="D142" s="328"/>
      <c r="I142" s="57"/>
      <c r="M142" s="27"/>
      <c r="N142" s="27"/>
      <c r="O142" s="27"/>
      <c r="P142" s="27"/>
      <c r="Q142" s="27"/>
      <c r="R142" s="27"/>
    </row>
    <row r="143" spans="2:18" s="25" customFormat="1" x14ac:dyDescent="0.25">
      <c r="B143" s="323"/>
      <c r="D143" s="328"/>
      <c r="I143" s="57"/>
      <c r="M143" s="27"/>
      <c r="N143" s="27"/>
      <c r="O143" s="27"/>
      <c r="P143" s="27"/>
      <c r="Q143" s="27"/>
      <c r="R143" s="27"/>
    </row>
    <row r="144" spans="2:18" s="25" customFormat="1" x14ac:dyDescent="0.25">
      <c r="B144" s="323"/>
      <c r="D144" s="328"/>
      <c r="I144" s="57"/>
      <c r="M144" s="27"/>
      <c r="N144" s="27"/>
      <c r="O144" s="27"/>
      <c r="P144" s="27"/>
      <c r="Q144" s="27"/>
      <c r="R144" s="27"/>
    </row>
    <row r="145" spans="2:18" s="25" customFormat="1" x14ac:dyDescent="0.25">
      <c r="B145" s="323"/>
      <c r="D145" s="328"/>
      <c r="I145" s="57"/>
      <c r="M145" s="27"/>
      <c r="N145" s="27"/>
      <c r="O145" s="27"/>
      <c r="P145" s="27"/>
      <c r="Q145" s="27"/>
      <c r="R145" s="27"/>
    </row>
    <row r="146" spans="2:18" s="25" customFormat="1" x14ac:dyDescent="0.25">
      <c r="B146" s="323"/>
      <c r="D146" s="328"/>
      <c r="I146" s="57"/>
      <c r="M146" s="27"/>
      <c r="N146" s="27"/>
      <c r="O146" s="27"/>
      <c r="P146" s="27"/>
      <c r="Q146" s="27"/>
      <c r="R146" s="27"/>
    </row>
    <row r="147" spans="2:18" s="25" customFormat="1" x14ac:dyDescent="0.25">
      <c r="B147" s="323"/>
      <c r="D147" s="328"/>
      <c r="I147" s="57"/>
      <c r="M147" s="27"/>
      <c r="N147" s="27"/>
      <c r="O147" s="27"/>
      <c r="P147" s="27"/>
      <c r="Q147" s="27"/>
      <c r="R147" s="27"/>
    </row>
    <row r="148" spans="2:18" s="25" customFormat="1" x14ac:dyDescent="0.25">
      <c r="B148" s="323"/>
      <c r="D148" s="328"/>
      <c r="I148" s="57"/>
      <c r="M148" s="27"/>
      <c r="N148" s="27"/>
      <c r="O148" s="27"/>
      <c r="P148" s="27"/>
      <c r="Q148" s="27"/>
      <c r="R148" s="27"/>
    </row>
    <row r="149" spans="2:18" s="25" customFormat="1" x14ac:dyDescent="0.25">
      <c r="B149" s="323"/>
      <c r="D149" s="328"/>
      <c r="I149" s="57"/>
      <c r="M149" s="27"/>
      <c r="N149" s="27"/>
      <c r="O149" s="27"/>
      <c r="P149" s="27"/>
      <c r="Q149" s="27"/>
      <c r="R149" s="27"/>
    </row>
    <row r="150" spans="2:18" s="25" customFormat="1" x14ac:dyDescent="0.25">
      <c r="B150" s="323"/>
      <c r="D150" s="328"/>
      <c r="I150" s="57"/>
      <c r="M150" s="27"/>
      <c r="N150" s="27"/>
      <c r="O150" s="27"/>
      <c r="P150" s="27"/>
      <c r="Q150" s="27"/>
      <c r="R150" s="27"/>
    </row>
    <row r="151" spans="2:18" s="25" customFormat="1" x14ac:dyDescent="0.25">
      <c r="B151" s="323"/>
      <c r="D151" s="328"/>
      <c r="I151" s="57"/>
      <c r="M151" s="27"/>
      <c r="N151" s="27"/>
      <c r="O151" s="27"/>
      <c r="P151" s="27"/>
      <c r="Q151" s="27"/>
      <c r="R151" s="27"/>
    </row>
    <row r="152" spans="2:18" s="25" customFormat="1" x14ac:dyDescent="0.25">
      <c r="B152" s="323"/>
      <c r="D152" s="328"/>
      <c r="I152" s="57"/>
      <c r="M152" s="27"/>
      <c r="N152" s="27"/>
      <c r="O152" s="27"/>
      <c r="P152" s="27"/>
      <c r="Q152" s="27"/>
      <c r="R152" s="27"/>
    </row>
    <row r="153" spans="2:18" s="25" customFormat="1" x14ac:dyDescent="0.25">
      <c r="B153" s="323"/>
      <c r="D153" s="328"/>
      <c r="I153" s="57"/>
      <c r="M153" s="27"/>
      <c r="N153" s="27"/>
      <c r="O153" s="27"/>
      <c r="P153" s="27"/>
      <c r="Q153" s="27"/>
      <c r="R153" s="27"/>
    </row>
    <row r="154" spans="2:18" s="25" customFormat="1" x14ac:dyDescent="0.25">
      <c r="B154" s="323"/>
      <c r="D154" s="328"/>
      <c r="I154" s="57"/>
      <c r="M154" s="27"/>
      <c r="N154" s="27"/>
      <c r="O154" s="27"/>
      <c r="P154" s="27"/>
      <c r="Q154" s="27"/>
      <c r="R154" s="27"/>
    </row>
    <row r="155" spans="2:18" s="25" customFormat="1" x14ac:dyDescent="0.25">
      <c r="B155" s="323"/>
      <c r="D155" s="328"/>
      <c r="I155" s="57"/>
      <c r="M155" s="27"/>
      <c r="N155" s="27"/>
      <c r="O155" s="27"/>
      <c r="P155" s="27"/>
      <c r="Q155" s="27"/>
      <c r="R155" s="27"/>
    </row>
    <row r="156" spans="2:18" s="25" customFormat="1" x14ac:dyDescent="0.25">
      <c r="B156" s="323"/>
      <c r="D156" s="328"/>
      <c r="I156" s="57"/>
      <c r="M156" s="27"/>
      <c r="N156" s="27"/>
      <c r="O156" s="27"/>
      <c r="P156" s="27"/>
      <c r="Q156" s="27"/>
      <c r="R156" s="27"/>
    </row>
    <row r="157" spans="2:18" s="25" customFormat="1" x14ac:dyDescent="0.25">
      <c r="B157" s="323"/>
      <c r="D157" s="328"/>
      <c r="I157" s="57"/>
      <c r="M157" s="27"/>
      <c r="N157" s="27"/>
      <c r="O157" s="27"/>
      <c r="P157" s="27"/>
      <c r="Q157" s="27"/>
      <c r="R157" s="27"/>
    </row>
    <row r="158" spans="2:18" s="25" customFormat="1" x14ac:dyDescent="0.25">
      <c r="B158" s="323"/>
      <c r="D158" s="328"/>
      <c r="I158" s="57"/>
      <c r="M158" s="27"/>
      <c r="N158" s="27"/>
      <c r="O158" s="27"/>
      <c r="P158" s="27"/>
      <c r="Q158" s="27"/>
      <c r="R158" s="27"/>
    </row>
    <row r="159" spans="2:18" s="25" customFormat="1" x14ac:dyDescent="0.25">
      <c r="B159" s="323"/>
      <c r="D159" s="328"/>
      <c r="I159" s="57"/>
      <c r="M159" s="27"/>
      <c r="N159" s="27"/>
      <c r="O159" s="27"/>
      <c r="P159" s="27"/>
      <c r="Q159" s="27"/>
      <c r="R159" s="27"/>
    </row>
    <row r="160" spans="2:18" s="25" customFormat="1" x14ac:dyDescent="0.25">
      <c r="B160" s="323"/>
      <c r="D160" s="328"/>
      <c r="I160" s="57"/>
      <c r="M160" s="27"/>
      <c r="N160" s="27"/>
      <c r="O160" s="27"/>
      <c r="P160" s="27"/>
      <c r="Q160" s="27"/>
      <c r="R160" s="27"/>
    </row>
    <row r="161" spans="2:18" s="25" customFormat="1" x14ac:dyDescent="0.25">
      <c r="B161" s="323"/>
      <c r="D161" s="328"/>
      <c r="I161" s="57"/>
      <c r="M161" s="27"/>
      <c r="N161" s="27"/>
      <c r="O161" s="27"/>
      <c r="P161" s="27"/>
      <c r="Q161" s="27"/>
      <c r="R161" s="27"/>
    </row>
    <row r="162" spans="2:18" s="25" customFormat="1" x14ac:dyDescent="0.25">
      <c r="B162" s="323"/>
      <c r="D162" s="328"/>
      <c r="I162" s="57"/>
      <c r="M162" s="27"/>
      <c r="N162" s="27"/>
      <c r="O162" s="27"/>
      <c r="P162" s="27"/>
      <c r="Q162" s="27"/>
      <c r="R162" s="27"/>
    </row>
    <row r="163" spans="2:18" s="25" customFormat="1" x14ac:dyDescent="0.25">
      <c r="B163" s="323"/>
      <c r="D163" s="328"/>
      <c r="I163" s="57"/>
      <c r="M163" s="27"/>
      <c r="N163" s="27"/>
      <c r="O163" s="27"/>
      <c r="P163" s="27"/>
      <c r="Q163" s="27"/>
      <c r="R163" s="27"/>
    </row>
    <row r="164" spans="2:18" s="25" customFormat="1" x14ac:dyDescent="0.25">
      <c r="B164" s="323"/>
      <c r="D164" s="328"/>
      <c r="I164" s="57"/>
      <c r="M164" s="27"/>
      <c r="N164" s="27"/>
      <c r="O164" s="27"/>
      <c r="P164" s="27"/>
      <c r="Q164" s="27"/>
      <c r="R164" s="27"/>
    </row>
    <row r="165" spans="2:18" s="25" customFormat="1" x14ac:dyDescent="0.25">
      <c r="B165" s="323"/>
      <c r="D165" s="328"/>
      <c r="I165" s="57"/>
      <c r="M165" s="27"/>
      <c r="N165" s="27"/>
      <c r="O165" s="27"/>
      <c r="P165" s="27"/>
      <c r="Q165" s="27"/>
      <c r="R165" s="27"/>
    </row>
    <row r="166" spans="2:18" s="25" customFormat="1" x14ac:dyDescent="0.25">
      <c r="B166" s="323"/>
      <c r="D166" s="328"/>
      <c r="I166" s="57"/>
      <c r="M166" s="27"/>
      <c r="N166" s="27"/>
      <c r="O166" s="27"/>
      <c r="P166" s="27"/>
      <c r="Q166" s="27"/>
      <c r="R166" s="27"/>
    </row>
    <row r="167" spans="2:18" s="25" customFormat="1" x14ac:dyDescent="0.25">
      <c r="B167" s="323"/>
      <c r="D167" s="328"/>
      <c r="I167" s="57"/>
      <c r="M167" s="27"/>
      <c r="N167" s="27"/>
      <c r="O167" s="27"/>
      <c r="P167" s="27"/>
      <c r="Q167" s="27"/>
      <c r="R167" s="27"/>
    </row>
    <row r="168" spans="2:18" s="25" customFormat="1" x14ac:dyDescent="0.25">
      <c r="B168" s="323"/>
      <c r="D168" s="328"/>
      <c r="I168" s="57"/>
      <c r="M168" s="27"/>
      <c r="N168" s="27"/>
      <c r="O168" s="27"/>
      <c r="P168" s="27"/>
      <c r="Q168" s="27"/>
      <c r="R168" s="27"/>
    </row>
    <row r="169" spans="2:18" s="25" customFormat="1" x14ac:dyDescent="0.25">
      <c r="B169" s="323"/>
      <c r="D169" s="328"/>
      <c r="I169" s="57"/>
      <c r="M169" s="27"/>
      <c r="N169" s="27"/>
      <c r="O169" s="27"/>
      <c r="P169" s="27"/>
      <c r="Q169" s="27"/>
      <c r="R169" s="27"/>
    </row>
    <row r="170" spans="2:18" s="25" customFormat="1" x14ac:dyDescent="0.25">
      <c r="B170" s="323"/>
      <c r="D170" s="328"/>
      <c r="I170" s="57"/>
      <c r="M170" s="27"/>
      <c r="N170" s="27"/>
      <c r="O170" s="27"/>
      <c r="P170" s="27"/>
      <c r="Q170" s="27"/>
      <c r="R170" s="27"/>
    </row>
    <row r="171" spans="2:18" s="25" customFormat="1" x14ac:dyDescent="0.25">
      <c r="B171" s="323"/>
      <c r="D171" s="328"/>
      <c r="I171" s="57"/>
      <c r="M171" s="27"/>
      <c r="N171" s="27"/>
      <c r="O171" s="27"/>
      <c r="P171" s="27"/>
      <c r="Q171" s="27"/>
      <c r="R171" s="27"/>
    </row>
    <row r="172" spans="2:18" s="25" customFormat="1" x14ac:dyDescent="0.25">
      <c r="B172" s="323"/>
      <c r="D172" s="328"/>
      <c r="I172" s="57"/>
      <c r="M172" s="27"/>
      <c r="N172" s="27"/>
      <c r="O172" s="27"/>
      <c r="P172" s="27"/>
      <c r="Q172" s="27"/>
      <c r="R172" s="27"/>
    </row>
    <row r="173" spans="2:18" s="25" customFormat="1" x14ac:dyDescent="0.25">
      <c r="B173" s="323"/>
      <c r="D173" s="328"/>
      <c r="I173" s="57"/>
      <c r="M173" s="27"/>
      <c r="N173" s="27"/>
      <c r="O173" s="27"/>
      <c r="P173" s="27"/>
      <c r="Q173" s="27"/>
      <c r="R173" s="27"/>
    </row>
    <row r="174" spans="2:18" s="25" customFormat="1" x14ac:dyDescent="0.25">
      <c r="B174" s="323"/>
      <c r="D174" s="328"/>
      <c r="I174" s="57"/>
      <c r="M174" s="27"/>
      <c r="N174" s="27"/>
      <c r="O174" s="27"/>
      <c r="P174" s="27"/>
      <c r="Q174" s="27"/>
      <c r="R174" s="27"/>
    </row>
    <row r="175" spans="2:18" s="25" customFormat="1" x14ac:dyDescent="0.25">
      <c r="B175" s="323"/>
      <c r="D175" s="328"/>
      <c r="I175" s="57"/>
      <c r="M175" s="27"/>
      <c r="N175" s="27"/>
      <c r="O175" s="27"/>
      <c r="P175" s="27"/>
      <c r="Q175" s="27"/>
      <c r="R175" s="27"/>
    </row>
    <row r="176" spans="2:18" s="25" customFormat="1" x14ac:dyDescent="0.25">
      <c r="B176" s="323"/>
      <c r="D176" s="328"/>
      <c r="I176" s="57"/>
      <c r="M176" s="27"/>
      <c r="N176" s="27"/>
      <c r="O176" s="27"/>
      <c r="P176" s="27"/>
      <c r="Q176" s="27"/>
      <c r="R176" s="27"/>
    </row>
    <row r="177" spans="2:18" s="25" customFormat="1" x14ac:dyDescent="0.25">
      <c r="B177" s="323"/>
      <c r="D177" s="328"/>
      <c r="I177" s="57"/>
      <c r="M177" s="27"/>
      <c r="N177" s="27"/>
      <c r="O177" s="27"/>
      <c r="P177" s="27"/>
      <c r="Q177" s="27"/>
      <c r="R177" s="27"/>
    </row>
    <row r="178" spans="2:18" s="25" customFormat="1" x14ac:dyDescent="0.25">
      <c r="B178" s="323"/>
      <c r="D178" s="328"/>
      <c r="I178" s="57"/>
      <c r="M178" s="27"/>
      <c r="N178" s="27"/>
      <c r="O178" s="27"/>
      <c r="P178" s="27"/>
      <c r="Q178" s="27"/>
      <c r="R178" s="27"/>
    </row>
    <row r="179" spans="2:18" s="25" customFormat="1" x14ac:dyDescent="0.25">
      <c r="B179" s="323"/>
      <c r="D179" s="328"/>
      <c r="I179" s="57"/>
      <c r="M179" s="27"/>
      <c r="N179" s="27"/>
      <c r="O179" s="27"/>
      <c r="P179" s="27"/>
      <c r="Q179" s="27"/>
      <c r="R179" s="27"/>
    </row>
    <row r="180" spans="2:18" s="25" customFormat="1" x14ac:dyDescent="0.25">
      <c r="B180" s="323"/>
      <c r="D180" s="328"/>
      <c r="I180" s="57"/>
      <c r="M180" s="27"/>
      <c r="N180" s="27"/>
      <c r="O180" s="27"/>
      <c r="P180" s="27"/>
      <c r="Q180" s="27"/>
      <c r="R180" s="27"/>
    </row>
    <row r="181" spans="2:18" s="25" customFormat="1" x14ac:dyDescent="0.25">
      <c r="B181" s="323"/>
      <c r="D181" s="328"/>
      <c r="I181" s="57"/>
      <c r="M181" s="27"/>
      <c r="N181" s="27"/>
      <c r="O181" s="27"/>
      <c r="P181" s="27"/>
      <c r="Q181" s="27"/>
      <c r="R181" s="27"/>
    </row>
    <row r="182" spans="2:18" s="25" customFormat="1" x14ac:dyDescent="0.25">
      <c r="B182" s="323"/>
      <c r="D182" s="328"/>
      <c r="I182" s="57"/>
      <c r="M182" s="27"/>
      <c r="N182" s="27"/>
      <c r="O182" s="27"/>
      <c r="P182" s="27"/>
      <c r="Q182" s="27"/>
      <c r="R182" s="27"/>
    </row>
    <row r="183" spans="2:18" s="25" customFormat="1" x14ac:dyDescent="0.25">
      <c r="B183" s="323"/>
      <c r="D183" s="328"/>
      <c r="I183" s="57"/>
      <c r="M183" s="27"/>
      <c r="N183" s="27"/>
      <c r="O183" s="27"/>
      <c r="P183" s="27"/>
      <c r="Q183" s="27"/>
      <c r="R183" s="27"/>
    </row>
    <row r="184" spans="2:18" s="25" customFormat="1" x14ac:dyDescent="0.25">
      <c r="B184" s="323"/>
      <c r="D184" s="328"/>
      <c r="I184" s="57"/>
      <c r="M184" s="27"/>
      <c r="N184" s="27"/>
      <c r="O184" s="27"/>
      <c r="P184" s="27"/>
      <c r="Q184" s="27"/>
      <c r="R184" s="27"/>
    </row>
    <row r="185" spans="2:18" s="25" customFormat="1" x14ac:dyDescent="0.25">
      <c r="B185" s="323"/>
      <c r="D185" s="328"/>
      <c r="I185" s="57"/>
      <c r="M185" s="27"/>
      <c r="N185" s="27"/>
      <c r="O185" s="27"/>
      <c r="P185" s="27"/>
      <c r="Q185" s="27"/>
      <c r="R185" s="27"/>
    </row>
    <row r="186" spans="2:18" s="25" customFormat="1" x14ac:dyDescent="0.25">
      <c r="B186" s="323"/>
      <c r="D186" s="328"/>
      <c r="I186" s="57"/>
      <c r="M186" s="27"/>
      <c r="N186" s="27"/>
      <c r="O186" s="27"/>
      <c r="P186" s="27"/>
      <c r="Q186" s="27"/>
      <c r="R186" s="27"/>
    </row>
    <row r="187" spans="2:18" s="25" customFormat="1" x14ac:dyDescent="0.25">
      <c r="B187" s="323"/>
      <c r="D187" s="328"/>
      <c r="I187" s="57"/>
      <c r="M187" s="27"/>
      <c r="N187" s="27"/>
      <c r="O187" s="27"/>
      <c r="P187" s="27"/>
      <c r="Q187" s="27"/>
      <c r="R187" s="27"/>
    </row>
    <row r="188" spans="2:18" s="25" customFormat="1" x14ac:dyDescent="0.25">
      <c r="B188" s="323"/>
      <c r="D188" s="328"/>
      <c r="I188" s="57"/>
      <c r="M188" s="27"/>
      <c r="N188" s="27"/>
      <c r="O188" s="27"/>
      <c r="P188" s="27"/>
      <c r="Q188" s="27"/>
      <c r="R188" s="27"/>
    </row>
    <row r="189" spans="2:18" s="25" customFormat="1" x14ac:dyDescent="0.25">
      <c r="B189" s="323"/>
      <c r="D189" s="328"/>
      <c r="I189" s="57"/>
      <c r="M189" s="27"/>
      <c r="N189" s="27"/>
      <c r="O189" s="27"/>
      <c r="P189" s="27"/>
      <c r="Q189" s="27"/>
      <c r="R189" s="27"/>
    </row>
    <row r="190" spans="2:18" s="25" customFormat="1" x14ac:dyDescent="0.25">
      <c r="B190" s="323"/>
      <c r="D190" s="328"/>
      <c r="I190" s="57"/>
      <c r="M190" s="27"/>
      <c r="N190" s="27"/>
      <c r="O190" s="27"/>
      <c r="P190" s="27"/>
      <c r="Q190" s="27"/>
      <c r="R190" s="27"/>
    </row>
    <row r="191" spans="2:18" s="25" customFormat="1" x14ac:dyDescent="0.25">
      <c r="B191" s="323"/>
      <c r="D191" s="328"/>
      <c r="I191" s="57"/>
      <c r="M191" s="27"/>
      <c r="N191" s="27"/>
      <c r="O191" s="27"/>
      <c r="P191" s="27"/>
      <c r="Q191" s="27"/>
      <c r="R191" s="27"/>
    </row>
    <row r="192" spans="2:18" s="25" customFormat="1" x14ac:dyDescent="0.25">
      <c r="B192" s="323"/>
      <c r="D192" s="328"/>
      <c r="I192" s="57"/>
      <c r="M192" s="27"/>
      <c r="N192" s="27"/>
      <c r="O192" s="27"/>
      <c r="P192" s="27"/>
      <c r="Q192" s="27"/>
      <c r="R192" s="27"/>
    </row>
    <row r="193" spans="2:18" s="25" customFormat="1" x14ac:dyDescent="0.25">
      <c r="B193" s="323"/>
      <c r="D193" s="328"/>
      <c r="I193" s="57"/>
      <c r="M193" s="27"/>
      <c r="N193" s="27"/>
      <c r="O193" s="27"/>
      <c r="P193" s="27"/>
      <c r="Q193" s="27"/>
      <c r="R193" s="27"/>
    </row>
    <row r="194" spans="2:18" s="25" customFormat="1" x14ac:dyDescent="0.25">
      <c r="B194" s="323"/>
      <c r="D194" s="328"/>
      <c r="I194" s="57"/>
      <c r="M194" s="27"/>
      <c r="N194" s="27"/>
      <c r="O194" s="27"/>
      <c r="P194" s="27"/>
      <c r="Q194" s="27"/>
      <c r="R194" s="27"/>
    </row>
    <row r="195" spans="2:18" s="25" customFormat="1" x14ac:dyDescent="0.25">
      <c r="B195" s="323"/>
      <c r="D195" s="328"/>
      <c r="I195" s="57"/>
      <c r="M195" s="27"/>
      <c r="N195" s="27"/>
      <c r="O195" s="27"/>
      <c r="P195" s="27"/>
      <c r="Q195" s="27"/>
      <c r="R195" s="27"/>
    </row>
    <row r="196" spans="2:18" s="25" customFormat="1" x14ac:dyDescent="0.25">
      <c r="B196" s="323"/>
      <c r="D196" s="328"/>
      <c r="I196" s="57"/>
      <c r="M196" s="27"/>
      <c r="N196" s="27"/>
      <c r="O196" s="27"/>
      <c r="P196" s="27"/>
      <c r="Q196" s="27"/>
      <c r="R196" s="27"/>
    </row>
    <row r="197" spans="2:18" s="25" customFormat="1" x14ac:dyDescent="0.25">
      <c r="B197" s="323"/>
      <c r="D197" s="328"/>
      <c r="I197" s="57"/>
      <c r="M197" s="27"/>
      <c r="N197" s="27"/>
      <c r="O197" s="27"/>
      <c r="P197" s="27"/>
      <c r="Q197" s="27"/>
      <c r="R197" s="27"/>
    </row>
    <row r="198" spans="2:18" s="25" customFormat="1" x14ac:dyDescent="0.25">
      <c r="B198" s="323"/>
      <c r="D198" s="328"/>
      <c r="I198" s="57"/>
      <c r="M198" s="27"/>
      <c r="N198" s="27"/>
      <c r="O198" s="27"/>
      <c r="P198" s="27"/>
      <c r="Q198" s="27"/>
      <c r="R198" s="27"/>
    </row>
    <row r="199" spans="2:18" s="25" customFormat="1" x14ac:dyDescent="0.25">
      <c r="B199" s="323"/>
      <c r="D199" s="328"/>
      <c r="I199" s="57"/>
      <c r="M199" s="27"/>
      <c r="N199" s="27"/>
      <c r="O199" s="27"/>
      <c r="P199" s="27"/>
      <c r="Q199" s="27"/>
      <c r="R199" s="27"/>
    </row>
    <row r="200" spans="2:18" s="25" customFormat="1" x14ac:dyDescent="0.25">
      <c r="B200" s="323"/>
      <c r="D200" s="328"/>
      <c r="I200" s="57"/>
      <c r="M200" s="27"/>
      <c r="N200" s="27"/>
      <c r="O200" s="27"/>
      <c r="P200" s="27"/>
      <c r="Q200" s="27"/>
      <c r="R200" s="27"/>
    </row>
    <row r="201" spans="2:18" s="25" customFormat="1" x14ac:dyDescent="0.25">
      <c r="B201" s="323"/>
      <c r="D201" s="328"/>
      <c r="I201" s="57"/>
      <c r="M201" s="27"/>
      <c r="N201" s="27"/>
      <c r="O201" s="27"/>
      <c r="P201" s="27"/>
      <c r="Q201" s="27"/>
      <c r="R201" s="27"/>
    </row>
    <row r="202" spans="2:18" s="25" customFormat="1" x14ac:dyDescent="0.25">
      <c r="B202" s="323"/>
      <c r="D202" s="328"/>
      <c r="I202" s="57"/>
      <c r="M202" s="27"/>
      <c r="N202" s="27"/>
      <c r="O202" s="27"/>
      <c r="P202" s="27"/>
      <c r="Q202" s="27"/>
      <c r="R202" s="27"/>
    </row>
    <row r="203" spans="2:18" s="25" customFormat="1" x14ac:dyDescent="0.25">
      <c r="B203" s="323"/>
      <c r="D203" s="328"/>
      <c r="I203" s="57"/>
      <c r="M203" s="27"/>
      <c r="N203" s="27"/>
      <c r="O203" s="27"/>
      <c r="P203" s="27"/>
      <c r="Q203" s="27"/>
      <c r="R203" s="27"/>
    </row>
    <row r="204" spans="2:18" s="25" customFormat="1" x14ac:dyDescent="0.25">
      <c r="B204" s="323"/>
      <c r="D204" s="328"/>
      <c r="I204" s="57"/>
      <c r="M204" s="27"/>
      <c r="N204" s="27"/>
      <c r="O204" s="27"/>
      <c r="P204" s="27"/>
      <c r="Q204" s="27"/>
      <c r="R204" s="27"/>
    </row>
    <row r="205" spans="2:18" s="25" customFormat="1" x14ac:dyDescent="0.25">
      <c r="B205" s="323"/>
      <c r="D205" s="328"/>
      <c r="I205" s="57"/>
      <c r="M205" s="27"/>
      <c r="N205" s="27"/>
      <c r="O205" s="27"/>
      <c r="P205" s="27"/>
      <c r="Q205" s="27"/>
      <c r="R205" s="27"/>
    </row>
    <row r="206" spans="2:18" s="25" customFormat="1" x14ac:dyDescent="0.25">
      <c r="B206" s="323"/>
      <c r="D206" s="328"/>
      <c r="I206" s="57"/>
      <c r="M206" s="27"/>
      <c r="N206" s="27"/>
      <c r="O206" s="27"/>
      <c r="P206" s="27"/>
      <c r="Q206" s="27"/>
      <c r="R206" s="27"/>
    </row>
    <row r="207" spans="2:18" s="25" customFormat="1" x14ac:dyDescent="0.25">
      <c r="B207" s="323"/>
      <c r="D207" s="328"/>
      <c r="I207" s="57"/>
      <c r="M207" s="27"/>
      <c r="N207" s="27"/>
      <c r="O207" s="27"/>
      <c r="P207" s="27"/>
      <c r="Q207" s="27"/>
      <c r="R207" s="27"/>
    </row>
    <row r="208" spans="2:18" s="25" customFormat="1" x14ac:dyDescent="0.25">
      <c r="B208" s="323"/>
      <c r="D208" s="328"/>
      <c r="I208" s="57"/>
      <c r="M208" s="27"/>
      <c r="N208" s="27"/>
      <c r="O208" s="27"/>
      <c r="P208" s="27"/>
      <c r="Q208" s="27"/>
      <c r="R208" s="27"/>
    </row>
    <row r="209" spans="2:18" s="25" customFormat="1" x14ac:dyDescent="0.25">
      <c r="B209" s="323"/>
      <c r="D209" s="328"/>
      <c r="I209" s="57"/>
      <c r="M209" s="27"/>
      <c r="N209" s="27"/>
      <c r="O209" s="27"/>
      <c r="P209" s="27"/>
      <c r="Q209" s="27"/>
      <c r="R209" s="27"/>
    </row>
    <row r="210" spans="2:18" s="25" customFormat="1" x14ac:dyDescent="0.25">
      <c r="B210" s="323"/>
      <c r="D210" s="328"/>
      <c r="I210" s="57"/>
      <c r="M210" s="27"/>
      <c r="N210" s="27"/>
      <c r="O210" s="27"/>
      <c r="P210" s="27"/>
      <c r="Q210" s="27"/>
      <c r="R210" s="27"/>
    </row>
    <row r="211" spans="2:18" s="25" customFormat="1" x14ac:dyDescent="0.25">
      <c r="B211" s="323"/>
      <c r="D211" s="328"/>
      <c r="I211" s="57"/>
      <c r="M211" s="27"/>
      <c r="N211" s="27"/>
      <c r="O211" s="27"/>
      <c r="P211" s="27"/>
      <c r="Q211" s="27"/>
      <c r="R211" s="27"/>
    </row>
    <row r="212" spans="2:18" s="25" customFormat="1" x14ac:dyDescent="0.25">
      <c r="B212" s="323"/>
      <c r="D212" s="328"/>
      <c r="I212" s="57"/>
      <c r="M212" s="27"/>
      <c r="N212" s="27"/>
      <c r="O212" s="27"/>
      <c r="P212" s="27"/>
      <c r="Q212" s="27"/>
      <c r="R212" s="27"/>
    </row>
    <row r="213" spans="2:18" s="25" customFormat="1" x14ac:dyDescent="0.25">
      <c r="B213" s="323"/>
      <c r="D213" s="328"/>
      <c r="I213" s="57"/>
      <c r="M213" s="27"/>
      <c r="N213" s="27"/>
      <c r="O213" s="27"/>
      <c r="P213" s="27"/>
      <c r="Q213" s="27"/>
      <c r="R213" s="27"/>
    </row>
    <row r="214" spans="2:18" s="25" customFormat="1" x14ac:dyDescent="0.25">
      <c r="B214" s="323"/>
      <c r="D214" s="328"/>
      <c r="I214" s="57"/>
      <c r="M214" s="27"/>
      <c r="N214" s="27"/>
      <c r="O214" s="27"/>
      <c r="P214" s="27"/>
      <c r="Q214" s="27"/>
      <c r="R214" s="27"/>
    </row>
    <row r="215" spans="2:18" s="25" customFormat="1" x14ac:dyDescent="0.25">
      <c r="B215" s="323"/>
      <c r="D215" s="328"/>
      <c r="I215" s="57"/>
      <c r="M215" s="27"/>
      <c r="N215" s="27"/>
      <c r="O215" s="27"/>
      <c r="P215" s="27"/>
      <c r="Q215" s="27"/>
      <c r="R215" s="27"/>
    </row>
    <row r="216" spans="2:18" s="25" customFormat="1" x14ac:dyDescent="0.25">
      <c r="B216" s="323"/>
      <c r="D216" s="328"/>
      <c r="I216" s="57"/>
      <c r="M216" s="27"/>
      <c r="N216" s="27"/>
      <c r="O216" s="27"/>
      <c r="P216" s="27"/>
      <c r="Q216" s="27"/>
      <c r="R216" s="27"/>
    </row>
    <row r="217" spans="2:18" s="25" customFormat="1" x14ac:dyDescent="0.25">
      <c r="B217" s="323"/>
      <c r="D217" s="328"/>
      <c r="I217" s="57"/>
      <c r="M217" s="27"/>
      <c r="N217" s="27"/>
      <c r="O217" s="27"/>
      <c r="P217" s="27"/>
      <c r="Q217" s="27"/>
      <c r="R217" s="27"/>
    </row>
    <row r="218" spans="2:18" s="25" customFormat="1" x14ac:dyDescent="0.25">
      <c r="B218" s="323"/>
      <c r="D218" s="328"/>
      <c r="I218" s="57"/>
      <c r="M218" s="27"/>
      <c r="N218" s="27"/>
      <c r="O218" s="27"/>
      <c r="P218" s="27"/>
      <c r="Q218" s="27"/>
      <c r="R218" s="27"/>
    </row>
    <row r="219" spans="2:18" s="25" customFormat="1" x14ac:dyDescent="0.25">
      <c r="B219" s="323"/>
      <c r="D219" s="328"/>
      <c r="I219" s="57"/>
      <c r="M219" s="27"/>
      <c r="N219" s="27"/>
      <c r="O219" s="27"/>
      <c r="P219" s="27"/>
      <c r="Q219" s="27"/>
      <c r="R219" s="27"/>
    </row>
    <row r="220" spans="2:18" s="25" customFormat="1" x14ac:dyDescent="0.25">
      <c r="B220" s="323"/>
      <c r="D220" s="328"/>
      <c r="I220" s="57"/>
      <c r="M220" s="27"/>
      <c r="N220" s="27"/>
      <c r="O220" s="27"/>
      <c r="P220" s="27"/>
      <c r="Q220" s="27"/>
      <c r="R220" s="27"/>
    </row>
    <row r="221" spans="2:18" s="25" customFormat="1" x14ac:dyDescent="0.25">
      <c r="B221" s="323"/>
      <c r="D221" s="328"/>
      <c r="I221" s="57"/>
      <c r="M221" s="27"/>
      <c r="N221" s="27"/>
      <c r="O221" s="27"/>
      <c r="P221" s="27"/>
      <c r="Q221" s="27"/>
      <c r="R221" s="27"/>
    </row>
    <row r="222" spans="2:18" s="25" customFormat="1" x14ac:dyDescent="0.25">
      <c r="B222" s="323"/>
      <c r="D222" s="328"/>
      <c r="I222" s="57"/>
      <c r="M222" s="27"/>
      <c r="N222" s="27"/>
      <c r="O222" s="27"/>
      <c r="P222" s="27"/>
      <c r="Q222" s="27"/>
      <c r="R222" s="27"/>
    </row>
    <row r="223" spans="2:18" s="25" customFormat="1" x14ac:dyDescent="0.25">
      <c r="B223" s="323"/>
      <c r="D223" s="328"/>
      <c r="I223" s="57"/>
      <c r="M223" s="27"/>
      <c r="N223" s="27"/>
      <c r="O223" s="27"/>
      <c r="P223" s="27"/>
      <c r="Q223" s="27"/>
      <c r="R223" s="27"/>
    </row>
    <row r="224" spans="2:18" s="25" customFormat="1" x14ac:dyDescent="0.25">
      <c r="B224" s="323"/>
      <c r="D224" s="328"/>
      <c r="I224" s="57"/>
      <c r="M224" s="27"/>
      <c r="N224" s="27"/>
      <c r="O224" s="27"/>
      <c r="P224" s="27"/>
      <c r="Q224" s="27"/>
      <c r="R224" s="27"/>
    </row>
    <row r="225" spans="2:18" s="25" customFormat="1" x14ac:dyDescent="0.25">
      <c r="B225" s="323"/>
      <c r="D225" s="328"/>
      <c r="I225" s="57"/>
      <c r="M225" s="27"/>
      <c r="N225" s="27"/>
      <c r="O225" s="27"/>
      <c r="P225" s="27"/>
      <c r="Q225" s="27"/>
      <c r="R225" s="27"/>
    </row>
    <row r="226" spans="2:18" s="25" customFormat="1" x14ac:dyDescent="0.25">
      <c r="B226" s="323"/>
      <c r="D226" s="328"/>
      <c r="I226" s="57"/>
      <c r="M226" s="27"/>
      <c r="N226" s="27"/>
      <c r="O226" s="27"/>
      <c r="P226" s="27"/>
      <c r="Q226" s="27"/>
      <c r="R226" s="27"/>
    </row>
    <row r="227" spans="2:18" s="25" customFormat="1" x14ac:dyDescent="0.25">
      <c r="B227" s="323"/>
      <c r="D227" s="328"/>
      <c r="I227" s="57"/>
      <c r="M227" s="27"/>
      <c r="N227" s="27"/>
      <c r="O227" s="27"/>
      <c r="P227" s="27"/>
      <c r="Q227" s="27"/>
      <c r="R227" s="27"/>
    </row>
    <row r="228" spans="2:18" s="25" customFormat="1" x14ac:dyDescent="0.25">
      <c r="B228" s="323"/>
      <c r="D228" s="328"/>
      <c r="I228" s="57"/>
      <c r="M228" s="27"/>
      <c r="N228" s="27"/>
      <c r="O228" s="27"/>
      <c r="P228" s="27"/>
      <c r="Q228" s="27"/>
      <c r="R228" s="27"/>
    </row>
    <row r="229" spans="2:18" s="25" customFormat="1" x14ac:dyDescent="0.25">
      <c r="B229" s="323"/>
      <c r="D229" s="328"/>
      <c r="I229" s="57"/>
      <c r="M229" s="27"/>
      <c r="N229" s="27"/>
      <c r="O229" s="27"/>
      <c r="P229" s="27"/>
      <c r="Q229" s="27"/>
      <c r="R229" s="27"/>
    </row>
    <row r="230" spans="2:18" s="25" customFormat="1" x14ac:dyDescent="0.25">
      <c r="B230" s="323"/>
      <c r="D230" s="328"/>
      <c r="I230" s="57"/>
      <c r="M230" s="27"/>
      <c r="N230" s="27"/>
      <c r="O230" s="27"/>
      <c r="P230" s="27"/>
      <c r="Q230" s="27"/>
      <c r="R230" s="27"/>
    </row>
    <row r="231" spans="2:18" s="25" customFormat="1" x14ac:dyDescent="0.25">
      <c r="B231" s="323"/>
      <c r="D231" s="328"/>
      <c r="I231" s="57"/>
      <c r="M231" s="27"/>
      <c r="N231" s="27"/>
      <c r="O231" s="27"/>
      <c r="P231" s="27"/>
      <c r="Q231" s="27"/>
      <c r="R231" s="27"/>
    </row>
    <row r="232" spans="2:18" s="25" customFormat="1" x14ac:dyDescent="0.25">
      <c r="B232" s="323"/>
      <c r="D232" s="328"/>
      <c r="I232" s="57"/>
      <c r="M232" s="27"/>
      <c r="N232" s="27"/>
      <c r="O232" s="27"/>
      <c r="P232" s="27"/>
      <c r="Q232" s="27"/>
      <c r="R232" s="27"/>
    </row>
    <row r="233" spans="2:18" s="25" customFormat="1" x14ac:dyDescent="0.25">
      <c r="B233" s="323"/>
      <c r="D233" s="328"/>
      <c r="I233" s="57"/>
      <c r="M233" s="27"/>
      <c r="N233" s="27"/>
      <c r="O233" s="27"/>
      <c r="P233" s="27"/>
      <c r="Q233" s="27"/>
      <c r="R233" s="27"/>
    </row>
    <row r="234" spans="2:18" s="25" customFormat="1" x14ac:dyDescent="0.25">
      <c r="B234" s="323"/>
      <c r="D234" s="328"/>
      <c r="I234" s="57"/>
      <c r="M234" s="27"/>
      <c r="N234" s="27"/>
      <c r="O234" s="27"/>
      <c r="P234" s="27"/>
      <c r="Q234" s="27"/>
      <c r="R234" s="27"/>
    </row>
    <row r="235" spans="2:18" s="25" customFormat="1" x14ac:dyDescent="0.25">
      <c r="B235" s="323"/>
      <c r="D235" s="328"/>
      <c r="I235" s="57"/>
      <c r="M235" s="27"/>
      <c r="N235" s="27"/>
      <c r="O235" s="27"/>
      <c r="P235" s="27"/>
      <c r="Q235" s="27"/>
      <c r="R235" s="27"/>
    </row>
    <row r="236" spans="2:18" s="25" customFormat="1" x14ac:dyDescent="0.25">
      <c r="B236" s="323"/>
      <c r="D236" s="328"/>
      <c r="I236" s="57"/>
      <c r="M236" s="27"/>
      <c r="N236" s="27"/>
      <c r="O236" s="27"/>
      <c r="P236" s="27"/>
      <c r="Q236" s="27"/>
      <c r="R236" s="27"/>
    </row>
    <row r="237" spans="2:18" s="25" customFormat="1" x14ac:dyDescent="0.25">
      <c r="B237" s="323"/>
      <c r="D237" s="328"/>
      <c r="I237" s="57"/>
      <c r="M237" s="27"/>
      <c r="N237" s="27"/>
      <c r="O237" s="27"/>
      <c r="P237" s="27"/>
      <c r="Q237" s="27"/>
      <c r="R237" s="27"/>
    </row>
    <row r="238" spans="2:18" s="25" customFormat="1" x14ac:dyDescent="0.25">
      <c r="B238" s="323"/>
      <c r="D238" s="328"/>
      <c r="I238" s="57"/>
      <c r="M238" s="27"/>
      <c r="N238" s="27"/>
      <c r="O238" s="27"/>
      <c r="P238" s="27"/>
      <c r="Q238" s="27"/>
      <c r="R238" s="27"/>
    </row>
    <row r="239" spans="2:18" s="25" customFormat="1" x14ac:dyDescent="0.25">
      <c r="B239" s="323"/>
      <c r="D239" s="328"/>
      <c r="I239" s="57"/>
      <c r="M239" s="27"/>
      <c r="N239" s="27"/>
      <c r="O239" s="27"/>
      <c r="P239" s="27"/>
      <c r="Q239" s="27"/>
      <c r="R239" s="27"/>
    </row>
    <row r="240" spans="2:18" s="25" customFormat="1" x14ac:dyDescent="0.25">
      <c r="B240" s="323"/>
      <c r="D240" s="328"/>
      <c r="I240" s="57"/>
      <c r="M240" s="27"/>
      <c r="N240" s="27"/>
      <c r="O240" s="27"/>
      <c r="P240" s="27"/>
      <c r="Q240" s="27"/>
      <c r="R240" s="27"/>
    </row>
    <row r="241" spans="2:18" s="25" customFormat="1" x14ac:dyDescent="0.25">
      <c r="B241" s="323"/>
      <c r="D241" s="328"/>
      <c r="I241" s="57"/>
      <c r="M241" s="27"/>
      <c r="N241" s="27"/>
      <c r="O241" s="27"/>
      <c r="P241" s="27"/>
      <c r="Q241" s="27"/>
      <c r="R241" s="27"/>
    </row>
    <row r="242" spans="2:18" s="25" customFormat="1" x14ac:dyDescent="0.25">
      <c r="B242" s="323"/>
      <c r="D242" s="328"/>
      <c r="I242" s="57"/>
      <c r="M242" s="27"/>
      <c r="N242" s="27"/>
      <c r="O242" s="27"/>
      <c r="P242" s="27"/>
      <c r="Q242" s="27"/>
      <c r="R242" s="27"/>
    </row>
    <row r="243" spans="2:18" s="25" customFormat="1" x14ac:dyDescent="0.25">
      <c r="B243" s="323"/>
      <c r="D243" s="328"/>
      <c r="I243" s="57"/>
      <c r="M243" s="27"/>
      <c r="N243" s="27"/>
      <c r="O243" s="27"/>
      <c r="P243" s="27"/>
      <c r="Q243" s="27"/>
      <c r="R243" s="27"/>
    </row>
    <row r="244" spans="2:18" s="25" customFormat="1" x14ac:dyDescent="0.25">
      <c r="B244" s="323"/>
      <c r="D244" s="328"/>
      <c r="I244" s="57"/>
      <c r="M244" s="27"/>
      <c r="N244" s="27"/>
      <c r="O244" s="27"/>
      <c r="P244" s="27"/>
      <c r="Q244" s="27"/>
      <c r="R244" s="27"/>
    </row>
    <row r="245" spans="2:18" s="25" customFormat="1" x14ac:dyDescent="0.25">
      <c r="B245" s="323"/>
      <c r="D245" s="328"/>
      <c r="I245" s="57"/>
      <c r="M245" s="27"/>
      <c r="N245" s="27"/>
      <c r="O245" s="27"/>
      <c r="P245" s="27"/>
      <c r="Q245" s="27"/>
      <c r="R245" s="27"/>
    </row>
    <row r="246" spans="2:18" s="25" customFormat="1" x14ac:dyDescent="0.25">
      <c r="B246" s="323"/>
      <c r="D246" s="328"/>
      <c r="I246" s="57"/>
      <c r="M246" s="27"/>
      <c r="N246" s="27"/>
      <c r="O246" s="27"/>
      <c r="P246" s="27"/>
      <c r="Q246" s="27"/>
      <c r="R246" s="27"/>
    </row>
    <row r="247" spans="2:18" s="25" customFormat="1" x14ac:dyDescent="0.25">
      <c r="B247" s="323"/>
      <c r="D247" s="328"/>
      <c r="I247" s="57"/>
      <c r="M247" s="27"/>
      <c r="N247" s="27"/>
      <c r="O247" s="27"/>
      <c r="P247" s="27"/>
      <c r="Q247" s="27"/>
      <c r="R247" s="27"/>
    </row>
    <row r="248" spans="2:18" s="25" customFormat="1" x14ac:dyDescent="0.25">
      <c r="B248" s="323"/>
      <c r="D248" s="328"/>
      <c r="I248" s="57"/>
      <c r="M248" s="27"/>
      <c r="N248" s="27"/>
      <c r="O248" s="27"/>
      <c r="P248" s="27"/>
      <c r="Q248" s="27"/>
      <c r="R248" s="27"/>
    </row>
    <row r="249" spans="2:18" s="25" customFormat="1" x14ac:dyDescent="0.25">
      <c r="B249" s="323"/>
      <c r="D249" s="328"/>
      <c r="I249" s="57"/>
      <c r="M249" s="27"/>
      <c r="N249" s="27"/>
      <c r="O249" s="27"/>
      <c r="P249" s="27"/>
      <c r="Q249" s="27"/>
      <c r="R249" s="27"/>
    </row>
    <row r="250" spans="2:18" s="25" customFormat="1" x14ac:dyDescent="0.25">
      <c r="B250" s="323"/>
      <c r="D250" s="328"/>
      <c r="I250" s="57"/>
      <c r="M250" s="27"/>
      <c r="N250" s="27"/>
      <c r="O250" s="27"/>
      <c r="P250" s="27"/>
      <c r="Q250" s="27"/>
      <c r="R250" s="27"/>
    </row>
    <row r="251" spans="2:18" s="25" customFormat="1" x14ac:dyDescent="0.25">
      <c r="B251" s="323"/>
      <c r="D251" s="328"/>
      <c r="I251" s="57"/>
      <c r="M251" s="27"/>
      <c r="N251" s="27"/>
      <c r="O251" s="27"/>
      <c r="P251" s="27"/>
      <c r="Q251" s="27"/>
      <c r="R251" s="27"/>
    </row>
    <row r="252" spans="2:18" s="25" customFormat="1" x14ac:dyDescent="0.25">
      <c r="B252" s="323"/>
      <c r="D252" s="328"/>
      <c r="I252" s="57"/>
      <c r="M252" s="27"/>
      <c r="N252" s="27"/>
      <c r="O252" s="27"/>
      <c r="P252" s="27"/>
      <c r="Q252" s="27"/>
      <c r="R252" s="27"/>
    </row>
    <row r="253" spans="2:18" s="25" customFormat="1" x14ac:dyDescent="0.25">
      <c r="B253" s="323"/>
      <c r="D253" s="328"/>
      <c r="I253" s="57"/>
      <c r="M253" s="27"/>
      <c r="N253" s="27"/>
      <c r="O253" s="27"/>
      <c r="P253" s="27"/>
      <c r="Q253" s="27"/>
      <c r="R253" s="27"/>
    </row>
    <row r="254" spans="2:18" s="25" customFormat="1" x14ac:dyDescent="0.25">
      <c r="B254" s="323"/>
      <c r="D254" s="328"/>
      <c r="I254" s="57"/>
      <c r="M254" s="27"/>
      <c r="N254" s="27"/>
      <c r="O254" s="27"/>
      <c r="P254" s="27"/>
      <c r="Q254" s="27"/>
      <c r="R254" s="27"/>
    </row>
    <row r="255" spans="2:18" s="25" customFormat="1" x14ac:dyDescent="0.25">
      <c r="B255" s="323"/>
      <c r="D255" s="328"/>
      <c r="I255" s="57"/>
      <c r="M255" s="27"/>
      <c r="N255" s="27"/>
      <c r="O255" s="27"/>
      <c r="P255" s="27"/>
      <c r="Q255" s="27"/>
      <c r="R255" s="27"/>
    </row>
    <row r="256" spans="2:18" s="25" customFormat="1" x14ac:dyDescent="0.25">
      <c r="B256" s="323"/>
      <c r="D256" s="328"/>
      <c r="I256" s="57"/>
      <c r="M256" s="27"/>
      <c r="N256" s="27"/>
      <c r="O256" s="27"/>
      <c r="P256" s="27"/>
      <c r="Q256" s="27"/>
      <c r="R256" s="27"/>
    </row>
    <row r="257" spans="2:18" s="25" customFormat="1" x14ac:dyDescent="0.25">
      <c r="B257" s="323"/>
      <c r="D257" s="328"/>
      <c r="I257" s="57"/>
      <c r="M257" s="27"/>
      <c r="N257" s="27"/>
      <c r="O257" s="27"/>
      <c r="P257" s="27"/>
      <c r="Q257" s="27"/>
      <c r="R257" s="27"/>
    </row>
    <row r="258" spans="2:18" s="25" customFormat="1" x14ac:dyDescent="0.25">
      <c r="B258" s="323"/>
      <c r="D258" s="328"/>
      <c r="I258" s="57"/>
      <c r="M258" s="27"/>
      <c r="N258" s="27"/>
      <c r="O258" s="27"/>
      <c r="P258" s="27"/>
      <c r="Q258" s="27"/>
      <c r="R258" s="27"/>
    </row>
    <row r="259" spans="2:18" s="25" customFormat="1" x14ac:dyDescent="0.25">
      <c r="B259" s="323"/>
      <c r="D259" s="328"/>
      <c r="I259" s="57"/>
      <c r="M259" s="27"/>
      <c r="N259" s="27"/>
      <c r="O259" s="27"/>
      <c r="P259" s="27"/>
      <c r="Q259" s="27"/>
      <c r="R259" s="27"/>
    </row>
    <row r="260" spans="2:18" s="25" customFormat="1" x14ac:dyDescent="0.25">
      <c r="B260" s="323"/>
      <c r="D260" s="328"/>
      <c r="I260" s="57"/>
      <c r="M260" s="27"/>
      <c r="N260" s="27"/>
      <c r="O260" s="27"/>
      <c r="P260" s="27"/>
      <c r="Q260" s="27"/>
      <c r="R260" s="27"/>
    </row>
    <row r="261" spans="2:18" s="25" customFormat="1" x14ac:dyDescent="0.25">
      <c r="B261" s="323"/>
      <c r="D261" s="328"/>
      <c r="I261" s="57"/>
      <c r="M261" s="27"/>
      <c r="N261" s="27"/>
      <c r="O261" s="27"/>
      <c r="P261" s="27"/>
      <c r="Q261" s="27"/>
      <c r="R261" s="27"/>
    </row>
    <row r="262" spans="2:18" s="25" customFormat="1" x14ac:dyDescent="0.25">
      <c r="B262" s="323"/>
      <c r="D262" s="328"/>
      <c r="I262" s="57"/>
      <c r="M262" s="27"/>
      <c r="N262" s="27"/>
      <c r="O262" s="27"/>
      <c r="P262" s="27"/>
      <c r="Q262" s="27"/>
      <c r="R262" s="27"/>
    </row>
    <row r="263" spans="2:18" s="25" customFormat="1" x14ac:dyDescent="0.25">
      <c r="B263" s="323"/>
      <c r="D263" s="328"/>
      <c r="I263" s="57"/>
      <c r="M263" s="27"/>
      <c r="N263" s="27"/>
      <c r="O263" s="27"/>
      <c r="P263" s="27"/>
      <c r="Q263" s="27"/>
      <c r="R263" s="27"/>
    </row>
    <row r="264" spans="2:18" s="25" customFormat="1" x14ac:dyDescent="0.25">
      <c r="B264" s="323"/>
      <c r="D264" s="328"/>
      <c r="I264" s="57"/>
      <c r="M264" s="27"/>
      <c r="N264" s="27"/>
      <c r="O264" s="27"/>
      <c r="P264" s="27"/>
      <c r="Q264" s="27"/>
      <c r="R264" s="27"/>
    </row>
    <row r="265" spans="2:18" s="25" customFormat="1" x14ac:dyDescent="0.25">
      <c r="B265" s="323"/>
      <c r="D265" s="328"/>
      <c r="I265" s="57"/>
      <c r="M265" s="27"/>
      <c r="N265" s="27"/>
      <c r="O265" s="27"/>
      <c r="P265" s="27"/>
      <c r="Q265" s="27"/>
      <c r="R265" s="27"/>
    </row>
    <row r="266" spans="2:18" s="25" customFormat="1" x14ac:dyDescent="0.25">
      <c r="B266" s="323"/>
      <c r="D266" s="328"/>
      <c r="I266" s="57"/>
      <c r="M266" s="27"/>
      <c r="N266" s="27"/>
      <c r="O266" s="27"/>
      <c r="P266" s="27"/>
      <c r="Q266" s="27"/>
      <c r="R266" s="27"/>
    </row>
    <row r="267" spans="2:18" s="25" customFormat="1" x14ac:dyDescent="0.25">
      <c r="B267" s="323"/>
      <c r="D267" s="328"/>
      <c r="I267" s="57"/>
      <c r="M267" s="27"/>
      <c r="N267" s="27"/>
      <c r="O267" s="27"/>
      <c r="P267" s="27"/>
      <c r="Q267" s="27"/>
      <c r="R267" s="27"/>
    </row>
    <row r="268" spans="2:18" s="25" customFormat="1" x14ac:dyDescent="0.25">
      <c r="B268" s="323"/>
      <c r="D268" s="328"/>
      <c r="I268" s="57"/>
      <c r="M268" s="27"/>
      <c r="N268" s="27"/>
      <c r="O268" s="27"/>
      <c r="P268" s="27"/>
      <c r="Q268" s="27"/>
      <c r="R268" s="27"/>
    </row>
    <row r="269" spans="2:18" s="25" customFormat="1" x14ac:dyDescent="0.25">
      <c r="B269" s="323"/>
      <c r="D269" s="328"/>
      <c r="I269" s="57"/>
      <c r="M269" s="27"/>
      <c r="N269" s="27"/>
      <c r="O269" s="27"/>
      <c r="P269" s="27"/>
      <c r="Q269" s="27"/>
      <c r="R269" s="27"/>
    </row>
    <row r="270" spans="2:18" s="25" customFormat="1" x14ac:dyDescent="0.25">
      <c r="B270" s="323"/>
      <c r="D270" s="328"/>
      <c r="I270" s="57"/>
      <c r="M270" s="27"/>
      <c r="N270" s="27"/>
      <c r="O270" s="27"/>
      <c r="P270" s="27"/>
      <c r="Q270" s="27"/>
      <c r="R270" s="27"/>
    </row>
    <row r="271" spans="2:18" s="25" customFormat="1" x14ac:dyDescent="0.25">
      <c r="B271" s="323"/>
      <c r="D271" s="328"/>
      <c r="I271" s="57"/>
      <c r="M271" s="27"/>
      <c r="N271" s="27"/>
      <c r="O271" s="27"/>
      <c r="P271" s="27"/>
      <c r="Q271" s="27"/>
      <c r="R271" s="27"/>
    </row>
    <row r="272" spans="2:18" s="25" customFormat="1" x14ac:dyDescent="0.25">
      <c r="B272" s="323"/>
      <c r="D272" s="328"/>
      <c r="I272" s="57"/>
      <c r="M272" s="27"/>
      <c r="N272" s="27"/>
      <c r="O272" s="27"/>
      <c r="P272" s="27"/>
      <c r="Q272" s="27"/>
      <c r="R272" s="27"/>
    </row>
    <row r="273" spans="2:18" s="25" customFormat="1" x14ac:dyDescent="0.25">
      <c r="B273" s="323"/>
      <c r="D273" s="328"/>
      <c r="I273" s="57"/>
      <c r="M273" s="27"/>
      <c r="N273" s="27"/>
      <c r="O273" s="27"/>
      <c r="P273" s="27"/>
      <c r="Q273" s="27"/>
      <c r="R273" s="27"/>
    </row>
    <row r="274" spans="2:18" s="25" customFormat="1" x14ac:dyDescent="0.25">
      <c r="B274" s="323"/>
      <c r="D274" s="328"/>
      <c r="I274" s="57"/>
      <c r="M274" s="27"/>
      <c r="N274" s="27"/>
      <c r="O274" s="27"/>
      <c r="P274" s="27"/>
      <c r="Q274" s="27"/>
      <c r="R274" s="27"/>
    </row>
    <row r="275" spans="2:18" s="25" customFormat="1" x14ac:dyDescent="0.25">
      <c r="B275" s="323"/>
      <c r="D275" s="328"/>
      <c r="I275" s="57"/>
      <c r="M275" s="27"/>
      <c r="N275" s="27"/>
      <c r="O275" s="27"/>
      <c r="P275" s="27"/>
      <c r="Q275" s="27"/>
      <c r="R275" s="27"/>
    </row>
    <row r="276" spans="2:18" s="25" customFormat="1" x14ac:dyDescent="0.25">
      <c r="B276" s="323"/>
      <c r="D276" s="328"/>
      <c r="I276" s="57"/>
      <c r="M276" s="27"/>
      <c r="N276" s="27"/>
      <c r="O276" s="27"/>
      <c r="P276" s="27"/>
      <c r="Q276" s="27"/>
      <c r="R276" s="27"/>
    </row>
    <row r="277" spans="2:18" s="25" customFormat="1" x14ac:dyDescent="0.25">
      <c r="B277" s="323"/>
      <c r="D277" s="328"/>
      <c r="I277" s="57"/>
      <c r="M277" s="27"/>
      <c r="N277" s="27"/>
      <c r="O277" s="27"/>
      <c r="P277" s="27"/>
      <c r="Q277" s="27"/>
      <c r="R277" s="27"/>
    </row>
    <row r="278" spans="2:18" s="25" customFormat="1" x14ac:dyDescent="0.25">
      <c r="B278" s="323"/>
      <c r="D278" s="328"/>
      <c r="I278" s="57"/>
      <c r="M278" s="27"/>
      <c r="N278" s="27"/>
      <c r="O278" s="27"/>
      <c r="P278" s="27"/>
      <c r="Q278" s="27"/>
      <c r="R278" s="27"/>
    </row>
    <row r="279" spans="2:18" s="25" customFormat="1" x14ac:dyDescent="0.25">
      <c r="B279" s="323"/>
      <c r="D279" s="328"/>
      <c r="I279" s="57"/>
      <c r="M279" s="27"/>
      <c r="N279" s="27"/>
      <c r="O279" s="27"/>
      <c r="P279" s="27"/>
      <c r="Q279" s="27"/>
      <c r="R279" s="27"/>
    </row>
    <row r="280" spans="2:18" s="25" customFormat="1" x14ac:dyDescent="0.25">
      <c r="B280" s="323"/>
      <c r="D280" s="328"/>
      <c r="I280" s="57"/>
      <c r="M280" s="27"/>
      <c r="N280" s="27"/>
      <c r="O280" s="27"/>
      <c r="P280" s="27"/>
      <c r="Q280" s="27"/>
      <c r="R280" s="27"/>
    </row>
    <row r="281" spans="2:18" s="25" customFormat="1" x14ac:dyDescent="0.25">
      <c r="B281" s="323"/>
      <c r="D281" s="328"/>
      <c r="I281" s="57"/>
      <c r="M281" s="27"/>
      <c r="N281" s="27"/>
      <c r="O281" s="27"/>
      <c r="P281" s="27"/>
      <c r="Q281" s="27"/>
      <c r="R281" s="27"/>
    </row>
    <row r="282" spans="2:18" s="25" customFormat="1" x14ac:dyDescent="0.25">
      <c r="B282" s="323"/>
      <c r="D282" s="328"/>
      <c r="I282" s="57"/>
      <c r="M282" s="27"/>
      <c r="N282" s="27"/>
      <c r="O282" s="27"/>
      <c r="P282" s="27"/>
      <c r="Q282" s="27"/>
      <c r="R282" s="27"/>
    </row>
    <row r="283" spans="2:18" s="25" customFormat="1" x14ac:dyDescent="0.25">
      <c r="B283" s="323"/>
      <c r="D283" s="328"/>
      <c r="I283" s="57"/>
      <c r="M283" s="27"/>
      <c r="N283" s="27"/>
      <c r="O283" s="27"/>
      <c r="P283" s="27"/>
      <c r="Q283" s="27"/>
      <c r="R283" s="27"/>
    </row>
    <row r="284" spans="2:18" s="25" customFormat="1" x14ac:dyDescent="0.25">
      <c r="B284" s="323"/>
      <c r="D284" s="328"/>
      <c r="I284" s="57"/>
      <c r="M284" s="27"/>
      <c r="N284" s="27"/>
      <c r="O284" s="27"/>
      <c r="P284" s="27"/>
      <c r="Q284" s="27"/>
      <c r="R284" s="27"/>
    </row>
    <row r="285" spans="2:18" s="25" customFormat="1" x14ac:dyDescent="0.25">
      <c r="B285" s="323"/>
      <c r="D285" s="328"/>
      <c r="I285" s="57"/>
      <c r="M285" s="27"/>
      <c r="N285" s="27"/>
      <c r="O285" s="27"/>
      <c r="P285" s="27"/>
      <c r="Q285" s="27"/>
      <c r="R285" s="27"/>
    </row>
    <row r="286" spans="2:18" s="25" customFormat="1" x14ac:dyDescent="0.25">
      <c r="B286" s="323"/>
      <c r="D286" s="328"/>
      <c r="I286" s="57"/>
      <c r="M286" s="27"/>
      <c r="N286" s="27"/>
      <c r="O286" s="27"/>
      <c r="P286" s="27"/>
      <c r="Q286" s="27"/>
      <c r="R286" s="27"/>
    </row>
    <row r="287" spans="2:18" s="25" customFormat="1" x14ac:dyDescent="0.25">
      <c r="B287" s="323"/>
      <c r="D287" s="328"/>
      <c r="I287" s="57"/>
      <c r="M287" s="27"/>
      <c r="N287" s="27"/>
      <c r="O287" s="27"/>
      <c r="P287" s="27"/>
      <c r="Q287" s="27"/>
      <c r="R287" s="27"/>
    </row>
    <row r="288" spans="2:18" s="25" customFormat="1" x14ac:dyDescent="0.25">
      <c r="B288" s="323"/>
      <c r="D288" s="328"/>
      <c r="I288" s="57"/>
      <c r="M288" s="27"/>
      <c r="N288" s="27"/>
      <c r="O288" s="27"/>
      <c r="P288" s="27"/>
      <c r="Q288" s="27"/>
      <c r="R288" s="27"/>
    </row>
    <row r="289" spans="2:18" s="25" customFormat="1" x14ac:dyDescent="0.25">
      <c r="B289" s="323"/>
      <c r="D289" s="328"/>
      <c r="I289" s="57"/>
      <c r="M289" s="27"/>
      <c r="N289" s="27"/>
      <c r="O289" s="27"/>
      <c r="P289" s="27"/>
      <c r="Q289" s="27"/>
      <c r="R289" s="27"/>
    </row>
    <row r="290" spans="2:18" s="25" customFormat="1" x14ac:dyDescent="0.25">
      <c r="B290" s="323"/>
      <c r="D290" s="328"/>
      <c r="I290" s="57"/>
      <c r="M290" s="27"/>
      <c r="N290" s="27"/>
      <c r="O290" s="27"/>
      <c r="P290" s="27"/>
      <c r="Q290" s="27"/>
      <c r="R290" s="27"/>
    </row>
    <row r="291" spans="2:18" s="25" customFormat="1" x14ac:dyDescent="0.25">
      <c r="B291" s="323"/>
      <c r="D291" s="328"/>
      <c r="I291" s="57"/>
      <c r="M291" s="27"/>
      <c r="N291" s="27"/>
      <c r="O291" s="27"/>
      <c r="P291" s="27"/>
      <c r="Q291" s="27"/>
      <c r="R291" s="27"/>
    </row>
    <row r="292" spans="2:18" s="25" customFormat="1" x14ac:dyDescent="0.25">
      <c r="B292" s="323"/>
      <c r="D292" s="328"/>
      <c r="I292" s="57"/>
      <c r="M292" s="27"/>
      <c r="N292" s="27"/>
      <c r="O292" s="27"/>
      <c r="P292" s="27"/>
      <c r="Q292" s="27"/>
      <c r="R292" s="27"/>
    </row>
    <row r="293" spans="2:18" s="25" customFormat="1" x14ac:dyDescent="0.25">
      <c r="B293" s="323"/>
      <c r="D293" s="328"/>
      <c r="I293" s="57"/>
      <c r="M293" s="27"/>
      <c r="N293" s="27"/>
      <c r="O293" s="27"/>
      <c r="P293" s="27"/>
      <c r="Q293" s="27"/>
      <c r="R293" s="27"/>
    </row>
    <row r="294" spans="2:18" s="25" customFormat="1" x14ac:dyDescent="0.25">
      <c r="B294" s="323"/>
      <c r="D294" s="328"/>
      <c r="I294" s="57"/>
      <c r="M294" s="27"/>
      <c r="N294" s="27"/>
      <c r="O294" s="27"/>
      <c r="P294" s="27"/>
      <c r="Q294" s="27"/>
      <c r="R294" s="27"/>
    </row>
    <row r="295" spans="2:18" s="25" customFormat="1" x14ac:dyDescent="0.25">
      <c r="B295" s="323"/>
      <c r="D295" s="328"/>
      <c r="I295" s="57"/>
      <c r="M295" s="27"/>
      <c r="N295" s="27"/>
      <c r="O295" s="27"/>
      <c r="P295" s="27"/>
      <c r="Q295" s="27"/>
      <c r="R295" s="27"/>
    </row>
    <row r="296" spans="2:18" s="25" customFormat="1" x14ac:dyDescent="0.25">
      <c r="B296" s="323"/>
      <c r="D296" s="328"/>
      <c r="I296" s="57"/>
      <c r="M296" s="27"/>
      <c r="N296" s="27"/>
      <c r="O296" s="27"/>
      <c r="P296" s="27"/>
      <c r="Q296" s="27"/>
      <c r="R296" s="27"/>
    </row>
    <row r="297" spans="2:18" s="25" customFormat="1" x14ac:dyDescent="0.25">
      <c r="B297" s="323"/>
      <c r="D297" s="328"/>
      <c r="I297" s="57"/>
      <c r="M297" s="27"/>
      <c r="N297" s="27"/>
      <c r="O297" s="27"/>
      <c r="P297" s="27"/>
      <c r="Q297" s="27"/>
      <c r="R297" s="27"/>
    </row>
    <row r="298" spans="2:18" s="25" customFormat="1" x14ac:dyDescent="0.25">
      <c r="B298" s="323"/>
      <c r="D298" s="328"/>
      <c r="I298" s="57"/>
      <c r="M298" s="27"/>
      <c r="N298" s="27"/>
      <c r="O298" s="27"/>
      <c r="P298" s="27"/>
      <c r="Q298" s="27"/>
      <c r="R298" s="27"/>
    </row>
    <row r="299" spans="2:18" s="25" customFormat="1" x14ac:dyDescent="0.25">
      <c r="B299" s="323"/>
      <c r="D299" s="328"/>
      <c r="I299" s="57"/>
      <c r="M299" s="27"/>
      <c r="N299" s="27"/>
      <c r="O299" s="27"/>
      <c r="P299" s="27"/>
      <c r="Q299" s="27"/>
      <c r="R299" s="27"/>
    </row>
    <row r="300" spans="2:18" s="25" customFormat="1" x14ac:dyDescent="0.25">
      <c r="B300" s="323"/>
      <c r="D300" s="328"/>
      <c r="I300" s="57"/>
      <c r="M300" s="27"/>
      <c r="N300" s="27"/>
      <c r="O300" s="27"/>
      <c r="P300" s="27"/>
      <c r="Q300" s="27"/>
      <c r="R300" s="27"/>
    </row>
    <row r="301" spans="2:18" s="25" customFormat="1" x14ac:dyDescent="0.25">
      <c r="B301" s="323"/>
      <c r="D301" s="328"/>
      <c r="I301" s="57"/>
      <c r="M301" s="27"/>
      <c r="N301" s="27"/>
      <c r="O301" s="27"/>
      <c r="P301" s="27"/>
      <c r="Q301" s="27"/>
      <c r="R301" s="27"/>
    </row>
    <row r="302" spans="2:18" s="25" customFormat="1" x14ac:dyDescent="0.25">
      <c r="B302" s="323"/>
      <c r="D302" s="328"/>
      <c r="I302" s="57"/>
      <c r="M302" s="27"/>
      <c r="N302" s="27"/>
      <c r="O302" s="27"/>
      <c r="P302" s="27"/>
      <c r="Q302" s="27"/>
      <c r="R302" s="27"/>
    </row>
    <row r="303" spans="2:18" s="25" customFormat="1" x14ac:dyDescent="0.25">
      <c r="B303" s="323"/>
      <c r="D303" s="328"/>
      <c r="I303" s="57"/>
      <c r="M303" s="27"/>
      <c r="N303" s="27"/>
      <c r="O303" s="27"/>
      <c r="P303" s="27"/>
      <c r="Q303" s="27"/>
      <c r="R303" s="27"/>
    </row>
    <row r="304" spans="2:18" s="25" customFormat="1" x14ac:dyDescent="0.25">
      <c r="B304" s="323"/>
      <c r="D304" s="328"/>
      <c r="I304" s="57"/>
      <c r="M304" s="27"/>
      <c r="N304" s="27"/>
      <c r="O304" s="27"/>
      <c r="P304" s="27"/>
      <c r="Q304" s="27"/>
      <c r="R304" s="27"/>
    </row>
    <row r="305" spans="2:18" s="25" customFormat="1" x14ac:dyDescent="0.25">
      <c r="B305" s="323"/>
      <c r="D305" s="328"/>
      <c r="I305" s="57"/>
      <c r="M305" s="27"/>
      <c r="N305" s="27"/>
      <c r="O305" s="27"/>
      <c r="P305" s="27"/>
      <c r="Q305" s="27"/>
      <c r="R305" s="27"/>
    </row>
    <row r="306" spans="2:18" s="25" customFormat="1" x14ac:dyDescent="0.25">
      <c r="B306" s="323"/>
      <c r="D306" s="328"/>
      <c r="I306" s="57"/>
      <c r="M306" s="27"/>
      <c r="N306" s="27"/>
      <c r="O306" s="27"/>
      <c r="P306" s="27"/>
      <c r="Q306" s="27"/>
      <c r="R306" s="27"/>
    </row>
    <row r="307" spans="2:18" s="25" customFormat="1" x14ac:dyDescent="0.25">
      <c r="B307" s="323"/>
      <c r="D307" s="328"/>
      <c r="I307" s="57"/>
      <c r="M307" s="27"/>
      <c r="N307" s="27"/>
      <c r="O307" s="27"/>
      <c r="P307" s="27"/>
      <c r="Q307" s="27"/>
      <c r="R307" s="27"/>
    </row>
    <row r="308" spans="2:18" s="25" customFormat="1" x14ac:dyDescent="0.25">
      <c r="B308" s="323"/>
      <c r="D308" s="328"/>
      <c r="I308" s="57"/>
      <c r="M308" s="27"/>
      <c r="N308" s="27"/>
      <c r="O308" s="27"/>
      <c r="P308" s="27"/>
      <c r="Q308" s="27"/>
      <c r="R308" s="27"/>
    </row>
    <row r="309" spans="2:18" s="25" customFormat="1" x14ac:dyDescent="0.25">
      <c r="B309" s="323"/>
      <c r="D309" s="328"/>
      <c r="I309" s="57"/>
      <c r="M309" s="27"/>
      <c r="N309" s="27"/>
      <c r="O309" s="27"/>
      <c r="P309" s="27"/>
      <c r="Q309" s="27"/>
      <c r="R309" s="27"/>
    </row>
    <row r="310" spans="2:18" s="25" customFormat="1" x14ac:dyDescent="0.25">
      <c r="B310" s="323"/>
      <c r="D310" s="328"/>
      <c r="I310" s="57"/>
      <c r="M310" s="27"/>
      <c r="N310" s="27"/>
      <c r="O310" s="27"/>
      <c r="P310" s="27"/>
      <c r="Q310" s="27"/>
      <c r="R310" s="27"/>
    </row>
    <row r="311" spans="2:18" s="25" customFormat="1" x14ac:dyDescent="0.25">
      <c r="B311" s="323"/>
      <c r="D311" s="328"/>
      <c r="I311" s="57"/>
      <c r="M311" s="27"/>
      <c r="N311" s="27"/>
      <c r="O311" s="27"/>
      <c r="P311" s="27"/>
      <c r="Q311" s="27"/>
      <c r="R311" s="27"/>
    </row>
    <row r="312" spans="2:18" s="25" customFormat="1" x14ac:dyDescent="0.25">
      <c r="B312" s="323"/>
      <c r="D312" s="328"/>
      <c r="I312" s="57"/>
      <c r="M312" s="27"/>
      <c r="N312" s="27"/>
      <c r="O312" s="27"/>
      <c r="P312" s="27"/>
      <c r="Q312" s="27"/>
      <c r="R312" s="27"/>
    </row>
    <row r="313" spans="2:18" s="25" customFormat="1" x14ac:dyDescent="0.25">
      <c r="B313" s="323"/>
      <c r="D313" s="328"/>
      <c r="I313" s="57"/>
      <c r="M313" s="27"/>
      <c r="N313" s="27"/>
      <c r="O313" s="27"/>
      <c r="P313" s="27"/>
      <c r="Q313" s="27"/>
      <c r="R313" s="27"/>
    </row>
    <row r="314" spans="2:18" s="25" customFormat="1" x14ac:dyDescent="0.25">
      <c r="B314" s="323"/>
      <c r="D314" s="328"/>
      <c r="I314" s="57"/>
      <c r="M314" s="27"/>
      <c r="N314" s="27"/>
      <c r="O314" s="27"/>
      <c r="P314" s="27"/>
      <c r="Q314" s="27"/>
      <c r="R314" s="27"/>
    </row>
    <row r="315" spans="2:18" s="25" customFormat="1" x14ac:dyDescent="0.25">
      <c r="B315" s="323"/>
      <c r="D315" s="328"/>
      <c r="I315" s="57"/>
      <c r="M315" s="27"/>
      <c r="N315" s="27"/>
      <c r="O315" s="27"/>
      <c r="P315" s="27"/>
      <c r="Q315" s="27"/>
      <c r="R315" s="27"/>
    </row>
    <row r="316" spans="2:18" s="25" customFormat="1" x14ac:dyDescent="0.25">
      <c r="B316" s="323"/>
      <c r="D316" s="328"/>
      <c r="I316" s="57"/>
      <c r="M316" s="27"/>
      <c r="N316" s="27"/>
      <c r="O316" s="27"/>
      <c r="P316" s="27"/>
      <c r="Q316" s="27"/>
      <c r="R316" s="27"/>
    </row>
    <row r="317" spans="2:18" s="25" customFormat="1" x14ac:dyDescent="0.25">
      <c r="B317" s="323"/>
      <c r="D317" s="328"/>
      <c r="I317" s="57"/>
      <c r="M317" s="27"/>
      <c r="N317" s="27"/>
      <c r="O317" s="27"/>
      <c r="P317" s="27"/>
      <c r="Q317" s="27"/>
      <c r="R317" s="27"/>
    </row>
    <row r="318" spans="2:18" s="25" customFormat="1" x14ac:dyDescent="0.25">
      <c r="B318" s="323"/>
      <c r="D318" s="328"/>
      <c r="I318" s="57"/>
      <c r="M318" s="27"/>
      <c r="N318" s="27"/>
      <c r="O318" s="27"/>
      <c r="P318" s="27"/>
      <c r="Q318" s="27"/>
      <c r="R318" s="27"/>
    </row>
    <row r="319" spans="2:18" s="25" customFormat="1" x14ac:dyDescent="0.25">
      <c r="B319" s="323"/>
      <c r="D319" s="328"/>
      <c r="I319" s="57"/>
      <c r="M319" s="27"/>
      <c r="N319" s="27"/>
      <c r="O319" s="27"/>
      <c r="P319" s="27"/>
      <c r="Q319" s="27"/>
      <c r="R319" s="27"/>
    </row>
    <row r="320" spans="2:18" s="25" customFormat="1" x14ac:dyDescent="0.25">
      <c r="B320" s="323"/>
      <c r="D320" s="328"/>
      <c r="I320" s="57"/>
      <c r="M320" s="27"/>
      <c r="N320" s="27"/>
      <c r="O320" s="27"/>
      <c r="P320" s="27"/>
      <c r="Q320" s="27"/>
      <c r="R320" s="27"/>
    </row>
    <row r="321" spans="2:18" s="25" customFormat="1" x14ac:dyDescent="0.25">
      <c r="B321" s="323"/>
      <c r="D321" s="328"/>
      <c r="I321" s="57"/>
      <c r="M321" s="27"/>
      <c r="N321" s="27"/>
      <c r="O321" s="27"/>
      <c r="P321" s="27"/>
      <c r="Q321" s="27"/>
      <c r="R321" s="27"/>
    </row>
    <row r="322" spans="2:18" s="25" customFormat="1" x14ac:dyDescent="0.25">
      <c r="B322" s="323"/>
      <c r="D322" s="328"/>
      <c r="I322" s="57"/>
      <c r="M322" s="27"/>
      <c r="N322" s="27"/>
      <c r="O322" s="27"/>
      <c r="P322" s="27"/>
      <c r="Q322" s="27"/>
      <c r="R322" s="27"/>
    </row>
    <row r="323" spans="2:18" s="25" customFormat="1" x14ac:dyDescent="0.25">
      <c r="B323" s="323"/>
      <c r="D323" s="328"/>
      <c r="I323" s="57"/>
      <c r="M323" s="27"/>
      <c r="N323" s="27"/>
      <c r="O323" s="27"/>
      <c r="P323" s="27"/>
      <c r="Q323" s="27"/>
      <c r="R323" s="27"/>
    </row>
    <row r="324" spans="2:18" s="25" customFormat="1" x14ac:dyDescent="0.25">
      <c r="B324" s="323"/>
      <c r="D324" s="328"/>
      <c r="I324" s="57"/>
      <c r="M324" s="27"/>
      <c r="N324" s="27"/>
      <c r="O324" s="27"/>
      <c r="P324" s="27"/>
      <c r="Q324" s="27"/>
      <c r="R324" s="27"/>
    </row>
    <row r="325" spans="2:18" s="25" customFormat="1" x14ac:dyDescent="0.25">
      <c r="B325" s="323"/>
      <c r="D325" s="328"/>
      <c r="I325" s="57"/>
      <c r="M325" s="27"/>
      <c r="N325" s="27"/>
      <c r="O325" s="27"/>
      <c r="P325" s="27"/>
      <c r="Q325" s="27"/>
      <c r="R325" s="27"/>
    </row>
    <row r="326" spans="2:18" s="25" customFormat="1" x14ac:dyDescent="0.25">
      <c r="B326" s="323"/>
      <c r="D326" s="328"/>
      <c r="I326" s="57"/>
      <c r="M326" s="27"/>
      <c r="N326" s="27"/>
      <c r="O326" s="27"/>
      <c r="P326" s="27"/>
      <c r="Q326" s="27"/>
      <c r="R326" s="27"/>
    </row>
    <row r="327" spans="2:18" s="25" customFormat="1" x14ac:dyDescent="0.25">
      <c r="B327" s="323"/>
      <c r="D327" s="328"/>
      <c r="I327" s="57"/>
      <c r="M327" s="27"/>
      <c r="N327" s="27"/>
      <c r="O327" s="27"/>
      <c r="P327" s="27"/>
      <c r="Q327" s="27"/>
      <c r="R327" s="27"/>
    </row>
    <row r="328" spans="2:18" s="25" customFormat="1" x14ac:dyDescent="0.25">
      <c r="B328" s="323"/>
      <c r="D328" s="328"/>
      <c r="I328" s="57"/>
      <c r="M328" s="27"/>
      <c r="N328" s="27"/>
      <c r="O328" s="27"/>
      <c r="P328" s="27"/>
      <c r="Q328" s="27"/>
      <c r="R328" s="27"/>
    </row>
    <row r="329" spans="2:18" s="25" customFormat="1" x14ac:dyDescent="0.25">
      <c r="B329" s="323"/>
      <c r="D329" s="328"/>
      <c r="I329" s="57"/>
      <c r="M329" s="27"/>
      <c r="N329" s="27"/>
      <c r="O329" s="27"/>
      <c r="P329" s="27"/>
      <c r="Q329" s="27"/>
      <c r="R329" s="27"/>
    </row>
    <row r="330" spans="2:18" s="25" customFormat="1" x14ac:dyDescent="0.25">
      <c r="B330" s="323"/>
      <c r="D330" s="328"/>
      <c r="I330" s="57"/>
      <c r="M330" s="27"/>
      <c r="N330" s="27"/>
      <c r="O330" s="27"/>
      <c r="P330" s="27"/>
      <c r="Q330" s="27"/>
      <c r="R330" s="27"/>
    </row>
    <row r="331" spans="2:18" s="25" customFormat="1" x14ac:dyDescent="0.25">
      <c r="B331" s="323"/>
      <c r="D331" s="328"/>
      <c r="I331" s="57"/>
      <c r="M331" s="27"/>
      <c r="N331" s="27"/>
      <c r="O331" s="27"/>
      <c r="P331" s="27"/>
      <c r="Q331" s="27"/>
      <c r="R331" s="27"/>
    </row>
    <row r="332" spans="2:18" s="25" customFormat="1" x14ac:dyDescent="0.25">
      <c r="B332" s="323"/>
      <c r="D332" s="328"/>
      <c r="I332" s="57"/>
      <c r="M332" s="27"/>
      <c r="N332" s="27"/>
      <c r="O332" s="27"/>
      <c r="P332" s="27"/>
      <c r="Q332" s="27"/>
      <c r="R332" s="27"/>
    </row>
    <row r="333" spans="2:18" s="25" customFormat="1" x14ac:dyDescent="0.25">
      <c r="B333" s="323"/>
      <c r="D333" s="328"/>
      <c r="I333" s="57"/>
      <c r="M333" s="27"/>
      <c r="N333" s="27"/>
      <c r="O333" s="27"/>
      <c r="P333" s="27"/>
      <c r="Q333" s="27"/>
      <c r="R333" s="27"/>
    </row>
    <row r="334" spans="2:18" s="25" customFormat="1" x14ac:dyDescent="0.25">
      <c r="B334" s="323"/>
      <c r="D334" s="328"/>
      <c r="I334" s="57"/>
      <c r="M334" s="27"/>
      <c r="N334" s="27"/>
      <c r="O334" s="27"/>
      <c r="P334" s="27"/>
      <c r="Q334" s="27"/>
      <c r="R334" s="27"/>
    </row>
    <row r="335" spans="2:18" s="25" customFormat="1" x14ac:dyDescent="0.25">
      <c r="B335" s="323"/>
      <c r="D335" s="328"/>
      <c r="I335" s="57"/>
      <c r="M335" s="27"/>
      <c r="N335" s="27"/>
      <c r="O335" s="27"/>
      <c r="P335" s="27"/>
      <c r="Q335" s="27"/>
      <c r="R335" s="27"/>
    </row>
    <row r="336" spans="2:18" s="25" customFormat="1" x14ac:dyDescent="0.25">
      <c r="B336" s="323"/>
      <c r="D336" s="328"/>
      <c r="I336" s="57"/>
      <c r="M336" s="27"/>
      <c r="N336" s="27"/>
      <c r="O336" s="27"/>
      <c r="P336" s="27"/>
      <c r="Q336" s="27"/>
      <c r="R336" s="27"/>
    </row>
    <row r="337" spans="2:18" s="25" customFormat="1" x14ac:dyDescent="0.25">
      <c r="B337" s="323"/>
      <c r="D337" s="328"/>
      <c r="I337" s="57"/>
      <c r="M337" s="27"/>
      <c r="N337" s="27"/>
      <c r="O337" s="27"/>
      <c r="P337" s="27"/>
      <c r="Q337" s="27"/>
      <c r="R337" s="27"/>
    </row>
    <row r="338" spans="2:18" s="25" customFormat="1" x14ac:dyDescent="0.25">
      <c r="B338" s="323"/>
      <c r="D338" s="328"/>
      <c r="I338" s="57"/>
      <c r="M338" s="27"/>
      <c r="N338" s="27"/>
      <c r="O338" s="27"/>
      <c r="P338" s="27"/>
      <c r="Q338" s="27"/>
      <c r="R338" s="27"/>
    </row>
    <row r="339" spans="2:18" s="25" customFormat="1" x14ac:dyDescent="0.25">
      <c r="B339" s="323"/>
      <c r="D339" s="328"/>
      <c r="I339" s="57"/>
      <c r="M339" s="27"/>
      <c r="N339" s="27"/>
      <c r="O339" s="27"/>
      <c r="P339" s="27"/>
      <c r="Q339" s="27"/>
      <c r="R339" s="27"/>
    </row>
    <row r="340" spans="2:18" s="25" customFormat="1" x14ac:dyDescent="0.25">
      <c r="B340" s="323"/>
      <c r="D340" s="328"/>
      <c r="I340" s="57"/>
      <c r="M340" s="27"/>
      <c r="N340" s="27"/>
      <c r="O340" s="27"/>
      <c r="P340" s="27"/>
      <c r="Q340" s="27"/>
      <c r="R340" s="27"/>
    </row>
    <row r="341" spans="2:18" s="25" customFormat="1" x14ac:dyDescent="0.25">
      <c r="B341" s="323"/>
      <c r="D341" s="328"/>
      <c r="I341" s="57"/>
      <c r="M341" s="27"/>
      <c r="N341" s="27"/>
      <c r="O341" s="27"/>
      <c r="P341" s="27"/>
      <c r="Q341" s="27"/>
      <c r="R341" s="27"/>
    </row>
    <row r="342" spans="2:18" s="25" customFormat="1" x14ac:dyDescent="0.25">
      <c r="B342" s="323"/>
      <c r="D342" s="328"/>
      <c r="I342" s="57"/>
      <c r="M342" s="27"/>
      <c r="N342" s="27"/>
      <c r="O342" s="27"/>
      <c r="P342" s="27"/>
      <c r="Q342" s="27"/>
      <c r="R342" s="27"/>
    </row>
    <row r="343" spans="2:18" s="25" customFormat="1" x14ac:dyDescent="0.25">
      <c r="B343" s="323"/>
      <c r="D343" s="328"/>
      <c r="I343" s="57"/>
      <c r="M343" s="27"/>
      <c r="N343" s="27"/>
      <c r="O343" s="27"/>
      <c r="P343" s="27"/>
      <c r="Q343" s="27"/>
      <c r="R343" s="27"/>
    </row>
    <row r="344" spans="2:18" s="25" customFormat="1" x14ac:dyDescent="0.25">
      <c r="B344" s="323"/>
      <c r="D344" s="328"/>
      <c r="I344" s="57"/>
      <c r="M344" s="27"/>
      <c r="N344" s="27"/>
      <c r="O344" s="27"/>
      <c r="P344" s="27"/>
      <c r="Q344" s="27"/>
      <c r="R344" s="27"/>
    </row>
    <row r="345" spans="2:18" s="25" customFormat="1" x14ac:dyDescent="0.25">
      <c r="B345" s="323"/>
      <c r="D345" s="328"/>
      <c r="I345" s="57"/>
      <c r="M345" s="27"/>
      <c r="N345" s="27"/>
      <c r="O345" s="27"/>
      <c r="P345" s="27"/>
      <c r="Q345" s="27"/>
      <c r="R345" s="27"/>
    </row>
    <row r="346" spans="2:18" s="25" customFormat="1" x14ac:dyDescent="0.25">
      <c r="B346" s="323"/>
      <c r="D346" s="328"/>
      <c r="I346" s="57"/>
      <c r="M346" s="27"/>
      <c r="N346" s="27"/>
      <c r="O346" s="27"/>
      <c r="P346" s="27"/>
      <c r="Q346" s="27"/>
      <c r="R346" s="27"/>
    </row>
    <row r="347" spans="2:18" s="25" customFormat="1" x14ac:dyDescent="0.25">
      <c r="B347" s="323"/>
      <c r="D347" s="328"/>
      <c r="I347" s="57"/>
      <c r="M347" s="27"/>
      <c r="N347" s="27"/>
      <c r="O347" s="27"/>
      <c r="P347" s="27"/>
      <c r="Q347" s="27"/>
      <c r="R347" s="27"/>
    </row>
    <row r="348" spans="2:18" s="25" customFormat="1" x14ac:dyDescent="0.25">
      <c r="B348" s="323"/>
      <c r="D348" s="328"/>
      <c r="I348" s="57"/>
      <c r="M348" s="27"/>
      <c r="N348" s="27"/>
      <c r="O348" s="27"/>
      <c r="P348" s="27"/>
      <c r="Q348" s="27"/>
      <c r="R348" s="27"/>
    </row>
    <row r="349" spans="2:18" s="25" customFormat="1" x14ac:dyDescent="0.25">
      <c r="B349" s="323"/>
      <c r="D349" s="328"/>
      <c r="I349" s="57"/>
      <c r="M349" s="27"/>
      <c r="N349" s="27"/>
      <c r="O349" s="27"/>
      <c r="P349" s="27"/>
      <c r="Q349" s="27"/>
      <c r="R349" s="27"/>
    </row>
    <row r="350" spans="2:18" s="25" customFormat="1" x14ac:dyDescent="0.25">
      <c r="B350" s="323"/>
      <c r="D350" s="328"/>
      <c r="I350" s="57"/>
      <c r="M350" s="27"/>
      <c r="N350" s="27"/>
      <c r="O350" s="27"/>
      <c r="P350" s="27"/>
      <c r="Q350" s="27"/>
      <c r="R350" s="27"/>
    </row>
    <row r="351" spans="2:18" s="25" customFormat="1" x14ac:dyDescent="0.25">
      <c r="B351" s="323"/>
      <c r="D351" s="328"/>
      <c r="I351" s="57"/>
      <c r="M351" s="27"/>
      <c r="N351" s="27"/>
      <c r="O351" s="27"/>
      <c r="P351" s="27"/>
      <c r="Q351" s="27"/>
      <c r="R351" s="27"/>
    </row>
    <row r="352" spans="2:18" s="25" customFormat="1" x14ac:dyDescent="0.25">
      <c r="B352" s="323"/>
      <c r="D352" s="328"/>
      <c r="I352" s="57"/>
      <c r="M352" s="27"/>
      <c r="N352" s="27"/>
      <c r="O352" s="27"/>
      <c r="P352" s="27"/>
      <c r="Q352" s="27"/>
      <c r="R352" s="27"/>
    </row>
    <row r="353" spans="2:18" s="25" customFormat="1" x14ac:dyDescent="0.25">
      <c r="B353" s="323"/>
      <c r="D353" s="328"/>
      <c r="I353" s="57"/>
      <c r="M353" s="27"/>
      <c r="N353" s="27"/>
      <c r="O353" s="27"/>
      <c r="P353" s="27"/>
      <c r="Q353" s="27"/>
      <c r="R353" s="27"/>
    </row>
    <row r="354" spans="2:18" s="25" customFormat="1" x14ac:dyDescent="0.25">
      <c r="B354" s="323"/>
      <c r="D354" s="328"/>
      <c r="I354" s="57"/>
      <c r="M354" s="27"/>
      <c r="N354" s="27"/>
      <c r="O354" s="27"/>
      <c r="P354" s="27"/>
      <c r="Q354" s="27"/>
      <c r="R354" s="27"/>
    </row>
    <row r="355" spans="2:18" s="25" customFormat="1" x14ac:dyDescent="0.25">
      <c r="B355" s="323"/>
      <c r="D355" s="328"/>
      <c r="I355" s="57"/>
      <c r="M355" s="27"/>
      <c r="N355" s="27"/>
      <c r="O355" s="27"/>
      <c r="P355" s="27"/>
      <c r="Q355" s="27"/>
      <c r="R355" s="27"/>
    </row>
    <row r="356" spans="2:18" s="25" customFormat="1" x14ac:dyDescent="0.25">
      <c r="B356" s="323"/>
      <c r="D356" s="328"/>
      <c r="I356" s="57"/>
      <c r="M356" s="27"/>
      <c r="N356" s="27"/>
      <c r="O356" s="27"/>
      <c r="P356" s="27"/>
      <c r="Q356" s="27"/>
      <c r="R356" s="27"/>
    </row>
    <row r="357" spans="2:18" s="25" customFormat="1" x14ac:dyDescent="0.25">
      <c r="B357" s="323"/>
      <c r="D357" s="328"/>
      <c r="I357" s="57"/>
      <c r="M357" s="27"/>
      <c r="N357" s="27"/>
      <c r="O357" s="27"/>
      <c r="P357" s="27"/>
      <c r="Q357" s="27"/>
      <c r="R357" s="27"/>
    </row>
    <row r="358" spans="2:18" s="25" customFormat="1" x14ac:dyDescent="0.25">
      <c r="B358" s="323"/>
      <c r="D358" s="328"/>
      <c r="I358" s="57"/>
      <c r="M358" s="27"/>
      <c r="N358" s="27"/>
      <c r="O358" s="27"/>
      <c r="P358" s="27"/>
      <c r="Q358" s="27"/>
      <c r="R358" s="27"/>
    </row>
    <row r="359" spans="2:18" s="25" customFormat="1" x14ac:dyDescent="0.25">
      <c r="B359" s="323"/>
      <c r="D359" s="328"/>
      <c r="I359" s="57"/>
      <c r="M359" s="27"/>
      <c r="N359" s="27"/>
      <c r="O359" s="27"/>
      <c r="P359" s="27"/>
      <c r="Q359" s="27"/>
      <c r="R359" s="27"/>
    </row>
    <row r="360" spans="2:18" s="25" customFormat="1" x14ac:dyDescent="0.25">
      <c r="B360" s="323"/>
      <c r="D360" s="328"/>
      <c r="I360" s="57"/>
      <c r="M360" s="27"/>
      <c r="N360" s="27"/>
      <c r="O360" s="27"/>
      <c r="P360" s="27"/>
      <c r="Q360" s="27"/>
      <c r="R360" s="27"/>
    </row>
    <row r="361" spans="2:18" s="25" customFormat="1" x14ac:dyDescent="0.25">
      <c r="B361" s="323"/>
      <c r="D361" s="328"/>
      <c r="I361" s="57"/>
      <c r="M361" s="27"/>
      <c r="N361" s="27"/>
      <c r="O361" s="27"/>
      <c r="P361" s="27"/>
      <c r="Q361" s="27"/>
      <c r="R361" s="27"/>
    </row>
    <row r="362" spans="2:18" s="25" customFormat="1" x14ac:dyDescent="0.25">
      <c r="B362" s="323"/>
      <c r="D362" s="328"/>
      <c r="I362" s="57"/>
      <c r="M362" s="27"/>
      <c r="N362" s="27"/>
      <c r="O362" s="27"/>
      <c r="P362" s="27"/>
      <c r="Q362" s="27"/>
      <c r="R362" s="27"/>
    </row>
    <row r="363" spans="2:18" s="25" customFormat="1" x14ac:dyDescent="0.25">
      <c r="B363" s="323"/>
      <c r="D363" s="328"/>
      <c r="I363" s="57"/>
      <c r="M363" s="27"/>
      <c r="N363" s="27"/>
      <c r="O363" s="27"/>
      <c r="P363" s="27"/>
      <c r="Q363" s="27"/>
      <c r="R363" s="27"/>
    </row>
    <row r="364" spans="2:18" s="25" customFormat="1" x14ac:dyDescent="0.25">
      <c r="B364" s="323"/>
      <c r="D364" s="328"/>
      <c r="I364" s="57"/>
      <c r="M364" s="27"/>
      <c r="N364" s="27"/>
      <c r="O364" s="27"/>
      <c r="P364" s="27"/>
      <c r="Q364" s="27"/>
      <c r="R364" s="27"/>
    </row>
    <row r="365" spans="2:18" s="25" customFormat="1" x14ac:dyDescent="0.25">
      <c r="B365" s="323"/>
      <c r="D365" s="328"/>
      <c r="I365" s="57"/>
      <c r="M365" s="27"/>
      <c r="N365" s="27"/>
      <c r="O365" s="27"/>
      <c r="P365" s="27"/>
      <c r="Q365" s="27"/>
      <c r="R365" s="27"/>
    </row>
    <row r="366" spans="2:18" s="25" customFormat="1" x14ac:dyDescent="0.25">
      <c r="B366" s="323"/>
      <c r="D366" s="328"/>
      <c r="I366" s="57"/>
      <c r="M366" s="27"/>
      <c r="N366" s="27"/>
      <c r="O366" s="27"/>
      <c r="P366" s="27"/>
      <c r="Q366" s="27"/>
      <c r="R366" s="27"/>
    </row>
    <row r="367" spans="2:18" s="25" customFormat="1" x14ac:dyDescent="0.25">
      <c r="B367" s="323"/>
      <c r="D367" s="328"/>
      <c r="I367" s="57"/>
      <c r="M367" s="27"/>
      <c r="N367" s="27"/>
      <c r="O367" s="27"/>
      <c r="P367" s="27"/>
      <c r="Q367" s="27"/>
      <c r="R367" s="27"/>
    </row>
    <row r="368" spans="2:18" s="25" customFormat="1" x14ac:dyDescent="0.25">
      <c r="B368" s="323"/>
      <c r="D368" s="328"/>
      <c r="I368" s="57"/>
      <c r="M368" s="27"/>
      <c r="N368" s="27"/>
      <c r="O368" s="27"/>
      <c r="P368" s="27"/>
      <c r="Q368" s="27"/>
      <c r="R368" s="27"/>
    </row>
    <row r="369" spans="2:18" s="25" customFormat="1" x14ac:dyDescent="0.25">
      <c r="B369" s="323"/>
      <c r="D369" s="328"/>
      <c r="I369" s="57"/>
      <c r="M369" s="27"/>
      <c r="N369" s="27"/>
      <c r="O369" s="27"/>
      <c r="P369" s="27"/>
      <c r="Q369" s="27"/>
      <c r="R369" s="27"/>
    </row>
    <row r="370" spans="2:18" s="25" customFormat="1" x14ac:dyDescent="0.25">
      <c r="B370" s="323"/>
      <c r="D370" s="328"/>
      <c r="I370" s="57"/>
      <c r="M370" s="27"/>
      <c r="N370" s="27"/>
      <c r="O370" s="27"/>
      <c r="P370" s="27"/>
      <c r="Q370" s="27"/>
      <c r="R370" s="27"/>
    </row>
    <row r="371" spans="2:18" s="25" customFormat="1" x14ac:dyDescent="0.25">
      <c r="B371" s="323"/>
      <c r="D371" s="328"/>
      <c r="I371" s="57"/>
      <c r="M371" s="27"/>
      <c r="N371" s="27"/>
      <c r="O371" s="27"/>
      <c r="P371" s="27"/>
      <c r="Q371" s="27"/>
      <c r="R371" s="27"/>
    </row>
    <row r="372" spans="2:18" s="25" customFormat="1" x14ac:dyDescent="0.25">
      <c r="B372" s="323"/>
      <c r="D372" s="328"/>
      <c r="I372" s="57"/>
      <c r="M372" s="27"/>
      <c r="N372" s="27"/>
      <c r="O372" s="27"/>
      <c r="P372" s="27"/>
      <c r="Q372" s="27"/>
      <c r="R372" s="27"/>
    </row>
    <row r="373" spans="2:18" s="25" customFormat="1" x14ac:dyDescent="0.25">
      <c r="B373" s="323"/>
      <c r="D373" s="328"/>
      <c r="I373" s="57"/>
      <c r="M373" s="27"/>
      <c r="N373" s="27"/>
      <c r="O373" s="27"/>
      <c r="P373" s="27"/>
      <c r="Q373" s="27"/>
      <c r="R373" s="27"/>
    </row>
    <row r="374" spans="2:18" s="25" customFormat="1" x14ac:dyDescent="0.25">
      <c r="B374" s="323"/>
      <c r="D374" s="328"/>
      <c r="I374" s="57"/>
      <c r="M374" s="27"/>
      <c r="N374" s="27"/>
      <c r="O374" s="27"/>
      <c r="P374" s="27"/>
      <c r="Q374" s="27"/>
      <c r="R374" s="27"/>
    </row>
    <row r="375" spans="2:18" s="25" customFormat="1" x14ac:dyDescent="0.25">
      <c r="B375" s="323"/>
      <c r="D375" s="328"/>
      <c r="I375" s="57"/>
      <c r="M375" s="27"/>
      <c r="N375" s="27"/>
      <c r="O375" s="27"/>
      <c r="P375" s="27"/>
      <c r="Q375" s="27"/>
      <c r="R375" s="27"/>
    </row>
    <row r="376" spans="2:18" s="25" customFormat="1" x14ac:dyDescent="0.25">
      <c r="B376" s="323"/>
      <c r="D376" s="328"/>
      <c r="I376" s="57"/>
      <c r="M376" s="27"/>
      <c r="N376" s="27"/>
      <c r="O376" s="27"/>
      <c r="P376" s="27"/>
      <c r="Q376" s="27"/>
      <c r="R376" s="27"/>
    </row>
    <row r="377" spans="2:18" s="25" customFormat="1" x14ac:dyDescent="0.25">
      <c r="B377" s="323"/>
      <c r="D377" s="328"/>
      <c r="I377" s="57"/>
      <c r="M377" s="27"/>
      <c r="N377" s="27"/>
      <c r="O377" s="27"/>
      <c r="P377" s="27"/>
      <c r="Q377" s="27"/>
      <c r="R377" s="27"/>
    </row>
    <row r="378" spans="2:18" s="25" customFormat="1" x14ac:dyDescent="0.25">
      <c r="B378" s="323"/>
      <c r="D378" s="328"/>
      <c r="I378" s="57"/>
      <c r="M378" s="27"/>
      <c r="N378" s="27"/>
      <c r="O378" s="27"/>
      <c r="P378" s="27"/>
      <c r="Q378" s="27"/>
      <c r="R378" s="27"/>
    </row>
    <row r="379" spans="2:18" s="25" customFormat="1" x14ac:dyDescent="0.25">
      <c r="B379" s="323"/>
      <c r="D379" s="328"/>
      <c r="I379" s="57"/>
      <c r="M379" s="27"/>
      <c r="N379" s="27"/>
      <c r="O379" s="27"/>
      <c r="P379" s="27"/>
      <c r="Q379" s="27"/>
      <c r="R379" s="27"/>
    </row>
    <row r="380" spans="2:18" s="25" customFormat="1" x14ac:dyDescent="0.25">
      <c r="B380" s="323"/>
      <c r="D380" s="328"/>
      <c r="I380" s="57"/>
      <c r="M380" s="27"/>
      <c r="N380" s="27"/>
      <c r="O380" s="27"/>
      <c r="P380" s="27"/>
      <c r="Q380" s="27"/>
      <c r="R380" s="27"/>
    </row>
    <row r="381" spans="2:18" s="25" customFormat="1" x14ac:dyDescent="0.25">
      <c r="B381" s="323"/>
      <c r="D381" s="328"/>
      <c r="I381" s="57"/>
      <c r="M381" s="27"/>
      <c r="N381" s="27"/>
      <c r="O381" s="27"/>
      <c r="P381" s="27"/>
      <c r="Q381" s="27"/>
      <c r="R381" s="27"/>
    </row>
    <row r="382" spans="2:18" s="25" customFormat="1" x14ac:dyDescent="0.25">
      <c r="B382" s="323"/>
      <c r="D382" s="328"/>
      <c r="I382" s="57"/>
      <c r="M382" s="27"/>
      <c r="N382" s="27"/>
      <c r="O382" s="27"/>
      <c r="P382" s="27"/>
      <c r="Q382" s="27"/>
      <c r="R382" s="27"/>
    </row>
    <row r="383" spans="2:18" s="25" customFormat="1" x14ac:dyDescent="0.25">
      <c r="B383" s="323"/>
      <c r="D383" s="328"/>
      <c r="I383" s="57"/>
      <c r="M383" s="27"/>
      <c r="N383" s="27"/>
      <c r="O383" s="27"/>
      <c r="P383" s="27"/>
      <c r="Q383" s="27"/>
      <c r="R383" s="27"/>
    </row>
    <row r="384" spans="2:18" s="25" customFormat="1" x14ac:dyDescent="0.25">
      <c r="B384" s="323"/>
      <c r="D384" s="328"/>
      <c r="I384" s="57"/>
      <c r="M384" s="27"/>
      <c r="N384" s="27"/>
      <c r="O384" s="27"/>
      <c r="P384" s="27"/>
      <c r="Q384" s="27"/>
      <c r="R384" s="27"/>
    </row>
    <row r="385" spans="2:18" s="25" customFormat="1" x14ac:dyDescent="0.25">
      <c r="B385" s="323"/>
      <c r="D385" s="328"/>
      <c r="I385" s="57"/>
      <c r="M385" s="27"/>
      <c r="N385" s="27"/>
      <c r="O385" s="27"/>
      <c r="P385" s="27"/>
      <c r="Q385" s="27"/>
      <c r="R385" s="27"/>
    </row>
    <row r="386" spans="2:18" s="25" customFormat="1" x14ac:dyDescent="0.25">
      <c r="B386" s="323"/>
      <c r="D386" s="328"/>
      <c r="I386" s="57"/>
      <c r="M386" s="27"/>
      <c r="N386" s="27"/>
      <c r="O386" s="27"/>
      <c r="P386" s="27"/>
      <c r="Q386" s="27"/>
      <c r="R386" s="27"/>
    </row>
    <row r="387" spans="2:18" s="25" customFormat="1" x14ac:dyDescent="0.25">
      <c r="B387" s="323"/>
      <c r="D387" s="328"/>
      <c r="I387" s="57"/>
      <c r="M387" s="27"/>
      <c r="N387" s="27"/>
      <c r="O387" s="27"/>
      <c r="P387" s="27"/>
      <c r="Q387" s="27"/>
      <c r="R387" s="27"/>
    </row>
    <row r="388" spans="2:18" s="25" customFormat="1" x14ac:dyDescent="0.25">
      <c r="B388" s="323"/>
      <c r="D388" s="328"/>
      <c r="I388" s="57"/>
      <c r="M388" s="27"/>
      <c r="N388" s="27"/>
      <c r="O388" s="27"/>
      <c r="P388" s="27"/>
      <c r="Q388" s="27"/>
      <c r="R388" s="27"/>
    </row>
    <row r="389" spans="2:18" s="25" customFormat="1" x14ac:dyDescent="0.25">
      <c r="B389" s="323"/>
      <c r="D389" s="328"/>
      <c r="I389" s="57"/>
      <c r="M389" s="27"/>
      <c r="N389" s="27"/>
      <c r="O389" s="27"/>
      <c r="P389" s="27"/>
      <c r="Q389" s="27"/>
      <c r="R389" s="27"/>
    </row>
    <row r="390" spans="2:18" s="25" customFormat="1" x14ac:dyDescent="0.25">
      <c r="B390" s="323"/>
      <c r="D390" s="328"/>
      <c r="I390" s="57"/>
      <c r="M390" s="27"/>
      <c r="N390" s="27"/>
      <c r="O390" s="27"/>
      <c r="P390" s="27"/>
      <c r="Q390" s="27"/>
      <c r="R390" s="27"/>
    </row>
    <row r="391" spans="2:18" s="25" customFormat="1" x14ac:dyDescent="0.25">
      <c r="B391" s="323"/>
      <c r="D391" s="328"/>
      <c r="I391" s="57"/>
      <c r="M391" s="27"/>
      <c r="N391" s="27"/>
      <c r="O391" s="27"/>
      <c r="P391" s="27"/>
      <c r="Q391" s="27"/>
      <c r="R391" s="27"/>
    </row>
    <row r="392" spans="2:18" s="25" customFormat="1" x14ac:dyDescent="0.25">
      <c r="B392" s="323"/>
      <c r="D392" s="328"/>
      <c r="I392" s="57"/>
      <c r="M392" s="27"/>
      <c r="N392" s="27"/>
      <c r="O392" s="27"/>
      <c r="P392" s="27"/>
      <c r="Q392" s="27"/>
      <c r="R392" s="27"/>
    </row>
    <row r="393" spans="2:18" s="25" customFormat="1" x14ac:dyDescent="0.25">
      <c r="B393" s="323"/>
      <c r="D393" s="328"/>
      <c r="I393" s="57"/>
      <c r="M393" s="27"/>
      <c r="N393" s="27"/>
      <c r="O393" s="27"/>
      <c r="P393" s="27"/>
      <c r="Q393" s="27"/>
      <c r="R393" s="27"/>
    </row>
    <row r="394" spans="2:18" s="25" customFormat="1" x14ac:dyDescent="0.25">
      <c r="B394" s="323"/>
      <c r="D394" s="328"/>
      <c r="I394" s="57"/>
      <c r="M394" s="27"/>
      <c r="N394" s="27"/>
      <c r="O394" s="27"/>
      <c r="P394" s="27"/>
      <c r="Q394" s="27"/>
      <c r="R394" s="27"/>
    </row>
    <row r="395" spans="2:18" s="25" customFormat="1" x14ac:dyDescent="0.25">
      <c r="B395" s="323"/>
      <c r="D395" s="328"/>
      <c r="I395" s="57"/>
      <c r="M395" s="27"/>
      <c r="N395" s="27"/>
      <c r="O395" s="27"/>
      <c r="P395" s="27"/>
      <c r="Q395" s="27"/>
      <c r="R395" s="27"/>
    </row>
    <row r="396" spans="2:18" s="25" customFormat="1" x14ac:dyDescent="0.25">
      <c r="B396" s="323"/>
      <c r="D396" s="328"/>
      <c r="I396" s="57"/>
      <c r="M396" s="27"/>
      <c r="N396" s="27"/>
      <c r="O396" s="27"/>
      <c r="P396" s="27"/>
      <c r="Q396" s="27"/>
      <c r="R396" s="27"/>
    </row>
    <row r="397" spans="2:18" s="25" customFormat="1" x14ac:dyDescent="0.25">
      <c r="B397" s="323"/>
      <c r="D397" s="328"/>
      <c r="I397" s="57"/>
      <c r="M397" s="27"/>
      <c r="N397" s="27"/>
      <c r="O397" s="27"/>
      <c r="P397" s="27"/>
      <c r="Q397" s="27"/>
      <c r="R397" s="27"/>
    </row>
    <row r="398" spans="2:18" s="25" customFormat="1" x14ac:dyDescent="0.25">
      <c r="B398" s="323"/>
      <c r="D398" s="328"/>
      <c r="I398" s="57"/>
      <c r="M398" s="27"/>
      <c r="N398" s="27"/>
      <c r="O398" s="27"/>
      <c r="P398" s="27"/>
      <c r="Q398" s="27"/>
      <c r="R398" s="27"/>
    </row>
    <row r="399" spans="2:18" s="25" customFormat="1" x14ac:dyDescent="0.25">
      <c r="B399" s="323"/>
      <c r="D399" s="328"/>
      <c r="I399" s="57"/>
      <c r="M399" s="27"/>
      <c r="N399" s="27"/>
      <c r="O399" s="27"/>
      <c r="P399" s="27"/>
      <c r="Q399" s="27"/>
      <c r="R399" s="27"/>
    </row>
    <row r="400" spans="2:18" s="25" customFormat="1" x14ac:dyDescent="0.25">
      <c r="B400" s="323"/>
      <c r="D400" s="328"/>
      <c r="I400" s="57"/>
      <c r="M400" s="27"/>
      <c r="N400" s="27"/>
      <c r="O400" s="27"/>
      <c r="P400" s="27"/>
      <c r="Q400" s="27"/>
      <c r="R400" s="27"/>
    </row>
    <row r="401" spans="2:18" s="25" customFormat="1" x14ac:dyDescent="0.25">
      <c r="B401" s="323"/>
      <c r="D401" s="328"/>
      <c r="I401" s="57"/>
      <c r="M401" s="27"/>
      <c r="N401" s="27"/>
      <c r="O401" s="27"/>
      <c r="P401" s="27"/>
      <c r="Q401" s="27"/>
      <c r="R401" s="27"/>
    </row>
    <row r="402" spans="2:18" s="25" customFormat="1" x14ac:dyDescent="0.25">
      <c r="B402" s="323"/>
      <c r="D402" s="328"/>
      <c r="I402" s="57"/>
      <c r="M402" s="27"/>
      <c r="N402" s="27"/>
      <c r="O402" s="27"/>
      <c r="P402" s="27"/>
      <c r="Q402" s="27"/>
      <c r="R402" s="27"/>
    </row>
    <row r="403" spans="2:18" s="25" customFormat="1" x14ac:dyDescent="0.25">
      <c r="B403" s="323"/>
      <c r="D403" s="328"/>
      <c r="I403" s="57"/>
      <c r="M403" s="27"/>
      <c r="N403" s="27"/>
      <c r="O403" s="27"/>
      <c r="P403" s="27"/>
      <c r="Q403" s="27"/>
      <c r="R403" s="27"/>
    </row>
    <row r="404" spans="2:18" s="25" customFormat="1" x14ac:dyDescent="0.25">
      <c r="B404" s="323"/>
      <c r="D404" s="328"/>
      <c r="I404" s="57"/>
      <c r="M404" s="27"/>
      <c r="N404" s="27"/>
      <c r="O404" s="27"/>
      <c r="P404" s="27"/>
      <c r="Q404" s="27"/>
      <c r="R404" s="27"/>
    </row>
    <row r="405" spans="2:18" s="25" customFormat="1" x14ac:dyDescent="0.25">
      <c r="B405" s="323"/>
      <c r="D405" s="328"/>
      <c r="I405" s="57"/>
      <c r="M405" s="27"/>
      <c r="N405" s="27"/>
      <c r="O405" s="27"/>
      <c r="P405" s="27"/>
      <c r="Q405" s="27"/>
      <c r="R405" s="27"/>
    </row>
    <row r="406" spans="2:18" s="25" customFormat="1" x14ac:dyDescent="0.25">
      <c r="B406" s="323"/>
      <c r="D406" s="328"/>
      <c r="I406" s="57"/>
      <c r="M406" s="27"/>
      <c r="N406" s="27"/>
      <c r="O406" s="27"/>
      <c r="P406" s="27"/>
      <c r="Q406" s="27"/>
      <c r="R406" s="27"/>
    </row>
    <row r="407" spans="2:18" s="25" customFormat="1" x14ac:dyDescent="0.25">
      <c r="B407" s="323"/>
      <c r="D407" s="328"/>
      <c r="I407" s="57"/>
      <c r="M407" s="27"/>
      <c r="N407" s="27"/>
      <c r="O407" s="27"/>
      <c r="P407" s="27"/>
      <c r="Q407" s="27"/>
      <c r="R407" s="27"/>
    </row>
    <row r="408" spans="2:18" s="25" customFormat="1" x14ac:dyDescent="0.25">
      <c r="B408" s="323"/>
      <c r="D408" s="328"/>
      <c r="I408" s="57"/>
      <c r="M408" s="27"/>
      <c r="N408" s="27"/>
      <c r="O408" s="27"/>
      <c r="P408" s="27"/>
      <c r="Q408" s="27"/>
      <c r="R408" s="27"/>
    </row>
    <row r="409" spans="2:18" s="25" customFormat="1" x14ac:dyDescent="0.25">
      <c r="B409" s="323"/>
      <c r="D409" s="328"/>
      <c r="I409" s="57"/>
      <c r="M409" s="27"/>
      <c r="N409" s="27"/>
      <c r="O409" s="27"/>
      <c r="P409" s="27"/>
      <c r="Q409" s="27"/>
      <c r="R409" s="27"/>
    </row>
    <row r="410" spans="2:18" s="25" customFormat="1" x14ac:dyDescent="0.25">
      <c r="B410" s="323"/>
      <c r="D410" s="328"/>
      <c r="I410" s="57"/>
      <c r="M410" s="27"/>
      <c r="N410" s="27"/>
      <c r="O410" s="27"/>
      <c r="P410" s="27"/>
      <c r="Q410" s="27"/>
      <c r="R410" s="27"/>
    </row>
    <row r="411" spans="2:18" s="25" customFormat="1" x14ac:dyDescent="0.25">
      <c r="B411" s="323"/>
      <c r="D411" s="328"/>
      <c r="I411" s="57"/>
      <c r="M411" s="27"/>
      <c r="N411" s="27"/>
      <c r="O411" s="27"/>
      <c r="P411" s="27"/>
      <c r="Q411" s="27"/>
      <c r="R411" s="27"/>
    </row>
    <row r="412" spans="2:18" s="25" customFormat="1" x14ac:dyDescent="0.25">
      <c r="B412" s="323"/>
      <c r="D412" s="328"/>
      <c r="I412" s="57"/>
      <c r="M412" s="27"/>
      <c r="N412" s="27"/>
      <c r="O412" s="27"/>
      <c r="P412" s="27"/>
      <c r="Q412" s="27"/>
      <c r="R412" s="27"/>
    </row>
    <row r="413" spans="2:18" s="25" customFormat="1" x14ac:dyDescent="0.25">
      <c r="B413" s="323"/>
      <c r="D413" s="328"/>
      <c r="I413" s="57"/>
      <c r="M413" s="27"/>
      <c r="N413" s="27"/>
      <c r="O413" s="27"/>
      <c r="P413" s="27"/>
      <c r="Q413" s="27"/>
      <c r="R413" s="27"/>
    </row>
    <row r="414" spans="2:18" s="25" customFormat="1" x14ac:dyDescent="0.25">
      <c r="B414" s="323"/>
      <c r="D414" s="328"/>
      <c r="I414" s="57"/>
      <c r="M414" s="27"/>
      <c r="N414" s="27"/>
      <c r="O414" s="27"/>
      <c r="P414" s="27"/>
      <c r="Q414" s="27"/>
      <c r="R414" s="27"/>
    </row>
    <row r="415" spans="2:18" s="25" customFormat="1" x14ac:dyDescent="0.25">
      <c r="B415" s="323"/>
      <c r="D415" s="328"/>
      <c r="I415" s="57"/>
      <c r="M415" s="27"/>
      <c r="N415" s="27"/>
      <c r="O415" s="27"/>
      <c r="P415" s="27"/>
      <c r="Q415" s="27"/>
      <c r="R415" s="27"/>
    </row>
    <row r="416" spans="2:18" s="25" customFormat="1" x14ac:dyDescent="0.25">
      <c r="B416" s="323"/>
      <c r="D416" s="328"/>
      <c r="I416" s="57"/>
      <c r="M416" s="27"/>
      <c r="N416" s="27"/>
      <c r="O416" s="27"/>
      <c r="P416" s="27"/>
      <c r="Q416" s="27"/>
      <c r="R416" s="27"/>
    </row>
    <row r="417" spans="2:18" s="25" customFormat="1" x14ac:dyDescent="0.25">
      <c r="B417" s="323"/>
      <c r="D417" s="328"/>
      <c r="I417" s="57"/>
      <c r="M417" s="27"/>
      <c r="N417" s="27"/>
      <c r="O417" s="27"/>
      <c r="P417" s="27"/>
      <c r="Q417" s="27"/>
      <c r="R417" s="27"/>
    </row>
    <row r="418" spans="2:18" s="25" customFormat="1" x14ac:dyDescent="0.25">
      <c r="B418" s="323"/>
      <c r="D418" s="328"/>
      <c r="I418" s="57"/>
      <c r="M418" s="27"/>
      <c r="N418" s="27"/>
      <c r="O418" s="27"/>
      <c r="P418" s="27"/>
      <c r="Q418" s="27"/>
      <c r="R418" s="27"/>
    </row>
    <row r="419" spans="2:18" s="25" customFormat="1" x14ac:dyDescent="0.25">
      <c r="B419" s="323"/>
      <c r="D419" s="328"/>
      <c r="I419" s="57"/>
      <c r="M419" s="27"/>
      <c r="N419" s="27"/>
      <c r="O419" s="27"/>
      <c r="P419" s="27"/>
      <c r="Q419" s="27"/>
      <c r="R419" s="27"/>
    </row>
    <row r="420" spans="2:18" s="25" customFormat="1" x14ac:dyDescent="0.25">
      <c r="B420" s="323"/>
      <c r="D420" s="328"/>
      <c r="I420" s="57"/>
      <c r="M420" s="27"/>
      <c r="N420" s="27"/>
      <c r="O420" s="27"/>
      <c r="P420" s="27"/>
      <c r="Q420" s="27"/>
      <c r="R420" s="27"/>
    </row>
    <row r="421" spans="2:18" s="25" customFormat="1" x14ac:dyDescent="0.25">
      <c r="B421" s="323"/>
      <c r="D421" s="328"/>
      <c r="I421" s="57"/>
      <c r="M421" s="27"/>
      <c r="N421" s="27"/>
      <c r="O421" s="27"/>
      <c r="P421" s="27"/>
      <c r="Q421" s="27"/>
      <c r="R421" s="27"/>
    </row>
    <row r="422" spans="2:18" s="25" customFormat="1" x14ac:dyDescent="0.25">
      <c r="B422" s="323"/>
      <c r="D422" s="328"/>
      <c r="I422" s="57"/>
      <c r="M422" s="27"/>
      <c r="N422" s="27"/>
      <c r="O422" s="27"/>
      <c r="P422" s="27"/>
      <c r="Q422" s="27"/>
      <c r="R422" s="27"/>
    </row>
    <row r="423" spans="2:18" s="25" customFormat="1" x14ac:dyDescent="0.25">
      <c r="B423" s="323"/>
      <c r="D423" s="328"/>
      <c r="I423" s="57"/>
      <c r="M423" s="27"/>
      <c r="N423" s="27"/>
      <c r="O423" s="27"/>
      <c r="P423" s="27"/>
      <c r="Q423" s="27"/>
      <c r="R423" s="27"/>
    </row>
    <row r="424" spans="2:18" s="25" customFormat="1" x14ac:dyDescent="0.25">
      <c r="B424" s="323"/>
      <c r="D424" s="328"/>
      <c r="I424" s="57"/>
      <c r="M424" s="27"/>
      <c r="N424" s="27"/>
      <c r="O424" s="27"/>
      <c r="P424" s="27"/>
      <c r="Q424" s="27"/>
      <c r="R424" s="27"/>
    </row>
    <row r="425" spans="2:18" s="25" customFormat="1" x14ac:dyDescent="0.25">
      <c r="B425" s="323"/>
      <c r="D425" s="328"/>
      <c r="I425" s="57"/>
      <c r="M425" s="27"/>
      <c r="N425" s="27"/>
      <c r="O425" s="27"/>
      <c r="P425" s="27"/>
      <c r="Q425" s="27"/>
      <c r="R425" s="27"/>
    </row>
    <row r="426" spans="2:18" s="25" customFormat="1" x14ac:dyDescent="0.25">
      <c r="B426" s="323"/>
      <c r="D426" s="328"/>
      <c r="I426" s="57"/>
      <c r="M426" s="27"/>
      <c r="N426" s="27"/>
      <c r="O426" s="27"/>
      <c r="P426" s="27"/>
      <c r="Q426" s="27"/>
      <c r="R426" s="27"/>
    </row>
    <row r="427" spans="2:18" s="25" customFormat="1" x14ac:dyDescent="0.25">
      <c r="B427" s="323"/>
      <c r="D427" s="328"/>
      <c r="I427" s="57"/>
      <c r="M427" s="27"/>
      <c r="N427" s="27"/>
      <c r="O427" s="27"/>
      <c r="P427" s="27"/>
      <c r="Q427" s="27"/>
      <c r="R427" s="27"/>
    </row>
    <row r="428" spans="2:18" s="25" customFormat="1" x14ac:dyDescent="0.25">
      <c r="B428" s="323"/>
      <c r="D428" s="328"/>
      <c r="I428" s="57"/>
      <c r="M428" s="27"/>
      <c r="N428" s="27"/>
      <c r="O428" s="27"/>
      <c r="P428" s="27"/>
      <c r="Q428" s="27"/>
      <c r="R428" s="27"/>
    </row>
    <row r="429" spans="2:18" s="25" customFormat="1" x14ac:dyDescent="0.25">
      <c r="B429" s="323"/>
      <c r="D429" s="328"/>
      <c r="I429" s="57"/>
      <c r="M429" s="27"/>
      <c r="N429" s="27"/>
      <c r="O429" s="27"/>
      <c r="P429" s="27"/>
      <c r="Q429" s="27"/>
      <c r="R429" s="27"/>
    </row>
    <row r="430" spans="2:18" s="25" customFormat="1" x14ac:dyDescent="0.25">
      <c r="B430" s="323"/>
      <c r="D430" s="328"/>
      <c r="I430" s="57"/>
      <c r="M430" s="27"/>
      <c r="N430" s="27"/>
      <c r="O430" s="27"/>
      <c r="P430" s="27"/>
      <c r="Q430" s="27"/>
      <c r="R430" s="27"/>
    </row>
    <row r="431" spans="2:18" s="25" customFormat="1" x14ac:dyDescent="0.25">
      <c r="B431" s="323"/>
      <c r="D431" s="328"/>
      <c r="I431" s="57"/>
      <c r="M431" s="27"/>
      <c r="N431" s="27"/>
      <c r="O431" s="27"/>
      <c r="P431" s="27"/>
      <c r="Q431" s="27"/>
      <c r="R431" s="27"/>
    </row>
    <row r="432" spans="2:18" s="25" customFormat="1" x14ac:dyDescent="0.25">
      <c r="B432" s="323"/>
      <c r="D432" s="328"/>
      <c r="I432" s="57"/>
      <c r="M432" s="27"/>
      <c r="N432" s="27"/>
      <c r="O432" s="27"/>
      <c r="P432" s="27"/>
      <c r="Q432" s="27"/>
      <c r="R432" s="27"/>
    </row>
    <row r="433" spans="2:18" s="25" customFormat="1" x14ac:dyDescent="0.25">
      <c r="B433" s="323"/>
      <c r="D433" s="328"/>
      <c r="I433" s="57"/>
      <c r="M433" s="27"/>
      <c r="N433" s="27"/>
      <c r="O433" s="27"/>
      <c r="P433" s="27"/>
      <c r="Q433" s="27"/>
      <c r="R433" s="27"/>
    </row>
    <row r="434" spans="2:18" s="25" customFormat="1" x14ac:dyDescent="0.25">
      <c r="B434" s="323"/>
      <c r="D434" s="328"/>
      <c r="I434" s="57"/>
      <c r="M434" s="27"/>
      <c r="N434" s="27"/>
      <c r="O434" s="27"/>
      <c r="P434" s="27"/>
      <c r="Q434" s="27"/>
      <c r="R434" s="27"/>
    </row>
    <row r="435" spans="2:18" s="25" customFormat="1" x14ac:dyDescent="0.25">
      <c r="B435" s="323"/>
      <c r="D435" s="328"/>
      <c r="I435" s="57"/>
      <c r="M435" s="27"/>
      <c r="N435" s="27"/>
      <c r="O435" s="27"/>
      <c r="P435" s="27"/>
      <c r="Q435" s="27"/>
      <c r="R435" s="27"/>
    </row>
    <row r="436" spans="2:18" s="25" customFormat="1" x14ac:dyDescent="0.25">
      <c r="B436" s="323"/>
      <c r="D436" s="328"/>
      <c r="I436" s="57"/>
      <c r="M436" s="27"/>
      <c r="N436" s="27"/>
      <c r="O436" s="27"/>
      <c r="P436" s="27"/>
      <c r="Q436" s="27"/>
      <c r="R436" s="27"/>
    </row>
    <row r="437" spans="2:18" s="25" customFormat="1" x14ac:dyDescent="0.25">
      <c r="B437" s="323"/>
      <c r="D437" s="328"/>
      <c r="I437" s="57"/>
      <c r="M437" s="27"/>
      <c r="N437" s="27"/>
      <c r="O437" s="27"/>
      <c r="P437" s="27"/>
      <c r="Q437" s="27"/>
      <c r="R437" s="27"/>
    </row>
    <row r="438" spans="2:18" s="25" customFormat="1" x14ac:dyDescent="0.25">
      <c r="B438" s="323"/>
      <c r="D438" s="328"/>
      <c r="I438" s="57"/>
      <c r="M438" s="27"/>
      <c r="N438" s="27"/>
      <c r="O438" s="27"/>
      <c r="P438" s="27"/>
      <c r="Q438" s="27"/>
      <c r="R438" s="27"/>
    </row>
    <row r="439" spans="2:18" s="25" customFormat="1" x14ac:dyDescent="0.25">
      <c r="B439" s="323"/>
      <c r="D439" s="328"/>
      <c r="I439" s="57"/>
      <c r="M439" s="27"/>
      <c r="N439" s="27"/>
      <c r="O439" s="27"/>
      <c r="P439" s="27"/>
      <c r="Q439" s="27"/>
      <c r="R439" s="27"/>
    </row>
    <row r="440" spans="2:18" s="25" customFormat="1" x14ac:dyDescent="0.25">
      <c r="B440" s="323"/>
      <c r="D440" s="328"/>
      <c r="I440" s="57"/>
      <c r="M440" s="27"/>
      <c r="N440" s="27"/>
      <c r="O440" s="27"/>
      <c r="P440" s="27"/>
      <c r="Q440" s="27"/>
      <c r="R440" s="27"/>
    </row>
    <row r="441" spans="2:18" s="25" customFormat="1" x14ac:dyDescent="0.25">
      <c r="B441" s="323"/>
      <c r="D441" s="328"/>
      <c r="I441" s="57"/>
      <c r="M441" s="27"/>
      <c r="N441" s="27"/>
      <c r="O441" s="27"/>
      <c r="P441" s="27"/>
      <c r="Q441" s="27"/>
      <c r="R441" s="27"/>
    </row>
    <row r="442" spans="2:18" s="25" customFormat="1" x14ac:dyDescent="0.25">
      <c r="B442" s="323"/>
      <c r="D442" s="328"/>
      <c r="I442" s="57"/>
      <c r="M442" s="27"/>
      <c r="N442" s="27"/>
      <c r="O442" s="27"/>
      <c r="P442" s="27"/>
      <c r="Q442" s="27"/>
      <c r="R442" s="27"/>
    </row>
    <row r="443" spans="2:18" s="25" customFormat="1" x14ac:dyDescent="0.25">
      <c r="B443" s="323"/>
      <c r="D443" s="328"/>
      <c r="I443" s="57"/>
      <c r="M443" s="27"/>
      <c r="N443" s="27"/>
      <c r="O443" s="27"/>
      <c r="P443" s="27"/>
      <c r="Q443" s="27"/>
      <c r="R443" s="27"/>
    </row>
    <row r="444" spans="2:18" s="25" customFormat="1" x14ac:dyDescent="0.25">
      <c r="B444" s="323"/>
      <c r="D444" s="328"/>
      <c r="I444" s="57"/>
      <c r="M444" s="27"/>
      <c r="N444" s="27"/>
      <c r="O444" s="27"/>
      <c r="P444" s="27"/>
      <c r="Q444" s="27"/>
      <c r="R444" s="27"/>
    </row>
    <row r="445" spans="2:18" s="25" customFormat="1" x14ac:dyDescent="0.25">
      <c r="B445" s="323"/>
      <c r="D445" s="328"/>
      <c r="I445" s="57"/>
      <c r="M445" s="27"/>
      <c r="N445" s="27"/>
      <c r="O445" s="27"/>
      <c r="P445" s="27"/>
      <c r="Q445" s="27"/>
      <c r="R445" s="27"/>
    </row>
    <row r="446" spans="2:18" s="25" customFormat="1" x14ac:dyDescent="0.25">
      <c r="B446" s="323"/>
      <c r="D446" s="328"/>
      <c r="I446" s="57"/>
      <c r="M446" s="27"/>
      <c r="N446" s="27"/>
      <c r="O446" s="27"/>
      <c r="P446" s="27"/>
      <c r="Q446" s="27"/>
      <c r="R446" s="27"/>
    </row>
    <row r="447" spans="2:18" s="25" customFormat="1" x14ac:dyDescent="0.25">
      <c r="B447" s="323"/>
      <c r="D447" s="328"/>
      <c r="I447" s="57"/>
      <c r="M447" s="27"/>
      <c r="N447" s="27"/>
      <c r="O447" s="27"/>
      <c r="P447" s="27"/>
      <c r="Q447" s="27"/>
      <c r="R447" s="27"/>
    </row>
    <row r="448" spans="2:18" s="25" customFormat="1" x14ac:dyDescent="0.25">
      <c r="B448" s="323"/>
      <c r="D448" s="328"/>
      <c r="I448" s="57"/>
      <c r="M448" s="27"/>
      <c r="N448" s="27"/>
      <c r="O448" s="27"/>
      <c r="P448" s="27"/>
      <c r="Q448" s="27"/>
      <c r="R448" s="27"/>
    </row>
    <row r="449" spans="2:18" s="25" customFormat="1" x14ac:dyDescent="0.25">
      <c r="B449" s="323"/>
      <c r="D449" s="328"/>
      <c r="I449" s="57"/>
      <c r="M449" s="27"/>
      <c r="N449" s="27"/>
      <c r="O449" s="27"/>
      <c r="P449" s="27"/>
      <c r="Q449" s="27"/>
      <c r="R449" s="27"/>
    </row>
    <row r="450" spans="2:18" s="25" customFormat="1" x14ac:dyDescent="0.25">
      <c r="B450" s="323"/>
      <c r="D450" s="328"/>
      <c r="I450" s="57"/>
      <c r="M450" s="27"/>
      <c r="N450" s="27"/>
      <c r="O450" s="27"/>
      <c r="P450" s="27"/>
      <c r="Q450" s="27"/>
      <c r="R450" s="27"/>
    </row>
    <row r="451" spans="2:18" s="25" customFormat="1" x14ac:dyDescent="0.25">
      <c r="B451" s="323"/>
      <c r="D451" s="328"/>
      <c r="I451" s="57"/>
      <c r="M451" s="27"/>
      <c r="N451" s="27"/>
      <c r="O451" s="27"/>
      <c r="P451" s="27"/>
      <c r="Q451" s="27"/>
      <c r="R451" s="27"/>
    </row>
    <row r="452" spans="2:18" s="25" customFormat="1" x14ac:dyDescent="0.25">
      <c r="B452" s="323"/>
      <c r="D452" s="328"/>
      <c r="I452" s="57"/>
      <c r="M452" s="27"/>
      <c r="N452" s="27"/>
      <c r="O452" s="27"/>
      <c r="P452" s="27"/>
      <c r="Q452" s="27"/>
      <c r="R452" s="27"/>
    </row>
    <row r="453" spans="2:18" s="25" customFormat="1" x14ac:dyDescent="0.25">
      <c r="B453" s="323"/>
      <c r="D453" s="328"/>
      <c r="I453" s="57"/>
      <c r="M453" s="27"/>
      <c r="N453" s="27"/>
      <c r="O453" s="27"/>
      <c r="P453" s="27"/>
      <c r="Q453" s="27"/>
      <c r="R453" s="27"/>
    </row>
    <row r="454" spans="2:18" s="25" customFormat="1" x14ac:dyDescent="0.25">
      <c r="B454" s="323"/>
      <c r="D454" s="328"/>
      <c r="I454" s="57"/>
      <c r="M454" s="27"/>
      <c r="N454" s="27"/>
      <c r="O454" s="27"/>
      <c r="P454" s="27"/>
      <c r="Q454" s="27"/>
      <c r="R454" s="27"/>
    </row>
    <row r="455" spans="2:18" s="25" customFormat="1" x14ac:dyDescent="0.25">
      <c r="B455" s="323"/>
      <c r="D455" s="328"/>
      <c r="I455" s="57"/>
      <c r="M455" s="27"/>
      <c r="N455" s="27"/>
      <c r="O455" s="27"/>
      <c r="P455" s="27"/>
      <c r="Q455" s="27"/>
      <c r="R455" s="27"/>
    </row>
    <row r="456" spans="2:18" s="25" customFormat="1" x14ac:dyDescent="0.25">
      <c r="B456" s="323"/>
      <c r="D456" s="328"/>
      <c r="I456" s="57"/>
      <c r="M456" s="27"/>
      <c r="N456" s="27"/>
      <c r="O456" s="27"/>
      <c r="P456" s="27"/>
      <c r="Q456" s="27"/>
      <c r="R456" s="27"/>
    </row>
    <row r="457" spans="2:18" s="25" customFormat="1" x14ac:dyDescent="0.25">
      <c r="B457" s="323"/>
      <c r="D457" s="328"/>
      <c r="I457" s="57"/>
      <c r="M457" s="27"/>
      <c r="N457" s="27"/>
      <c r="O457" s="27"/>
      <c r="P457" s="27"/>
      <c r="Q457" s="27"/>
      <c r="R457" s="27"/>
    </row>
    <row r="458" spans="2:18" s="25" customFormat="1" x14ac:dyDescent="0.25">
      <c r="B458" s="323"/>
      <c r="D458" s="328"/>
      <c r="I458" s="57"/>
      <c r="M458" s="27"/>
      <c r="N458" s="27"/>
      <c r="O458" s="27"/>
      <c r="P458" s="27"/>
      <c r="Q458" s="27"/>
      <c r="R458" s="27"/>
    </row>
    <row r="459" spans="2:18" s="25" customFormat="1" x14ac:dyDescent="0.25">
      <c r="B459" s="323"/>
      <c r="D459" s="328"/>
      <c r="I459" s="57"/>
      <c r="M459" s="27"/>
      <c r="N459" s="27"/>
      <c r="O459" s="27"/>
      <c r="P459" s="27"/>
      <c r="Q459" s="27"/>
      <c r="R459" s="27"/>
    </row>
    <row r="460" spans="2:18" s="25" customFormat="1" x14ac:dyDescent="0.25">
      <c r="B460" s="323"/>
      <c r="D460" s="328"/>
      <c r="I460" s="57"/>
      <c r="M460" s="27"/>
      <c r="N460" s="27"/>
      <c r="O460" s="27"/>
      <c r="P460" s="27"/>
      <c r="Q460" s="27"/>
      <c r="R460" s="27"/>
    </row>
    <row r="461" spans="2:18" s="25" customFormat="1" x14ac:dyDescent="0.25">
      <c r="B461" s="323"/>
      <c r="D461" s="328"/>
      <c r="I461" s="57"/>
      <c r="M461" s="27"/>
      <c r="N461" s="27"/>
      <c r="O461" s="27"/>
      <c r="P461" s="27"/>
      <c r="Q461" s="27"/>
      <c r="R461" s="27"/>
    </row>
    <row r="462" spans="2:18" s="25" customFormat="1" x14ac:dyDescent="0.25">
      <c r="B462" s="323"/>
      <c r="D462" s="328"/>
      <c r="I462" s="57"/>
      <c r="M462" s="27"/>
      <c r="N462" s="27"/>
      <c r="O462" s="27"/>
      <c r="P462" s="27"/>
      <c r="Q462" s="27"/>
      <c r="R462" s="27"/>
    </row>
    <row r="463" spans="2:18" s="25" customFormat="1" x14ac:dyDescent="0.25">
      <c r="B463" s="323"/>
      <c r="D463" s="328"/>
      <c r="I463" s="57"/>
      <c r="M463" s="27"/>
      <c r="N463" s="27"/>
      <c r="O463" s="27"/>
      <c r="P463" s="27"/>
      <c r="Q463" s="27"/>
      <c r="R463" s="27"/>
    </row>
    <row r="464" spans="2:18" s="25" customFormat="1" x14ac:dyDescent="0.25">
      <c r="B464" s="323"/>
      <c r="D464" s="328"/>
      <c r="I464" s="57"/>
      <c r="M464" s="27"/>
      <c r="N464" s="27"/>
      <c r="O464" s="27"/>
      <c r="P464" s="27"/>
      <c r="Q464" s="27"/>
      <c r="R464" s="27"/>
    </row>
    <row r="465" spans="2:18" s="25" customFormat="1" x14ac:dyDescent="0.25">
      <c r="B465" s="323"/>
      <c r="D465" s="328"/>
      <c r="I465" s="57"/>
      <c r="M465" s="27"/>
      <c r="N465" s="27"/>
      <c r="O465" s="27"/>
      <c r="P465" s="27"/>
      <c r="Q465" s="27"/>
      <c r="R465" s="27"/>
    </row>
    <row r="466" spans="2:18" s="25" customFormat="1" x14ac:dyDescent="0.25">
      <c r="B466" s="323"/>
      <c r="D466" s="328"/>
      <c r="I466" s="57"/>
      <c r="M466" s="27"/>
      <c r="N466" s="27"/>
      <c r="O466" s="27"/>
      <c r="P466" s="27"/>
      <c r="Q466" s="27"/>
      <c r="R466" s="27"/>
    </row>
    <row r="467" spans="2:18" s="25" customFormat="1" x14ac:dyDescent="0.25">
      <c r="B467" s="323"/>
      <c r="D467" s="328"/>
      <c r="I467" s="57"/>
      <c r="M467" s="27"/>
      <c r="N467" s="27"/>
      <c r="O467" s="27"/>
      <c r="P467" s="27"/>
      <c r="Q467" s="27"/>
      <c r="R467" s="27"/>
    </row>
    <row r="468" spans="2:18" s="25" customFormat="1" x14ac:dyDescent="0.25">
      <c r="B468" s="323"/>
      <c r="D468" s="328"/>
      <c r="I468" s="57"/>
      <c r="M468" s="27"/>
      <c r="N468" s="27"/>
      <c r="O468" s="27"/>
      <c r="P468" s="27"/>
      <c r="Q468" s="27"/>
      <c r="R468" s="27"/>
    </row>
    <row r="469" spans="2:18" s="25" customFormat="1" x14ac:dyDescent="0.25">
      <c r="B469" s="323"/>
      <c r="D469" s="328"/>
      <c r="I469" s="57"/>
      <c r="M469" s="27"/>
      <c r="N469" s="27"/>
      <c r="O469" s="27"/>
      <c r="P469" s="27"/>
      <c r="Q469" s="27"/>
      <c r="R469" s="27"/>
    </row>
    <row r="470" spans="2:18" s="25" customFormat="1" x14ac:dyDescent="0.25">
      <c r="B470" s="323"/>
      <c r="D470" s="328"/>
      <c r="I470" s="57"/>
      <c r="M470" s="27"/>
      <c r="N470" s="27"/>
      <c r="O470" s="27"/>
      <c r="P470" s="27"/>
      <c r="Q470" s="27"/>
      <c r="R470" s="27"/>
    </row>
    <row r="471" spans="2:18" s="25" customFormat="1" x14ac:dyDescent="0.25">
      <c r="B471" s="323"/>
      <c r="D471" s="328"/>
      <c r="I471" s="57"/>
      <c r="M471" s="27"/>
      <c r="N471" s="27"/>
      <c r="O471" s="27"/>
      <c r="P471" s="27"/>
      <c r="Q471" s="27"/>
      <c r="R471" s="27"/>
    </row>
    <row r="472" spans="2:18" s="25" customFormat="1" x14ac:dyDescent="0.25">
      <c r="B472" s="323"/>
      <c r="D472" s="328"/>
      <c r="I472" s="57"/>
      <c r="M472" s="27"/>
      <c r="N472" s="27"/>
      <c r="O472" s="27"/>
      <c r="P472" s="27"/>
      <c r="Q472" s="27"/>
      <c r="R472" s="27"/>
    </row>
    <row r="473" spans="2:18" s="25" customFormat="1" x14ac:dyDescent="0.25">
      <c r="B473" s="323"/>
      <c r="D473" s="328"/>
      <c r="I473" s="57"/>
      <c r="M473" s="27"/>
      <c r="N473" s="27"/>
      <c r="O473" s="27"/>
      <c r="P473" s="27"/>
      <c r="Q473" s="27"/>
      <c r="R473" s="27"/>
    </row>
    <row r="474" spans="2:18" s="25" customFormat="1" x14ac:dyDescent="0.25">
      <c r="B474" s="323"/>
      <c r="D474" s="328"/>
      <c r="I474" s="57"/>
      <c r="M474" s="27"/>
      <c r="N474" s="27"/>
      <c r="O474" s="27"/>
      <c r="P474" s="27"/>
      <c r="Q474" s="27"/>
      <c r="R474" s="27"/>
    </row>
    <row r="475" spans="2:18" s="25" customFormat="1" x14ac:dyDescent="0.25">
      <c r="B475" s="323"/>
      <c r="D475" s="328"/>
      <c r="I475" s="57"/>
      <c r="M475" s="27"/>
      <c r="N475" s="27"/>
      <c r="O475" s="27"/>
      <c r="P475" s="27"/>
      <c r="Q475" s="27"/>
      <c r="R475" s="27"/>
    </row>
    <row r="476" spans="2:18" s="25" customFormat="1" x14ac:dyDescent="0.25">
      <c r="B476" s="323"/>
      <c r="D476" s="328"/>
      <c r="I476" s="57"/>
      <c r="M476" s="27"/>
      <c r="N476" s="27"/>
      <c r="O476" s="27"/>
      <c r="P476" s="27"/>
      <c r="Q476" s="27"/>
      <c r="R476" s="27"/>
    </row>
    <row r="477" spans="2:18" s="25" customFormat="1" x14ac:dyDescent="0.25">
      <c r="B477" s="323"/>
      <c r="D477" s="328"/>
      <c r="I477" s="57"/>
      <c r="M477" s="27"/>
      <c r="N477" s="27"/>
      <c r="O477" s="27"/>
      <c r="P477" s="27"/>
      <c r="Q477" s="27"/>
      <c r="R477" s="27"/>
    </row>
    <row r="478" spans="2:18" s="25" customFormat="1" x14ac:dyDescent="0.25">
      <c r="B478" s="323"/>
      <c r="D478" s="328"/>
      <c r="I478" s="57"/>
      <c r="M478" s="27"/>
      <c r="N478" s="27"/>
      <c r="O478" s="27"/>
      <c r="P478" s="27"/>
      <c r="Q478" s="27"/>
      <c r="R478" s="27"/>
    </row>
    <row r="479" spans="2:18" s="25" customFormat="1" x14ac:dyDescent="0.25">
      <c r="B479" s="323"/>
      <c r="D479" s="328"/>
      <c r="I479" s="57"/>
      <c r="M479" s="27"/>
      <c r="N479" s="27"/>
      <c r="O479" s="27"/>
      <c r="P479" s="27"/>
      <c r="Q479" s="27"/>
      <c r="R479" s="27"/>
    </row>
    <row r="480" spans="2:18" s="25" customFormat="1" x14ac:dyDescent="0.25">
      <c r="B480" s="323"/>
      <c r="D480" s="328"/>
      <c r="I480" s="57"/>
      <c r="M480" s="27"/>
      <c r="N480" s="27"/>
      <c r="O480" s="27"/>
      <c r="P480" s="27"/>
      <c r="Q480" s="27"/>
      <c r="R480" s="27"/>
    </row>
    <row r="481" spans="2:18" s="25" customFormat="1" x14ac:dyDescent="0.25">
      <c r="B481" s="323"/>
      <c r="D481" s="328"/>
      <c r="I481" s="57"/>
      <c r="M481" s="27"/>
      <c r="N481" s="27"/>
      <c r="O481" s="27"/>
      <c r="P481" s="27"/>
      <c r="Q481" s="27"/>
      <c r="R481" s="27"/>
    </row>
    <row r="482" spans="2:18" s="25" customFormat="1" x14ac:dyDescent="0.25">
      <c r="B482" s="323"/>
      <c r="D482" s="328"/>
      <c r="I482" s="57"/>
      <c r="M482" s="27"/>
      <c r="N482" s="27"/>
      <c r="O482" s="27"/>
      <c r="P482" s="27"/>
      <c r="Q482" s="27"/>
      <c r="R482" s="27"/>
    </row>
    <row r="483" spans="2:18" s="25" customFormat="1" x14ac:dyDescent="0.25">
      <c r="B483" s="323"/>
      <c r="D483" s="328"/>
      <c r="I483" s="57"/>
      <c r="M483" s="27"/>
      <c r="N483" s="27"/>
      <c r="O483" s="27"/>
      <c r="P483" s="27"/>
      <c r="Q483" s="27"/>
      <c r="R483" s="27"/>
    </row>
    <row r="484" spans="2:18" s="25" customFormat="1" x14ac:dyDescent="0.25">
      <c r="B484" s="323"/>
      <c r="D484" s="328"/>
      <c r="I484" s="57"/>
      <c r="M484" s="27"/>
      <c r="N484" s="27"/>
      <c r="O484" s="27"/>
      <c r="P484" s="27"/>
      <c r="Q484" s="27"/>
      <c r="R484" s="27"/>
    </row>
    <row r="485" spans="2:18" s="25" customFormat="1" x14ac:dyDescent="0.25">
      <c r="B485" s="323"/>
      <c r="D485" s="328"/>
      <c r="I485" s="57"/>
      <c r="M485" s="27"/>
      <c r="N485" s="27"/>
      <c r="O485" s="27"/>
      <c r="P485" s="27"/>
      <c r="Q485" s="27"/>
      <c r="R485" s="27"/>
    </row>
    <row r="486" spans="2:18" s="25" customFormat="1" x14ac:dyDescent="0.25">
      <c r="B486" s="323"/>
      <c r="D486" s="328"/>
      <c r="I486" s="57"/>
      <c r="M486" s="27"/>
      <c r="N486" s="27"/>
      <c r="O486" s="27"/>
      <c r="P486" s="27"/>
      <c r="Q486" s="27"/>
      <c r="R486" s="27"/>
    </row>
    <row r="487" spans="2:18" s="25" customFormat="1" x14ac:dyDescent="0.25">
      <c r="B487" s="323"/>
      <c r="D487" s="328"/>
      <c r="I487" s="57"/>
      <c r="M487" s="27"/>
      <c r="N487" s="27"/>
      <c r="O487" s="27"/>
      <c r="P487" s="27"/>
      <c r="Q487" s="27"/>
      <c r="R487" s="27"/>
    </row>
    <row r="488" spans="2:18" s="25" customFormat="1" x14ac:dyDescent="0.25">
      <c r="B488" s="323"/>
      <c r="D488" s="328"/>
      <c r="I488" s="57"/>
      <c r="M488" s="27"/>
      <c r="N488" s="27"/>
      <c r="O488" s="27"/>
      <c r="P488" s="27"/>
      <c r="Q488" s="27"/>
      <c r="R488" s="27"/>
    </row>
    <row r="489" spans="2:18" s="25" customFormat="1" x14ac:dyDescent="0.25">
      <c r="B489" s="323"/>
      <c r="D489" s="328"/>
      <c r="I489" s="57"/>
      <c r="M489" s="27"/>
      <c r="N489" s="27"/>
      <c r="O489" s="27"/>
      <c r="P489" s="27"/>
      <c r="Q489" s="27"/>
      <c r="R489" s="27"/>
    </row>
    <row r="490" spans="2:18" s="25" customFormat="1" x14ac:dyDescent="0.25">
      <c r="B490" s="323"/>
      <c r="D490" s="328"/>
      <c r="I490" s="57"/>
      <c r="M490" s="27"/>
      <c r="N490" s="27"/>
      <c r="O490" s="27"/>
      <c r="P490" s="27"/>
      <c r="Q490" s="27"/>
      <c r="R490" s="27"/>
    </row>
    <row r="491" spans="2:18" s="25" customFormat="1" x14ac:dyDescent="0.25">
      <c r="B491" s="323"/>
      <c r="D491" s="328"/>
      <c r="I491" s="57"/>
      <c r="M491" s="27"/>
      <c r="N491" s="27"/>
      <c r="O491" s="27"/>
      <c r="P491" s="27"/>
      <c r="Q491" s="27"/>
      <c r="R491" s="27"/>
    </row>
    <row r="492" spans="2:18" s="25" customFormat="1" x14ac:dyDescent="0.25">
      <c r="B492" s="323"/>
      <c r="D492" s="328"/>
      <c r="I492" s="57"/>
      <c r="M492" s="27"/>
      <c r="N492" s="27"/>
      <c r="O492" s="27"/>
      <c r="P492" s="27"/>
      <c r="Q492" s="27"/>
      <c r="R492" s="27"/>
    </row>
    <row r="493" spans="2:18" s="25" customFormat="1" x14ac:dyDescent="0.25">
      <c r="B493" s="323"/>
      <c r="D493" s="328"/>
      <c r="I493" s="57"/>
      <c r="M493" s="27"/>
      <c r="N493" s="27"/>
      <c r="O493" s="27"/>
      <c r="P493" s="27"/>
      <c r="Q493" s="27"/>
      <c r="R493" s="27"/>
    </row>
    <row r="494" spans="2:18" s="25" customFormat="1" x14ac:dyDescent="0.25">
      <c r="B494" s="323"/>
      <c r="D494" s="328"/>
      <c r="I494" s="57"/>
      <c r="M494" s="27"/>
      <c r="N494" s="27"/>
      <c r="O494" s="27"/>
      <c r="P494" s="27"/>
      <c r="Q494" s="27"/>
      <c r="R494" s="27"/>
    </row>
    <row r="495" spans="2:18" s="25" customFormat="1" x14ac:dyDescent="0.25">
      <c r="B495" s="323"/>
      <c r="D495" s="328"/>
      <c r="I495" s="57"/>
      <c r="M495" s="27"/>
      <c r="N495" s="27"/>
      <c r="O495" s="27"/>
      <c r="P495" s="27"/>
      <c r="Q495" s="27"/>
      <c r="R495" s="27"/>
    </row>
    <row r="496" spans="2:18" s="25" customFormat="1" x14ac:dyDescent="0.25">
      <c r="B496" s="323"/>
      <c r="D496" s="328"/>
      <c r="I496" s="57"/>
      <c r="M496" s="27"/>
      <c r="N496" s="27"/>
      <c r="O496" s="27"/>
      <c r="P496" s="27"/>
      <c r="Q496" s="27"/>
      <c r="R496" s="27"/>
    </row>
    <row r="497" spans="2:18" s="25" customFormat="1" x14ac:dyDescent="0.25">
      <c r="B497" s="323"/>
      <c r="D497" s="328"/>
      <c r="I497" s="57"/>
      <c r="M497" s="27"/>
      <c r="N497" s="27"/>
      <c r="O497" s="27"/>
      <c r="P497" s="27"/>
      <c r="Q497" s="27"/>
      <c r="R497" s="27"/>
    </row>
    <row r="498" spans="2:18" s="25" customFormat="1" x14ac:dyDescent="0.25">
      <c r="B498" s="323"/>
      <c r="D498" s="328"/>
      <c r="I498" s="57"/>
      <c r="M498" s="27"/>
      <c r="N498" s="27"/>
      <c r="O498" s="27"/>
      <c r="P498" s="27"/>
      <c r="Q498" s="27"/>
      <c r="R498" s="27"/>
    </row>
    <row r="499" spans="2:18" s="25" customFormat="1" x14ac:dyDescent="0.25">
      <c r="B499" s="323"/>
      <c r="D499" s="328"/>
      <c r="I499" s="57"/>
      <c r="M499" s="27"/>
      <c r="N499" s="27"/>
      <c r="O499" s="27"/>
      <c r="P499" s="27"/>
      <c r="Q499" s="27"/>
      <c r="R499" s="27"/>
    </row>
    <row r="500" spans="2:18" s="25" customFormat="1" x14ac:dyDescent="0.25">
      <c r="B500" s="323"/>
      <c r="D500" s="328"/>
      <c r="I500" s="57"/>
      <c r="M500" s="27"/>
      <c r="N500" s="27"/>
      <c r="O500" s="27"/>
      <c r="P500" s="27"/>
      <c r="Q500" s="27"/>
      <c r="R500" s="27"/>
    </row>
    <row r="501" spans="2:18" s="25" customFormat="1" x14ac:dyDescent="0.25">
      <c r="B501" s="323"/>
      <c r="D501" s="328"/>
      <c r="I501" s="57"/>
      <c r="M501" s="27"/>
      <c r="N501" s="27"/>
      <c r="O501" s="27"/>
      <c r="P501" s="27"/>
      <c r="Q501" s="27"/>
      <c r="R501" s="27"/>
    </row>
    <row r="502" spans="2:18" s="25" customFormat="1" x14ac:dyDescent="0.25">
      <c r="B502" s="323"/>
      <c r="D502" s="328"/>
      <c r="I502" s="57"/>
      <c r="M502" s="27"/>
      <c r="N502" s="27"/>
      <c r="O502" s="27"/>
      <c r="P502" s="27"/>
      <c r="Q502" s="27"/>
      <c r="R502" s="27"/>
    </row>
    <row r="503" spans="2:18" s="25" customFormat="1" x14ac:dyDescent="0.25">
      <c r="B503" s="323"/>
      <c r="D503" s="328"/>
      <c r="I503" s="57"/>
      <c r="M503" s="27"/>
      <c r="N503" s="27"/>
      <c r="O503" s="27"/>
      <c r="P503" s="27"/>
      <c r="Q503" s="27"/>
      <c r="R503" s="27"/>
    </row>
    <row r="504" spans="2:18" s="25" customFormat="1" x14ac:dyDescent="0.25">
      <c r="B504" s="323"/>
      <c r="D504" s="328"/>
      <c r="I504" s="57"/>
      <c r="M504" s="27"/>
      <c r="N504" s="27"/>
      <c r="O504" s="27"/>
      <c r="P504" s="27"/>
      <c r="Q504" s="27"/>
      <c r="R504" s="27"/>
    </row>
    <row r="505" spans="2:18" s="25" customFormat="1" x14ac:dyDescent="0.25">
      <c r="B505" s="323"/>
      <c r="D505" s="328"/>
      <c r="I505" s="57"/>
      <c r="M505" s="27"/>
      <c r="N505" s="27"/>
      <c r="O505" s="27"/>
      <c r="P505" s="27"/>
      <c r="Q505" s="27"/>
      <c r="R505" s="27"/>
    </row>
    <row r="506" spans="2:18" s="25" customFormat="1" x14ac:dyDescent="0.25">
      <c r="B506" s="323"/>
      <c r="D506" s="328"/>
      <c r="I506" s="57"/>
      <c r="M506" s="27"/>
      <c r="N506" s="27"/>
      <c r="O506" s="27"/>
      <c r="P506" s="27"/>
      <c r="Q506" s="27"/>
      <c r="R506" s="27"/>
    </row>
    <row r="507" spans="2:18" s="25" customFormat="1" x14ac:dyDescent="0.25">
      <c r="B507" s="323"/>
      <c r="D507" s="328"/>
      <c r="I507" s="57"/>
      <c r="M507" s="27"/>
      <c r="N507" s="27"/>
      <c r="O507" s="27"/>
      <c r="P507" s="27"/>
      <c r="Q507" s="27"/>
      <c r="R507" s="27"/>
    </row>
    <row r="508" spans="2:18" s="25" customFormat="1" x14ac:dyDescent="0.25">
      <c r="B508" s="323"/>
      <c r="D508" s="328"/>
      <c r="I508" s="57"/>
      <c r="M508" s="27"/>
      <c r="N508" s="27"/>
      <c r="O508" s="27"/>
      <c r="P508" s="27"/>
      <c r="Q508" s="27"/>
      <c r="R508" s="27"/>
    </row>
    <row r="509" spans="2:18" s="25" customFormat="1" x14ac:dyDescent="0.25">
      <c r="B509" s="323"/>
      <c r="D509" s="328"/>
      <c r="I509" s="57"/>
      <c r="M509" s="27"/>
      <c r="N509" s="27"/>
      <c r="O509" s="27"/>
      <c r="P509" s="27"/>
      <c r="Q509" s="27"/>
      <c r="R509" s="27"/>
    </row>
    <row r="510" spans="2:18" s="25" customFormat="1" x14ac:dyDescent="0.25">
      <c r="B510" s="323"/>
      <c r="D510" s="328"/>
      <c r="I510" s="57"/>
      <c r="M510" s="27"/>
      <c r="N510" s="27"/>
      <c r="O510" s="27"/>
      <c r="P510" s="27"/>
      <c r="Q510" s="27"/>
      <c r="R510" s="27"/>
    </row>
    <row r="511" spans="2:18" s="25" customFormat="1" x14ac:dyDescent="0.25">
      <c r="B511" s="323"/>
      <c r="D511" s="328"/>
      <c r="I511" s="57"/>
      <c r="M511" s="27"/>
      <c r="N511" s="27"/>
      <c r="O511" s="27"/>
      <c r="P511" s="27"/>
      <c r="Q511" s="27"/>
      <c r="R511" s="27"/>
    </row>
    <row r="512" spans="2:18" s="25" customFormat="1" x14ac:dyDescent="0.25">
      <c r="B512" s="323"/>
      <c r="D512" s="328"/>
      <c r="I512" s="57"/>
      <c r="M512" s="27"/>
      <c r="N512" s="27"/>
      <c r="O512" s="27"/>
      <c r="P512" s="27"/>
      <c r="Q512" s="27"/>
      <c r="R512" s="27"/>
    </row>
    <row r="513" spans="2:18" s="25" customFormat="1" x14ac:dyDescent="0.25">
      <c r="B513" s="323"/>
      <c r="D513" s="328"/>
      <c r="I513" s="57"/>
      <c r="M513" s="27"/>
      <c r="N513" s="27"/>
      <c r="O513" s="27"/>
      <c r="P513" s="27"/>
      <c r="Q513" s="27"/>
      <c r="R513" s="27"/>
    </row>
    <row r="514" spans="2:18" s="25" customFormat="1" x14ac:dyDescent="0.25">
      <c r="B514" s="323"/>
      <c r="D514" s="328"/>
      <c r="I514" s="57"/>
      <c r="M514" s="27"/>
      <c r="N514" s="27"/>
      <c r="O514" s="27"/>
      <c r="P514" s="27"/>
      <c r="Q514" s="27"/>
      <c r="R514" s="27"/>
    </row>
    <row r="515" spans="2:18" s="25" customFormat="1" x14ac:dyDescent="0.25">
      <c r="B515" s="323"/>
      <c r="D515" s="328"/>
      <c r="I515" s="57"/>
      <c r="M515" s="27"/>
      <c r="N515" s="27"/>
      <c r="O515" s="27"/>
      <c r="P515" s="27"/>
      <c r="Q515" s="27"/>
      <c r="R515" s="27"/>
    </row>
    <row r="516" spans="2:18" s="25" customFormat="1" x14ac:dyDescent="0.25">
      <c r="B516" s="323"/>
      <c r="D516" s="328"/>
      <c r="I516" s="57"/>
      <c r="M516" s="27"/>
      <c r="N516" s="27"/>
      <c r="O516" s="27"/>
      <c r="P516" s="27"/>
      <c r="Q516" s="27"/>
      <c r="R516" s="27"/>
    </row>
    <row r="517" spans="2:18" s="25" customFormat="1" x14ac:dyDescent="0.25">
      <c r="B517" s="323"/>
      <c r="D517" s="328"/>
      <c r="I517" s="57"/>
      <c r="M517" s="27"/>
      <c r="N517" s="27"/>
      <c r="O517" s="27"/>
      <c r="P517" s="27"/>
      <c r="Q517" s="27"/>
      <c r="R517" s="27"/>
    </row>
    <row r="518" spans="2:18" s="25" customFormat="1" x14ac:dyDescent="0.25">
      <c r="B518" s="323"/>
      <c r="D518" s="328"/>
      <c r="I518" s="57"/>
      <c r="M518" s="27"/>
      <c r="N518" s="27"/>
      <c r="O518" s="27"/>
      <c r="P518" s="27"/>
      <c r="Q518" s="27"/>
      <c r="R518" s="27"/>
    </row>
    <row r="519" spans="2:18" s="25" customFormat="1" x14ac:dyDescent="0.25">
      <c r="B519" s="323"/>
      <c r="D519" s="328"/>
      <c r="I519" s="57"/>
      <c r="M519" s="27"/>
      <c r="N519" s="27"/>
      <c r="O519" s="27"/>
      <c r="P519" s="27"/>
      <c r="Q519" s="27"/>
      <c r="R519" s="27"/>
    </row>
    <row r="520" spans="2:18" s="25" customFormat="1" x14ac:dyDescent="0.25">
      <c r="B520" s="323"/>
      <c r="D520" s="328"/>
      <c r="I520" s="57"/>
      <c r="M520" s="27"/>
      <c r="N520" s="27"/>
      <c r="O520" s="27"/>
      <c r="P520" s="27"/>
      <c r="Q520" s="27"/>
      <c r="R520" s="27"/>
    </row>
    <row r="521" spans="2:18" s="25" customFormat="1" x14ac:dyDescent="0.25">
      <c r="B521" s="323"/>
      <c r="D521" s="328"/>
      <c r="I521" s="57"/>
      <c r="M521" s="27"/>
      <c r="N521" s="27"/>
      <c r="O521" s="27"/>
      <c r="P521" s="27"/>
      <c r="Q521" s="27"/>
      <c r="R521" s="27"/>
    </row>
    <row r="522" spans="2:18" s="25" customFormat="1" x14ac:dyDescent="0.25">
      <c r="B522" s="323"/>
      <c r="D522" s="328"/>
      <c r="I522" s="57"/>
      <c r="M522" s="27"/>
      <c r="N522" s="27"/>
      <c r="O522" s="27"/>
      <c r="P522" s="27"/>
      <c r="Q522" s="27"/>
      <c r="R522" s="27"/>
    </row>
    <row r="523" spans="2:18" s="25" customFormat="1" x14ac:dyDescent="0.25">
      <c r="B523" s="323"/>
      <c r="D523" s="328"/>
      <c r="I523" s="57"/>
      <c r="M523" s="27"/>
      <c r="N523" s="27"/>
      <c r="O523" s="27"/>
      <c r="P523" s="27"/>
      <c r="Q523" s="27"/>
      <c r="R523" s="27"/>
    </row>
    <row r="524" spans="2:18" s="25" customFormat="1" x14ac:dyDescent="0.25">
      <c r="B524" s="323"/>
      <c r="D524" s="328"/>
      <c r="I524" s="57"/>
      <c r="M524" s="27"/>
      <c r="N524" s="27"/>
      <c r="O524" s="27"/>
      <c r="P524" s="27"/>
      <c r="Q524" s="27"/>
      <c r="R524" s="27"/>
    </row>
    <row r="525" spans="2:18" s="25" customFormat="1" x14ac:dyDescent="0.25">
      <c r="B525" s="323"/>
      <c r="D525" s="328"/>
      <c r="I525" s="57"/>
      <c r="M525" s="27"/>
      <c r="N525" s="27"/>
      <c r="O525" s="27"/>
      <c r="P525" s="27"/>
      <c r="Q525" s="27"/>
      <c r="R525" s="27"/>
    </row>
    <row r="526" spans="2:18" s="25" customFormat="1" x14ac:dyDescent="0.25">
      <c r="B526" s="323"/>
      <c r="D526" s="328"/>
      <c r="I526" s="57"/>
      <c r="M526" s="27"/>
      <c r="N526" s="27"/>
      <c r="O526" s="27"/>
      <c r="P526" s="27"/>
      <c r="Q526" s="27"/>
      <c r="R526" s="27"/>
    </row>
    <row r="527" spans="2:18" s="25" customFormat="1" x14ac:dyDescent="0.25">
      <c r="B527" s="323"/>
      <c r="D527" s="328"/>
      <c r="I527" s="57"/>
      <c r="M527" s="27"/>
      <c r="N527" s="27"/>
      <c r="O527" s="27"/>
      <c r="P527" s="27"/>
      <c r="Q527" s="27"/>
      <c r="R527" s="27"/>
    </row>
    <row r="528" spans="2:18" s="25" customFormat="1" x14ac:dyDescent="0.25">
      <c r="B528" s="323"/>
      <c r="D528" s="328"/>
      <c r="I528" s="57"/>
      <c r="M528" s="27"/>
      <c r="N528" s="27"/>
      <c r="O528" s="27"/>
      <c r="P528" s="27"/>
      <c r="Q528" s="27"/>
      <c r="R528" s="27"/>
    </row>
    <row r="529" spans="2:18" s="25" customFormat="1" x14ac:dyDescent="0.25">
      <c r="B529" s="323"/>
      <c r="D529" s="328"/>
      <c r="I529" s="57"/>
      <c r="M529" s="27"/>
      <c r="N529" s="27"/>
      <c r="O529" s="27"/>
      <c r="P529" s="27"/>
      <c r="Q529" s="27"/>
      <c r="R529" s="27"/>
    </row>
    <row r="530" spans="2:18" s="25" customFormat="1" x14ac:dyDescent="0.25">
      <c r="B530" s="323"/>
      <c r="D530" s="328"/>
      <c r="I530" s="57"/>
      <c r="M530" s="27"/>
      <c r="N530" s="27"/>
      <c r="O530" s="27"/>
      <c r="P530" s="27"/>
      <c r="Q530" s="27"/>
      <c r="R530" s="27"/>
    </row>
    <row r="531" spans="2:18" s="25" customFormat="1" x14ac:dyDescent="0.25">
      <c r="B531" s="323"/>
      <c r="D531" s="328"/>
      <c r="I531" s="57"/>
      <c r="M531" s="27"/>
      <c r="N531" s="27"/>
      <c r="O531" s="27"/>
      <c r="P531" s="27"/>
      <c r="Q531" s="27"/>
      <c r="R531" s="27"/>
    </row>
    <row r="532" spans="2:18" s="25" customFormat="1" x14ac:dyDescent="0.25">
      <c r="B532" s="323"/>
      <c r="D532" s="328"/>
      <c r="I532" s="57"/>
      <c r="M532" s="27"/>
      <c r="N532" s="27"/>
      <c r="O532" s="27"/>
      <c r="P532" s="27"/>
      <c r="Q532" s="27"/>
      <c r="R532" s="27"/>
    </row>
    <row r="533" spans="2:18" s="25" customFormat="1" x14ac:dyDescent="0.25">
      <c r="B533" s="323"/>
      <c r="D533" s="328"/>
      <c r="I533" s="57"/>
      <c r="M533" s="27"/>
      <c r="N533" s="27"/>
      <c r="O533" s="27"/>
      <c r="P533" s="27"/>
      <c r="Q533" s="27"/>
      <c r="R533" s="27"/>
    </row>
    <row r="534" spans="2:18" s="25" customFormat="1" x14ac:dyDescent="0.25">
      <c r="B534" s="323"/>
      <c r="D534" s="328"/>
      <c r="I534" s="57"/>
      <c r="M534" s="27"/>
      <c r="N534" s="27"/>
      <c r="O534" s="27"/>
      <c r="P534" s="27"/>
      <c r="Q534" s="27"/>
      <c r="R534" s="27"/>
    </row>
    <row r="535" spans="2:18" s="25" customFormat="1" x14ac:dyDescent="0.25">
      <c r="B535" s="323"/>
      <c r="D535" s="328"/>
      <c r="I535" s="57"/>
      <c r="M535" s="27"/>
      <c r="N535" s="27"/>
      <c r="O535" s="27"/>
      <c r="P535" s="27"/>
      <c r="Q535" s="27"/>
      <c r="R535" s="27"/>
    </row>
    <row r="536" spans="2:18" s="25" customFormat="1" x14ac:dyDescent="0.25">
      <c r="B536" s="323"/>
      <c r="D536" s="328"/>
      <c r="I536" s="57"/>
      <c r="M536" s="27"/>
      <c r="N536" s="27"/>
      <c r="O536" s="27"/>
      <c r="P536" s="27"/>
      <c r="Q536" s="27"/>
      <c r="R536" s="27"/>
    </row>
    <row r="537" spans="2:18" s="25" customFormat="1" x14ac:dyDescent="0.25">
      <c r="B537" s="323"/>
      <c r="D537" s="328"/>
      <c r="I537" s="57"/>
      <c r="M537" s="27"/>
      <c r="N537" s="27"/>
      <c r="O537" s="27"/>
      <c r="P537" s="27"/>
      <c r="Q537" s="27"/>
      <c r="R537" s="27"/>
    </row>
    <row r="538" spans="2:18" s="25" customFormat="1" x14ac:dyDescent="0.25">
      <c r="B538" s="323"/>
      <c r="D538" s="328"/>
      <c r="I538" s="57"/>
      <c r="M538" s="27"/>
      <c r="N538" s="27"/>
      <c r="O538" s="27"/>
      <c r="P538" s="27"/>
      <c r="Q538" s="27"/>
      <c r="R538" s="27"/>
    </row>
    <row r="539" spans="2:18" s="25" customFormat="1" x14ac:dyDescent="0.25">
      <c r="B539" s="323"/>
      <c r="D539" s="328"/>
      <c r="I539" s="57"/>
      <c r="M539" s="27"/>
      <c r="N539" s="27"/>
      <c r="O539" s="27"/>
      <c r="P539" s="27"/>
      <c r="Q539" s="27"/>
      <c r="R539" s="27"/>
    </row>
    <row r="540" spans="2:18" s="25" customFormat="1" x14ac:dyDescent="0.25">
      <c r="B540" s="323"/>
      <c r="D540" s="328"/>
      <c r="I540" s="57"/>
      <c r="M540" s="27"/>
      <c r="N540" s="27"/>
      <c r="O540" s="27"/>
      <c r="P540" s="27"/>
      <c r="Q540" s="27"/>
      <c r="R540" s="27"/>
    </row>
    <row r="541" spans="2:18" s="25" customFormat="1" x14ac:dyDescent="0.25">
      <c r="B541" s="323"/>
      <c r="D541" s="328"/>
      <c r="I541" s="57"/>
      <c r="M541" s="27"/>
      <c r="N541" s="27"/>
      <c r="O541" s="27"/>
      <c r="P541" s="27"/>
      <c r="Q541" s="27"/>
      <c r="R541" s="27"/>
    </row>
    <row r="542" spans="2:18" s="25" customFormat="1" x14ac:dyDescent="0.25">
      <c r="B542" s="323"/>
      <c r="D542" s="328"/>
      <c r="I542" s="57"/>
      <c r="M542" s="27"/>
      <c r="N542" s="27"/>
      <c r="O542" s="27"/>
      <c r="P542" s="27"/>
      <c r="Q542" s="27"/>
      <c r="R542" s="27"/>
    </row>
    <row r="543" spans="2:18" s="25" customFormat="1" x14ac:dyDescent="0.25">
      <c r="B543" s="323"/>
      <c r="D543" s="328"/>
      <c r="I543" s="57"/>
      <c r="M543" s="27"/>
      <c r="N543" s="27"/>
      <c r="O543" s="27"/>
      <c r="P543" s="27"/>
      <c r="Q543" s="27"/>
      <c r="R543" s="27"/>
    </row>
    <row r="544" spans="2:18" s="25" customFormat="1" x14ac:dyDescent="0.25">
      <c r="B544" s="323"/>
      <c r="D544" s="328"/>
      <c r="I544" s="57"/>
      <c r="M544" s="27"/>
      <c r="N544" s="27"/>
      <c r="O544" s="27"/>
      <c r="P544" s="27"/>
      <c r="Q544" s="27"/>
      <c r="R544" s="27"/>
    </row>
    <row r="545" spans="2:18" s="25" customFormat="1" x14ac:dyDescent="0.25">
      <c r="B545" s="323"/>
      <c r="D545" s="328"/>
      <c r="I545" s="57"/>
      <c r="M545" s="27"/>
      <c r="N545" s="27"/>
      <c r="O545" s="27"/>
      <c r="P545" s="27"/>
      <c r="Q545" s="27"/>
      <c r="R545" s="27"/>
    </row>
    <row r="546" spans="2:18" s="25" customFormat="1" x14ac:dyDescent="0.25">
      <c r="B546" s="323"/>
      <c r="D546" s="328"/>
      <c r="I546" s="57"/>
      <c r="M546" s="27"/>
      <c r="N546" s="27"/>
      <c r="O546" s="27"/>
      <c r="P546" s="27"/>
      <c r="Q546" s="27"/>
      <c r="R546" s="27"/>
    </row>
    <row r="547" spans="2:18" s="25" customFormat="1" x14ac:dyDescent="0.25">
      <c r="B547" s="323"/>
      <c r="D547" s="328"/>
      <c r="I547" s="57"/>
      <c r="M547" s="27"/>
      <c r="N547" s="27"/>
      <c r="O547" s="27"/>
      <c r="P547" s="27"/>
      <c r="Q547" s="27"/>
      <c r="R547" s="27"/>
    </row>
    <row r="548" spans="2:18" s="25" customFormat="1" x14ac:dyDescent="0.25">
      <c r="B548" s="323"/>
      <c r="D548" s="328"/>
      <c r="I548" s="57"/>
      <c r="M548" s="27"/>
      <c r="N548" s="27"/>
      <c r="O548" s="27"/>
      <c r="P548" s="27"/>
      <c r="Q548" s="27"/>
      <c r="R548" s="27"/>
    </row>
    <row r="549" spans="2:18" s="25" customFormat="1" x14ac:dyDescent="0.25">
      <c r="B549" s="323"/>
      <c r="D549" s="328"/>
      <c r="I549" s="57"/>
      <c r="M549" s="27"/>
      <c r="N549" s="27"/>
      <c r="O549" s="27"/>
      <c r="P549" s="27"/>
      <c r="Q549" s="27"/>
      <c r="R549" s="27"/>
    </row>
    <row r="550" spans="2:18" s="25" customFormat="1" x14ac:dyDescent="0.25">
      <c r="B550" s="323"/>
      <c r="D550" s="328"/>
      <c r="I550" s="57"/>
      <c r="M550" s="27"/>
      <c r="N550" s="27"/>
      <c r="O550" s="27"/>
      <c r="P550" s="27"/>
      <c r="Q550" s="27"/>
      <c r="R550" s="27"/>
    </row>
    <row r="551" spans="2:18" s="25" customFormat="1" x14ac:dyDescent="0.25">
      <c r="B551" s="323"/>
      <c r="D551" s="328"/>
      <c r="I551" s="57"/>
      <c r="M551" s="27"/>
      <c r="N551" s="27"/>
      <c r="O551" s="27"/>
      <c r="P551" s="27"/>
      <c r="Q551" s="27"/>
      <c r="R551" s="27"/>
    </row>
    <row r="552" spans="2:18" s="25" customFormat="1" x14ac:dyDescent="0.25">
      <c r="B552" s="323"/>
      <c r="D552" s="328"/>
      <c r="I552" s="57"/>
      <c r="M552" s="27"/>
      <c r="N552" s="27"/>
      <c r="O552" s="27"/>
      <c r="P552" s="27"/>
      <c r="Q552" s="27"/>
      <c r="R552" s="27"/>
    </row>
    <row r="553" spans="2:18" s="25" customFormat="1" x14ac:dyDescent="0.25">
      <c r="B553" s="323"/>
      <c r="D553" s="328"/>
      <c r="I553" s="57"/>
      <c r="M553" s="27"/>
      <c r="N553" s="27"/>
      <c r="O553" s="27"/>
      <c r="P553" s="27"/>
      <c r="Q553" s="27"/>
      <c r="R553" s="27"/>
    </row>
    <row r="554" spans="2:18" s="25" customFormat="1" x14ac:dyDescent="0.25">
      <c r="B554" s="323"/>
      <c r="D554" s="328"/>
      <c r="I554" s="57"/>
      <c r="M554" s="27"/>
      <c r="N554" s="27"/>
      <c r="O554" s="27"/>
      <c r="P554" s="27"/>
      <c r="Q554" s="27"/>
      <c r="R554" s="27"/>
    </row>
    <row r="555" spans="2:18" s="25" customFormat="1" x14ac:dyDescent="0.25">
      <c r="B555" s="323"/>
      <c r="D555" s="328"/>
      <c r="I555" s="57"/>
      <c r="M555" s="27"/>
      <c r="N555" s="27"/>
      <c r="O555" s="27"/>
      <c r="P555" s="27"/>
      <c r="Q555" s="27"/>
      <c r="R555" s="27"/>
    </row>
    <row r="556" spans="2:18" s="25" customFormat="1" x14ac:dyDescent="0.25">
      <c r="B556" s="323"/>
      <c r="D556" s="328"/>
      <c r="I556" s="57"/>
      <c r="M556" s="27"/>
      <c r="N556" s="27"/>
      <c r="O556" s="27"/>
      <c r="P556" s="27"/>
      <c r="Q556" s="27"/>
      <c r="R556" s="27"/>
    </row>
    <row r="557" spans="2:18" s="25" customFormat="1" x14ac:dyDescent="0.25">
      <c r="B557" s="323"/>
      <c r="D557" s="328"/>
      <c r="I557" s="57"/>
      <c r="M557" s="27"/>
      <c r="N557" s="27"/>
      <c r="O557" s="27"/>
      <c r="P557" s="27"/>
      <c r="Q557" s="27"/>
      <c r="R557" s="27"/>
    </row>
    <row r="558" spans="2:18" s="25" customFormat="1" x14ac:dyDescent="0.25">
      <c r="B558" s="323"/>
      <c r="D558" s="328"/>
      <c r="I558" s="57"/>
      <c r="M558" s="27"/>
      <c r="N558" s="27"/>
      <c r="O558" s="27"/>
      <c r="P558" s="27"/>
      <c r="Q558" s="27"/>
      <c r="R558" s="27"/>
    </row>
    <row r="559" spans="2:18" s="25" customFormat="1" x14ac:dyDescent="0.25">
      <c r="B559" s="323"/>
      <c r="D559" s="328"/>
      <c r="I559" s="57"/>
      <c r="M559" s="27"/>
      <c r="N559" s="27"/>
      <c r="O559" s="27"/>
      <c r="P559" s="27"/>
      <c r="Q559" s="27"/>
      <c r="R559" s="27"/>
    </row>
    <row r="560" spans="2:18" s="25" customFormat="1" x14ac:dyDescent="0.25">
      <c r="B560" s="323"/>
      <c r="D560" s="328"/>
      <c r="I560" s="57"/>
      <c r="M560" s="27"/>
      <c r="N560" s="27"/>
      <c r="O560" s="27"/>
      <c r="P560" s="27"/>
      <c r="Q560" s="27"/>
      <c r="R560" s="27"/>
    </row>
    <row r="561" spans="1:347" s="25" customFormat="1" x14ac:dyDescent="0.25">
      <c r="B561" s="323"/>
      <c r="D561" s="328"/>
      <c r="I561" s="57"/>
      <c r="M561" s="27"/>
      <c r="N561" s="27"/>
      <c r="O561" s="27"/>
      <c r="P561" s="27"/>
      <c r="Q561" s="27"/>
      <c r="R561" s="27"/>
    </row>
    <row r="562" spans="1:347" s="25" customFormat="1" x14ac:dyDescent="0.25">
      <c r="B562" s="323"/>
      <c r="D562" s="328"/>
      <c r="I562" s="57"/>
      <c r="M562" s="27"/>
      <c r="N562" s="27"/>
      <c r="O562" s="27"/>
      <c r="P562" s="27"/>
      <c r="Q562" s="27"/>
      <c r="R562" s="27"/>
    </row>
    <row r="563" spans="1:347" s="25" customFormat="1" x14ac:dyDescent="0.25">
      <c r="B563" s="323"/>
      <c r="D563" s="328"/>
      <c r="I563" s="57"/>
      <c r="M563" s="27"/>
      <c r="N563" s="27"/>
      <c r="O563" s="27"/>
      <c r="P563" s="27"/>
      <c r="Q563" s="27"/>
      <c r="R563" s="27"/>
    </row>
    <row r="564" spans="1:347" s="25" customFormat="1" x14ac:dyDescent="0.25">
      <c r="B564" s="323"/>
      <c r="D564" s="328"/>
      <c r="I564" s="57"/>
      <c r="M564" s="27"/>
      <c r="N564" s="27"/>
      <c r="O564" s="27"/>
      <c r="P564" s="27"/>
      <c r="Q564" s="27"/>
      <c r="R564" s="27"/>
    </row>
    <row r="565" spans="1:347" s="25" customFormat="1" x14ac:dyDescent="0.25">
      <c r="B565" s="323"/>
      <c r="D565" s="328"/>
      <c r="I565" s="57"/>
      <c r="M565" s="27"/>
      <c r="N565" s="27"/>
      <c r="O565" s="27"/>
      <c r="P565" s="27"/>
      <c r="Q565" s="27"/>
      <c r="R565" s="27"/>
    </row>
    <row r="566" spans="1:347" x14ac:dyDescent="0.25">
      <c r="A566" s="25"/>
      <c r="B566" s="323"/>
      <c r="C566" s="25"/>
      <c r="D566" s="328"/>
      <c r="E566" s="25"/>
      <c r="F566" s="25"/>
      <c r="G566" s="25"/>
      <c r="H566" s="25"/>
      <c r="I566" s="57"/>
      <c r="J566" s="25"/>
      <c r="K566" s="25"/>
      <c r="L566" s="25"/>
      <c r="M566" s="27"/>
      <c r="N566" s="27"/>
      <c r="O566" s="27"/>
      <c r="P566" s="27"/>
      <c r="Q566" s="27"/>
      <c r="R566" s="27"/>
      <c r="S566" s="25"/>
      <c r="T566" s="25"/>
      <c r="U566" s="25"/>
      <c r="V566" s="28"/>
      <c r="W566" s="28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  <c r="FQ566" s="6"/>
      <c r="FR566" s="6"/>
      <c r="FS566" s="6"/>
      <c r="FT566" s="6"/>
      <c r="FU566" s="6"/>
      <c r="FV566" s="6"/>
      <c r="FW566" s="6"/>
      <c r="FX566" s="6"/>
      <c r="FY566" s="6"/>
      <c r="FZ566" s="6"/>
      <c r="GA566" s="6"/>
      <c r="GB566" s="6"/>
      <c r="GC566" s="6"/>
      <c r="GD566" s="6"/>
      <c r="GE566" s="6"/>
      <c r="GF566" s="6"/>
      <c r="GG566" s="6"/>
      <c r="GH566" s="6"/>
      <c r="GI566" s="6"/>
      <c r="GJ566" s="6"/>
      <c r="GK566" s="6"/>
      <c r="GL566" s="6"/>
      <c r="GM566" s="6"/>
      <c r="GN566" s="6"/>
      <c r="GO566" s="6"/>
      <c r="GP566" s="6"/>
      <c r="GQ566" s="6"/>
      <c r="GR566" s="6"/>
      <c r="GS566" s="6"/>
      <c r="GT566" s="6"/>
      <c r="GU566" s="6"/>
      <c r="GV566" s="6"/>
      <c r="GW566" s="6"/>
      <c r="GX566" s="6"/>
      <c r="GY566" s="6"/>
      <c r="GZ566" s="6"/>
      <c r="HA566" s="6"/>
      <c r="HB566" s="6"/>
      <c r="HC566" s="6"/>
      <c r="HD566" s="6"/>
      <c r="HE566" s="6"/>
      <c r="HF566" s="6"/>
      <c r="HG566" s="6"/>
      <c r="HH566" s="6"/>
      <c r="HI566" s="6"/>
      <c r="HJ566" s="6"/>
      <c r="HK566" s="6"/>
      <c r="HL566" s="6"/>
      <c r="HM566" s="6"/>
      <c r="HN566" s="6"/>
      <c r="HO566" s="6"/>
      <c r="HP566" s="6"/>
      <c r="HQ566" s="6"/>
      <c r="HR566" s="6"/>
      <c r="HS566" s="6"/>
      <c r="HT566" s="6"/>
      <c r="HU566" s="6"/>
      <c r="HV566" s="6"/>
      <c r="HW566" s="6"/>
      <c r="HX566" s="6"/>
      <c r="HY566" s="6"/>
      <c r="HZ566" s="6"/>
      <c r="IA566" s="6"/>
      <c r="IB566" s="6"/>
      <c r="IC566" s="6"/>
      <c r="ID566" s="6"/>
      <c r="IE566" s="6"/>
      <c r="IF566" s="6"/>
      <c r="IG566" s="6"/>
      <c r="IH566" s="6"/>
      <c r="II566" s="6"/>
      <c r="IJ566" s="6"/>
      <c r="IK566" s="6"/>
      <c r="IL566" s="6"/>
      <c r="IM566" s="6"/>
      <c r="IN566" s="6"/>
      <c r="IO566" s="6"/>
      <c r="IP566" s="6"/>
      <c r="IQ566" s="6"/>
      <c r="IR566" s="6"/>
      <c r="IS566" s="6"/>
      <c r="IT566" s="6"/>
      <c r="IU566" s="6"/>
      <c r="IV566" s="6"/>
      <c r="IW566" s="6"/>
      <c r="IX566" s="6"/>
      <c r="IY566" s="6"/>
      <c r="IZ566" s="6"/>
      <c r="JA566" s="6"/>
      <c r="JB566" s="6"/>
      <c r="JC566" s="6"/>
      <c r="JD566" s="6"/>
      <c r="JE566" s="6"/>
      <c r="JF566" s="6"/>
      <c r="JG566" s="6"/>
      <c r="JH566" s="6"/>
      <c r="JI566" s="6"/>
      <c r="JJ566" s="6"/>
      <c r="JK566" s="6"/>
      <c r="JL566" s="6"/>
      <c r="JM566" s="6"/>
      <c r="JN566" s="6"/>
      <c r="JO566" s="6"/>
      <c r="JP566" s="6"/>
      <c r="JQ566" s="6"/>
      <c r="JR566" s="6"/>
      <c r="JS566" s="6"/>
      <c r="JT566" s="6"/>
      <c r="JU566" s="6"/>
      <c r="JV566" s="6"/>
      <c r="JW566" s="6"/>
      <c r="JX566" s="6"/>
      <c r="JY566" s="6"/>
      <c r="JZ566" s="6"/>
      <c r="KA566" s="6"/>
      <c r="KB566" s="6"/>
      <c r="KC566" s="6"/>
      <c r="KD566" s="6"/>
      <c r="KE566" s="6"/>
      <c r="KF566" s="6"/>
      <c r="KG566" s="6"/>
      <c r="KH566" s="6"/>
      <c r="KI566" s="6"/>
      <c r="KJ566" s="6"/>
      <c r="KK566" s="6"/>
      <c r="KL566" s="6"/>
      <c r="KM566" s="6"/>
      <c r="KN566" s="6"/>
      <c r="KO566" s="6"/>
      <c r="KP566" s="6"/>
      <c r="KQ566" s="6"/>
      <c r="KR566" s="6"/>
      <c r="KS566" s="6"/>
      <c r="KT566" s="6"/>
      <c r="KU566" s="6"/>
      <c r="KV566" s="6"/>
      <c r="KW566" s="6"/>
      <c r="KX566" s="6"/>
      <c r="KY566" s="6"/>
      <c r="KZ566" s="6"/>
      <c r="LA566" s="6"/>
      <c r="LB566" s="6"/>
      <c r="LC566" s="6"/>
      <c r="LD566" s="6"/>
      <c r="LE566" s="6"/>
      <c r="LF566" s="6"/>
      <c r="LG566" s="6"/>
      <c r="LH566" s="6"/>
      <c r="LI566" s="6"/>
      <c r="LJ566" s="6"/>
      <c r="LK566" s="6"/>
      <c r="LL566" s="6"/>
      <c r="LM566" s="6"/>
      <c r="LN566" s="6"/>
      <c r="LO566" s="6"/>
      <c r="LP566" s="6"/>
      <c r="LQ566" s="6"/>
      <c r="LR566" s="6"/>
      <c r="LS566" s="6"/>
      <c r="LT566" s="6"/>
      <c r="LU566" s="6"/>
      <c r="LV566" s="6"/>
      <c r="LW566" s="6"/>
      <c r="LX566" s="6"/>
      <c r="LY566" s="6"/>
      <c r="LZ566" s="6"/>
      <c r="MA566" s="6"/>
      <c r="MB566" s="6"/>
      <c r="MC566" s="6"/>
      <c r="MD566" s="6"/>
      <c r="ME566" s="6"/>
      <c r="MF566" s="6"/>
      <c r="MG566" s="6"/>
      <c r="MH566" s="6"/>
      <c r="MI566" s="6"/>
    </row>
    <row r="567" spans="1:347" x14ac:dyDescent="0.25">
      <c r="A567" s="25"/>
      <c r="B567" s="323"/>
      <c r="C567" s="25"/>
      <c r="D567" s="328"/>
      <c r="E567" s="25"/>
      <c r="F567" s="25"/>
      <c r="G567" s="25"/>
      <c r="H567" s="25"/>
      <c r="I567" s="57"/>
      <c r="J567" s="25"/>
      <c r="K567" s="25"/>
      <c r="L567" s="25"/>
      <c r="M567" s="27"/>
      <c r="N567" s="27"/>
      <c r="O567" s="27"/>
      <c r="P567" s="27"/>
      <c r="Q567" s="27"/>
      <c r="R567" s="27"/>
      <c r="S567" s="28"/>
      <c r="T567" s="28"/>
      <c r="U567" s="28"/>
      <c r="V567" s="28"/>
      <c r="W567" s="28"/>
    </row>
  </sheetData>
  <sheetProtection algorithmName="SHA-512" hashValue="VNODJGM6juZODBm4venhOx8B3fDhyD/Gehres0ix+Df8wuVYb4XZfPrpVz7k6xHI//w30TCOiRv4DNqlF5CNow==" saltValue="Sb6NT9GcDICkLwrAXud1Fw==" spinCount="100000" sheet="1" sort="0" autoFilter="0"/>
  <autoFilter ref="A2:MI8" xr:uid="{00000000-0009-0000-0000-000003000000}"/>
  <sortState xmlns:xlrd2="http://schemas.microsoft.com/office/spreadsheetml/2017/richdata2" ref="A1:N220">
    <sortCondition ref="E1:E2"/>
  </sortState>
  <mergeCells count="51">
    <mergeCell ref="M41:N41"/>
    <mergeCell ref="E53:K53"/>
    <mergeCell ref="J1:J2"/>
    <mergeCell ref="A45:K45"/>
    <mergeCell ref="A46:K46"/>
    <mergeCell ref="A41:K41"/>
    <mergeCell ref="A47:K47"/>
    <mergeCell ref="A48:K48"/>
    <mergeCell ref="A49:B49"/>
    <mergeCell ref="E49:K49"/>
    <mergeCell ref="A40:X40"/>
    <mergeCell ref="A42:K42"/>
    <mergeCell ref="B1:B2"/>
    <mergeCell ref="S1:S2"/>
    <mergeCell ref="X1:X2"/>
    <mergeCell ref="T1:T2"/>
    <mergeCell ref="A54:B54"/>
    <mergeCell ref="E54:K54"/>
    <mergeCell ref="A55:K55"/>
    <mergeCell ref="M49:N49"/>
    <mergeCell ref="I71:J71"/>
    <mergeCell ref="A50:B52"/>
    <mergeCell ref="E50:K50"/>
    <mergeCell ref="E51:K51"/>
    <mergeCell ref="E52:K52"/>
    <mergeCell ref="A57:K57"/>
    <mergeCell ref="A53:B53"/>
    <mergeCell ref="L1:L2"/>
    <mergeCell ref="AA1:AA2"/>
    <mergeCell ref="W1:W2"/>
    <mergeCell ref="V1:V2"/>
    <mergeCell ref="AD1:AD2"/>
    <mergeCell ref="U1:U2"/>
    <mergeCell ref="Z1:Z2"/>
    <mergeCell ref="AC1:AC2"/>
    <mergeCell ref="AE1:AE2"/>
    <mergeCell ref="A1:A2"/>
    <mergeCell ref="I1:I2"/>
    <mergeCell ref="R1:R2"/>
    <mergeCell ref="O1:O2"/>
    <mergeCell ref="Q1:Q2"/>
    <mergeCell ref="M1:M2"/>
    <mergeCell ref="E1:E2"/>
    <mergeCell ref="F1:F2"/>
    <mergeCell ref="G1:G2"/>
    <mergeCell ref="H1:H2"/>
    <mergeCell ref="P1:P2"/>
    <mergeCell ref="K1:K2"/>
    <mergeCell ref="N1:N2"/>
    <mergeCell ref="C1:C2"/>
    <mergeCell ref="D1:D2"/>
  </mergeCells>
  <pageMargins left="0.15748031496062992" right="0.15748031496062992" top="0.62992125984251968" bottom="0.31496062992125984" header="0.27559055118110237" footer="0.11811023622047245"/>
  <pageSetup paperSize="9" scale="44" fitToHeight="6" orientation="landscape" r:id="rId1"/>
  <headerFooter>
    <oddHeader>&amp;C&amp;"-,Negrito"&amp;12PLANILHA DE COMPOSIÇÃO DE CUSTOSRELATÓRIO DE CUSTO DETALHADO</oddHeader>
    <oddFooter>&amp;R&amp;P/&amp;N</oddFooter>
  </headerFooter>
  <ignoredErrors>
    <ignoredError sqref="AD6 AC4:AC5 AC6 AD7 AC7 AD8 AC8" 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GK446"/>
  <sheetViews>
    <sheetView showGridLines="0" topLeftCell="A21" zoomScale="130" zoomScaleNormal="130" workbookViewId="0">
      <selection activeCell="A39" sqref="A39:XFD56"/>
    </sheetView>
  </sheetViews>
  <sheetFormatPr defaultRowHeight="15" x14ac:dyDescent="0.25"/>
  <cols>
    <col min="1" max="1" width="7" customWidth="1"/>
    <col min="2" max="2" width="39" customWidth="1"/>
    <col min="3" max="3" width="10.85546875" bestFit="1" customWidth="1"/>
    <col min="4" max="4" width="5" style="232" customWidth="1"/>
    <col min="5" max="5" width="3.28515625" customWidth="1"/>
    <col min="6" max="6" width="13.28515625" bestFit="1" customWidth="1"/>
    <col min="7" max="7" width="11" customWidth="1"/>
    <col min="8" max="8" width="8.5703125" bestFit="1" customWidth="1"/>
    <col min="9" max="9" width="14" customWidth="1"/>
    <col min="10" max="10" width="12" customWidth="1"/>
    <col min="11" max="11" width="15" customWidth="1"/>
    <col min="12" max="12" width="10.85546875" style="75" customWidth="1"/>
    <col min="13" max="13" width="11.42578125" style="75" bestFit="1" customWidth="1"/>
    <col min="14" max="14" width="10.85546875" style="75" bestFit="1" customWidth="1"/>
    <col min="15" max="15" width="10.5703125" style="75" bestFit="1" customWidth="1"/>
    <col min="16" max="193" width="9.140625" style="75"/>
  </cols>
  <sheetData>
    <row r="1" spans="1:193" ht="21.75" customHeight="1" x14ac:dyDescent="0.25">
      <c r="A1" s="444" t="s">
        <v>203</v>
      </c>
      <c r="B1" s="445"/>
      <c r="C1" s="445"/>
      <c r="D1" s="445"/>
      <c r="E1" s="445"/>
      <c r="F1" s="445"/>
      <c r="G1" s="445"/>
      <c r="H1" s="445"/>
      <c r="I1" s="445"/>
      <c r="J1" s="445"/>
      <c r="K1" s="446"/>
    </row>
    <row r="2" spans="1:193" ht="22.5" x14ac:dyDescent="0.25">
      <c r="A2" s="184" t="s">
        <v>97</v>
      </c>
      <c r="B2" s="442" t="s">
        <v>152</v>
      </c>
      <c r="C2" s="461"/>
      <c r="D2" s="461"/>
      <c r="E2" s="443"/>
      <c r="F2" s="185" t="s">
        <v>153</v>
      </c>
      <c r="G2" s="185" t="s">
        <v>154</v>
      </c>
      <c r="H2" s="183" t="s">
        <v>204</v>
      </c>
      <c r="I2" s="185" t="s">
        <v>205</v>
      </c>
      <c r="J2" s="186" t="s">
        <v>123</v>
      </c>
      <c r="K2" s="186" t="s">
        <v>206</v>
      </c>
    </row>
    <row r="3" spans="1:193" x14ac:dyDescent="0.25">
      <c r="A3" s="76">
        <v>690001</v>
      </c>
      <c r="B3" s="458" t="str">
        <f>VLOOKUP(A3,'Tabela de Códigos e Valores'!A:B,2,FALSE)</f>
        <v>Auxiliar de limpeza - diurno - 44 horas semanais (segunda a sexta-feira)</v>
      </c>
      <c r="C3" s="459"/>
      <c r="D3" s="459"/>
      <c r="E3" s="460"/>
      <c r="F3" s="172" t="str">
        <f>VLOOKUP($A3,'Tabela de Códigos e Valores'!$A:$M,5,FALSE)</f>
        <v>Posto</v>
      </c>
      <c r="G3" s="172" t="str">
        <f>VLOOKUP($A3,'Tabela de Códigos e Valores'!$A:$M,6,FALSE)</f>
        <v>Mensal</v>
      </c>
      <c r="H3" s="233">
        <f>SUMIF('Relatório Custo'!$E:$E,$A3,'Relatório Custo'!$K:$K)</f>
        <v>81</v>
      </c>
      <c r="I3" s="77">
        <f>IF(F3="Posto",SUMIF('Relatório Custo'!$E:$E,$A3,'Relatório Custo'!$Z:$Z),0)</f>
        <v>0</v>
      </c>
      <c r="J3" s="77">
        <f>SUMIF('Relatório Custo'!$E:$E,$A3,'Relatório Custo'!$V:$V)</f>
        <v>0</v>
      </c>
      <c r="K3" s="77">
        <f>SUMIF('Relatório Custo'!$E:$E,$A3,'Relatório Custo'!$X:$X)</f>
        <v>0</v>
      </c>
      <c r="L3" s="78"/>
      <c r="M3" s="78"/>
      <c r="N3" s="79"/>
    </row>
    <row r="4" spans="1:193" x14ac:dyDescent="0.25">
      <c r="A4" s="76">
        <v>690002</v>
      </c>
      <c r="B4" s="458" t="str">
        <f>VLOOKUP(A4,'Tabela de Códigos e Valores'!A:B,2,FALSE)</f>
        <v>Auxiliar de limpeza - diurno - 24 horas  semanais</v>
      </c>
      <c r="C4" s="459"/>
      <c r="D4" s="459"/>
      <c r="E4" s="460"/>
      <c r="F4" s="172" t="str">
        <f>VLOOKUP($A4,'Tabela de Códigos e Valores'!$A:$M,5,FALSE)</f>
        <v>Posto</v>
      </c>
      <c r="G4" s="172" t="str">
        <f>VLOOKUP($A4,'Tabela de Códigos e Valores'!$A:$M,6,FALSE)</f>
        <v>Mensal</v>
      </c>
      <c r="H4" s="233">
        <f>SUMIF('Relatório Custo'!$E:$E,$A4,'Relatório Custo'!$K:$K)</f>
        <v>3</v>
      </c>
      <c r="I4" s="77">
        <f>IF(F4="Posto",SUMIF('Relatório Custo'!$E:$E,$A4,'Relatório Custo'!$Z:$Z),0)</f>
        <v>0</v>
      </c>
      <c r="J4" s="77">
        <f>SUMIF('Relatório Custo'!$E:$E,$A4,'Relatório Custo'!$V:$V)</f>
        <v>0</v>
      </c>
      <c r="K4" s="77">
        <f>SUMIF('Relatório Custo'!$E:$E,$A4,'Relatório Custo'!$X:$X)</f>
        <v>0</v>
      </c>
      <c r="L4" s="78"/>
      <c r="M4" s="78"/>
    </row>
    <row r="5" spans="1:193" x14ac:dyDescent="0.25">
      <c r="A5" s="76">
        <v>690004</v>
      </c>
      <c r="B5" s="458" t="str">
        <f>VLOOKUP(A5,'Tabela de Códigos e Valores'!A:B,2,FALSE)</f>
        <v>Serviço de limpeza - plantonista - domingos e feriados (5 horas)</v>
      </c>
      <c r="C5" s="459"/>
      <c r="D5" s="459"/>
      <c r="E5" s="460"/>
      <c r="F5" s="172" t="str">
        <f>VLOOKUP($A5,'Tabela de Códigos e Valores'!$A:$M,5,FALSE)</f>
        <v>Plantão - Dom/Fer</v>
      </c>
      <c r="G5" s="172" t="str">
        <f>VLOOKUP($A5,'Tabela de Códigos e Valores'!$A:$M,6,FALSE)</f>
        <v>Mensal</v>
      </c>
      <c r="H5" s="233">
        <f>SUMIF('Relatório Custo'!$E:$E,$A5,'Relatório Custo'!$K:$K)</f>
        <v>1</v>
      </c>
      <c r="I5" s="77">
        <f>IF(F5="Posto",SUMIF('Relatório Custo'!$E:$E,$A5,'Relatório Custo'!$Z:$Z),0)</f>
        <v>0</v>
      </c>
      <c r="J5" s="77">
        <f>SUMIF('Relatório Custo'!$E:$E,$A5,'Relatório Custo'!$V:$V)</f>
        <v>0</v>
      </c>
      <c r="K5" s="77">
        <f>SUMIF('Relatório Custo'!$E:$E,$A5,'Relatório Custo'!$X:$X)</f>
        <v>0</v>
      </c>
      <c r="L5" s="78"/>
      <c r="M5" s="78"/>
    </row>
    <row r="6" spans="1:193" s="82" customFormat="1" x14ac:dyDescent="0.25">
      <c r="A6" s="76">
        <v>690020</v>
      </c>
      <c r="B6" s="458" t="str">
        <f>VLOOKUP(A6,'Tabela de Códigos e Valores'!A:B,2,FALSE)</f>
        <v>Serviço de Jardinagem</v>
      </c>
      <c r="C6" s="459"/>
      <c r="D6" s="459"/>
      <c r="E6" s="460"/>
      <c r="F6" s="172" t="str">
        <f>VLOOKUP($A6,'Tabela de Códigos e Valores'!$A:$M,5,FALSE)</f>
        <v>M2</v>
      </c>
      <c r="G6" s="172" t="str">
        <f>VLOOKUP($A6,'Tabela de Códigos e Valores'!$A:$M,6,FALSE)</f>
        <v>Mensal</v>
      </c>
      <c r="H6" s="233">
        <f>SUMIF('Relatório Custo'!$E:$E,$A6,'Relatório Custo'!$K:$K)</f>
        <v>430</v>
      </c>
      <c r="I6" s="77">
        <f>IF(F6="Posto",SUMIF('Relatório Custo'!$E:$E,$A6,'Relatório Custo'!$Z:$Z),0)</f>
        <v>0</v>
      </c>
      <c r="J6" s="77">
        <f>SUMIF('Relatório Custo'!$E:$E,$A6,'Relatório Custo'!$V:$V)</f>
        <v>0</v>
      </c>
      <c r="K6" s="77">
        <f>SUMIF('Relatório Custo'!$E:$E,$A6,'Relatório Custo'!$X:$X)</f>
        <v>0</v>
      </c>
      <c r="L6" s="80"/>
      <c r="M6" s="80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1"/>
      <c r="BS6" s="81"/>
      <c r="BT6" s="81"/>
      <c r="BU6" s="81"/>
      <c r="BV6" s="81"/>
      <c r="BW6" s="81"/>
      <c r="BX6" s="81"/>
      <c r="BY6" s="81"/>
      <c r="BZ6" s="81"/>
      <c r="CA6" s="81"/>
      <c r="CB6" s="81"/>
      <c r="CC6" s="81"/>
      <c r="CD6" s="81"/>
      <c r="CE6" s="81"/>
      <c r="CF6" s="81"/>
      <c r="CG6" s="81"/>
      <c r="CH6" s="81"/>
      <c r="CI6" s="81"/>
      <c r="CJ6" s="81"/>
      <c r="CK6" s="81"/>
      <c r="CL6" s="81"/>
      <c r="CM6" s="81"/>
      <c r="CN6" s="81"/>
      <c r="CO6" s="81"/>
      <c r="CP6" s="81"/>
      <c r="CQ6" s="81"/>
      <c r="CR6" s="81"/>
      <c r="CS6" s="81"/>
      <c r="CT6" s="81"/>
      <c r="CU6" s="81"/>
      <c r="CV6" s="81"/>
      <c r="CW6" s="81"/>
      <c r="CX6" s="81"/>
      <c r="CY6" s="81"/>
      <c r="CZ6" s="81"/>
      <c r="DA6" s="81"/>
      <c r="DB6" s="81"/>
      <c r="DC6" s="81"/>
      <c r="DD6" s="81"/>
      <c r="DE6" s="81"/>
      <c r="DF6" s="81"/>
      <c r="DG6" s="81"/>
      <c r="DH6" s="81"/>
      <c r="DI6" s="81"/>
      <c r="DJ6" s="81"/>
      <c r="DK6" s="81"/>
      <c r="DL6" s="81"/>
      <c r="DM6" s="81"/>
      <c r="DN6" s="81"/>
      <c r="DO6" s="81"/>
      <c r="DP6" s="81"/>
      <c r="DQ6" s="81"/>
      <c r="DR6" s="81"/>
      <c r="DS6" s="81"/>
      <c r="DT6" s="81"/>
      <c r="DU6" s="81"/>
      <c r="DV6" s="81"/>
      <c r="DW6" s="81"/>
      <c r="DX6" s="81"/>
      <c r="DY6" s="81"/>
      <c r="DZ6" s="81"/>
      <c r="EA6" s="81"/>
      <c r="EB6" s="81"/>
      <c r="EC6" s="81"/>
      <c r="ED6" s="81"/>
      <c r="EE6" s="81"/>
      <c r="EF6" s="81"/>
      <c r="EG6" s="81"/>
      <c r="EH6" s="81"/>
      <c r="EI6" s="81"/>
      <c r="EJ6" s="81"/>
      <c r="EK6" s="81"/>
      <c r="EL6" s="81"/>
      <c r="EM6" s="81"/>
      <c r="EN6" s="81"/>
      <c r="EO6" s="81"/>
      <c r="EP6" s="81"/>
      <c r="EQ6" s="81"/>
      <c r="ER6" s="81"/>
      <c r="ES6" s="81"/>
      <c r="ET6" s="81"/>
      <c r="EU6" s="81"/>
      <c r="EV6" s="81"/>
      <c r="EW6" s="81"/>
      <c r="EX6" s="81"/>
      <c r="EY6" s="81"/>
      <c r="EZ6" s="81"/>
      <c r="FA6" s="81"/>
      <c r="FB6" s="81"/>
      <c r="FC6" s="81"/>
      <c r="FD6" s="81"/>
      <c r="FE6" s="81"/>
      <c r="FF6" s="81"/>
      <c r="FG6" s="81"/>
      <c r="FH6" s="81"/>
      <c r="FI6" s="81"/>
      <c r="FJ6" s="81"/>
      <c r="FK6" s="81"/>
      <c r="FL6" s="81"/>
      <c r="FM6" s="81"/>
      <c r="FN6" s="81"/>
      <c r="FO6" s="81"/>
      <c r="FP6" s="81"/>
      <c r="FQ6" s="81"/>
      <c r="FR6" s="81"/>
      <c r="FS6" s="81"/>
      <c r="FT6" s="81"/>
      <c r="FU6" s="81"/>
      <c r="FV6" s="81"/>
      <c r="FW6" s="81"/>
      <c r="FX6" s="81"/>
      <c r="FY6" s="81"/>
      <c r="FZ6" s="81"/>
      <c r="GA6" s="81"/>
      <c r="GB6" s="81"/>
      <c r="GC6" s="81"/>
      <c r="GD6" s="81"/>
      <c r="GE6" s="81"/>
      <c r="GF6" s="81"/>
      <c r="GG6" s="81"/>
      <c r="GH6" s="81"/>
      <c r="GI6" s="81"/>
      <c r="GJ6" s="81"/>
      <c r="GK6" s="81"/>
    </row>
    <row r="7" spans="1:193" x14ac:dyDescent="0.25">
      <c r="A7" s="76">
        <v>690021</v>
      </c>
      <c r="B7" s="458" t="str">
        <f>VLOOKUP(A7,'Tabela de Códigos e Valores'!A:B,2,FALSE)</f>
        <v>Serviço de limpeza de vidros com exposição à situação de risco</v>
      </c>
      <c r="C7" s="459"/>
      <c r="D7" s="459"/>
      <c r="E7" s="460"/>
      <c r="F7" s="172" t="str">
        <f>VLOOKUP($A7,'Tabela de Códigos e Valores'!$A:$M,5,FALSE)</f>
        <v>M2</v>
      </c>
      <c r="G7" s="172" t="str">
        <f>VLOOKUP($A7,'Tabela de Códigos e Valores'!$A:$M,6,FALSE)</f>
        <v>Trimestral</v>
      </c>
      <c r="H7" s="233">
        <f>SUMIF('Relatório Custo'!$E:$E,$A7,'Relatório Custo'!$K:$K)</f>
        <v>4414</v>
      </c>
      <c r="I7" s="77">
        <f>IF(F7="Posto",SUMIF('Relatório Custo'!$E:$E,$A7,'Relatório Custo'!$Z:$Z),0)</f>
        <v>0</v>
      </c>
      <c r="J7" s="77">
        <f>SUMIF('Relatório Custo'!$E:$E,$A7,'Relatório Custo'!$V:$V)</f>
        <v>0</v>
      </c>
      <c r="K7" s="77">
        <f>SUMIF('Relatório Custo'!$E:$E,$A7,'Relatório Custo'!$X:$X)</f>
        <v>0</v>
      </c>
      <c r="L7" s="78"/>
      <c r="M7" s="78"/>
    </row>
    <row r="8" spans="1:193" x14ac:dyDescent="0.25">
      <c r="A8" s="76">
        <v>690022</v>
      </c>
      <c r="B8" s="458" t="str">
        <f>VLOOKUP(A8,'Tabela de Códigos e Valores'!A:B,2,FALSE)</f>
        <v>Auxiliar de limpeza área médica - diurno - 44 horas semanais</v>
      </c>
      <c r="C8" s="459"/>
      <c r="D8" s="459"/>
      <c r="E8" s="460"/>
      <c r="F8" s="172" t="str">
        <f>VLOOKUP($A8,'Tabela de Códigos e Valores'!$A:$M,5,FALSE)</f>
        <v>Posto</v>
      </c>
      <c r="G8" s="172" t="str">
        <f>VLOOKUP($A8,'Tabela de Códigos e Valores'!$A:$M,6,FALSE)</f>
        <v>Mensal</v>
      </c>
      <c r="H8" s="233">
        <f>SUMIF('Relatório Custo'!$E:$E,$A8,'Relatório Custo'!$K:$K)</f>
        <v>1</v>
      </c>
      <c r="I8" s="77">
        <f>IF(F8="Posto",SUMIF('Relatório Custo'!$E:$E,$A8,'Relatório Custo'!$Z:$Z),0)</f>
        <v>0</v>
      </c>
      <c r="J8" s="77">
        <f>SUMIF('Relatório Custo'!$E:$E,$A8,'Relatório Custo'!$V:$V)</f>
        <v>0</v>
      </c>
      <c r="K8" s="77">
        <f>SUMIF('Relatório Custo'!$E:$E,$A8,'Relatório Custo'!$X:$X)</f>
        <v>0</v>
      </c>
      <c r="L8" s="78"/>
      <c r="M8" s="78"/>
    </row>
    <row r="9" spans="1:193" x14ac:dyDescent="0.25">
      <c r="A9" s="76">
        <v>690029</v>
      </c>
      <c r="B9" s="458" t="str">
        <f>VLOOKUP(A9,'Tabela de Códigos e Valores'!A:B,2,FALSE)</f>
        <v>Serviço de limpeza de vidros sem exposição à situação de risco</v>
      </c>
      <c r="C9" s="459"/>
      <c r="D9" s="459"/>
      <c r="E9" s="460"/>
      <c r="F9" s="172" t="str">
        <f>VLOOKUP($A9,'Tabela de Códigos e Valores'!$A:$M,5,FALSE)</f>
        <v>M2</v>
      </c>
      <c r="G9" s="172" t="str">
        <f>VLOOKUP($A9,'Tabela de Códigos e Valores'!$A:$M,6,FALSE)</f>
        <v>Trimestral</v>
      </c>
      <c r="H9" s="233">
        <f>SUMIF('Relatório Custo'!$E:$E,$A9,'Relatório Custo'!$K:$K)</f>
        <v>8513</v>
      </c>
      <c r="I9" s="77">
        <f>IF(F9="Posto",SUMIF('Relatório Custo'!$E:$E,$A9,'Relatório Custo'!$Z:$Z),0)</f>
        <v>0</v>
      </c>
      <c r="J9" s="77">
        <f>SUMIF('Relatório Custo'!$E:$E,$A9,'Relatório Custo'!$V:$V)</f>
        <v>0</v>
      </c>
      <c r="K9" s="77">
        <f>SUMIF('Relatório Custo'!$E:$E,$A9,'Relatório Custo'!$X:$X)</f>
        <v>0</v>
      </c>
      <c r="L9" s="78"/>
      <c r="M9" s="78"/>
    </row>
    <row r="10" spans="1:193" x14ac:dyDescent="0.25">
      <c r="A10" s="76">
        <v>690032</v>
      </c>
      <c r="B10" s="458" t="str">
        <f>VLOOKUP(A10,'Tabela de Códigos e Valores'!A:B,2,FALSE)</f>
        <v>Auxiliar de limpeza - diurno - 44 horas semanais (segunda a sábado)</v>
      </c>
      <c r="C10" s="459"/>
      <c r="D10" s="459"/>
      <c r="E10" s="460"/>
      <c r="F10" s="172" t="str">
        <f>VLOOKUP($A10,'Tabela de Códigos e Valores'!$A:$M,5,FALSE)</f>
        <v>Posto</v>
      </c>
      <c r="G10" s="172" t="str">
        <f>VLOOKUP($A10,'Tabela de Códigos e Valores'!$A:$M,6,FALSE)</f>
        <v>Mensal</v>
      </c>
      <c r="H10" s="233">
        <f>SUMIF('Relatório Custo'!$E:$E,$A10,'Relatório Custo'!$K:$K)</f>
        <v>1</v>
      </c>
      <c r="I10" s="77">
        <f>IF(F10="Posto",SUMIF('Relatório Custo'!$E:$E,$A10,'Relatório Custo'!$Z:$Z),0)</f>
        <v>0</v>
      </c>
      <c r="J10" s="77">
        <f>SUMIF('Relatório Custo'!$E:$E,$A10,'Relatório Custo'!$V:$V)</f>
        <v>0</v>
      </c>
      <c r="K10" s="77">
        <f>SUMIF('Relatório Custo'!$E:$E,$A10,'Relatório Custo'!$X:$X)</f>
        <v>0</v>
      </c>
      <c r="L10" s="78"/>
      <c r="M10" s="78"/>
    </row>
    <row r="11" spans="1:193" s="82" customFormat="1" x14ac:dyDescent="0.25">
      <c r="A11" s="76">
        <v>690037</v>
      </c>
      <c r="B11" s="458" t="str">
        <f>VLOOKUP(A11,'Tabela de Códigos e Valores'!A:B,2,FALSE)</f>
        <v>Agente de Higienização (Tempo Integral) - (40%) - 44 horas semanais</v>
      </c>
      <c r="C11" s="459"/>
      <c r="D11" s="459"/>
      <c r="E11" s="460"/>
      <c r="F11" s="172" t="str">
        <f>VLOOKUP($A11,'Tabela de Códigos e Valores'!$A:$M,5,FALSE)</f>
        <v>Posto</v>
      </c>
      <c r="G11" s="172" t="str">
        <f>VLOOKUP($A11,'Tabela de Códigos e Valores'!$A:$M,6,FALSE)</f>
        <v>Mensal</v>
      </c>
      <c r="H11" s="233">
        <f>SUMIF('Relatório Custo'!$E:$E,$A11,'Relatório Custo'!$K:$K)</f>
        <v>14</v>
      </c>
      <c r="I11" s="77">
        <f>IF(F11="Posto",SUMIF('Relatório Custo'!$E:$E,$A11,'Relatório Custo'!$Z:$Z),0)</f>
        <v>0</v>
      </c>
      <c r="J11" s="77">
        <f>SUMIF('Relatório Custo'!$E:$E,$A11,'Relatório Custo'!$V:$V)</f>
        <v>0</v>
      </c>
      <c r="K11" s="77">
        <f>SUMIF('Relatório Custo'!$E:$E,$A11,'Relatório Custo'!$X:$X)</f>
        <v>0</v>
      </c>
      <c r="L11" s="80"/>
      <c r="M11" s="80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A11" s="81"/>
      <c r="EB11" s="81"/>
      <c r="EC11" s="81"/>
      <c r="ED11" s="81"/>
      <c r="EE11" s="81"/>
      <c r="EF11" s="81"/>
      <c r="EG11" s="81"/>
      <c r="EH11" s="81"/>
      <c r="EI11" s="81"/>
      <c r="EJ11" s="81"/>
      <c r="EK11" s="81"/>
      <c r="EL11" s="81"/>
      <c r="EM11" s="81"/>
      <c r="EN11" s="81"/>
      <c r="EO11" s="81"/>
      <c r="EP11" s="81"/>
      <c r="EQ11" s="81"/>
      <c r="ER11" s="81"/>
      <c r="ES11" s="81"/>
      <c r="ET11" s="81"/>
      <c r="EU11" s="81"/>
      <c r="EV11" s="81"/>
      <c r="EW11" s="81"/>
      <c r="EX11" s="81"/>
      <c r="EY11" s="81"/>
      <c r="EZ11" s="81"/>
      <c r="FA11" s="81"/>
      <c r="FB11" s="81"/>
      <c r="FC11" s="81"/>
      <c r="FD11" s="81"/>
      <c r="FE11" s="81"/>
      <c r="FF11" s="81"/>
      <c r="FG11" s="81"/>
      <c r="FH11" s="81"/>
      <c r="FI11" s="81"/>
      <c r="FJ11" s="81"/>
      <c r="FK11" s="81"/>
      <c r="FL11" s="81"/>
      <c r="FM11" s="81"/>
      <c r="FN11" s="81"/>
      <c r="FO11" s="81"/>
      <c r="FP11" s="81"/>
      <c r="FQ11" s="81"/>
      <c r="FR11" s="81"/>
      <c r="FS11" s="81"/>
      <c r="FT11" s="81"/>
      <c r="FU11" s="81"/>
      <c r="FV11" s="81"/>
      <c r="FW11" s="81"/>
      <c r="FX11" s="81"/>
      <c r="FY11" s="81"/>
      <c r="FZ11" s="81"/>
      <c r="GA11" s="81"/>
      <c r="GB11" s="81"/>
      <c r="GC11" s="81"/>
      <c r="GD11" s="81"/>
      <c r="GE11" s="81"/>
      <c r="GF11" s="81"/>
      <c r="GG11" s="81"/>
      <c r="GH11" s="81"/>
      <c r="GI11" s="81"/>
      <c r="GJ11" s="81"/>
      <c r="GK11" s="81"/>
    </row>
    <row r="12" spans="1:193" x14ac:dyDescent="0.25">
      <c r="A12" s="76">
        <v>690056</v>
      </c>
      <c r="B12" s="458" t="str">
        <f>VLOOKUP(A12,'Tabela de Códigos e Valores'!A:B,2,FALSE)</f>
        <v>Encarregado(a) 11 ou mais subordinados - diurno - 44 horas semanais</v>
      </c>
      <c r="C12" s="459"/>
      <c r="D12" s="459"/>
      <c r="E12" s="460"/>
      <c r="F12" s="172" t="str">
        <f>VLOOKUP($A12,'Tabela de Códigos e Valores'!$A:$M,5,FALSE)</f>
        <v>Posto</v>
      </c>
      <c r="G12" s="172" t="str">
        <f>VLOOKUP($A12,'Tabela de Códigos e Valores'!$A:$M,6,FALSE)</f>
        <v>Mensal</v>
      </c>
      <c r="H12" s="233">
        <f>SUMIF('Relatório Custo'!$E:$E,$A12,'Relatório Custo'!$K:$K)</f>
        <v>4</v>
      </c>
      <c r="I12" s="77">
        <f>IF(F12="Posto",SUMIF('Relatório Custo'!$E:$E,$A12,'Relatório Custo'!$Z:$Z),0)</f>
        <v>0</v>
      </c>
      <c r="J12" s="77">
        <f>SUMIF('Relatório Custo'!$E:$E,$A12,'Relatório Custo'!$V:$V)</f>
        <v>0</v>
      </c>
      <c r="K12" s="77">
        <f>SUMIF('Relatório Custo'!$E:$E,$A12,'Relatório Custo'!$X:$X)</f>
        <v>0</v>
      </c>
      <c r="L12" s="78"/>
      <c r="M12" s="78"/>
    </row>
    <row r="13" spans="1:193" x14ac:dyDescent="0.25">
      <c r="A13" s="462"/>
      <c r="B13" s="463"/>
      <c r="C13" s="463"/>
      <c r="D13" s="463"/>
      <c r="E13" s="463"/>
      <c r="F13" s="463"/>
      <c r="G13" s="464"/>
      <c r="H13" s="170" t="s">
        <v>207</v>
      </c>
      <c r="I13" s="83">
        <f>SUBTOTAL(9,I3:I12)</f>
        <v>0</v>
      </c>
      <c r="J13" s="83"/>
      <c r="K13" s="83">
        <f>SUBTOTAL(9,K3:K12)</f>
        <v>0</v>
      </c>
      <c r="L13" s="84"/>
      <c r="M13" s="84"/>
      <c r="N13" s="84"/>
      <c r="O13" s="78"/>
    </row>
    <row r="14" spans="1:193" x14ac:dyDescent="0.25">
      <c r="A14" s="85" t="s">
        <v>208</v>
      </c>
      <c r="B14" s="86"/>
      <c r="C14" s="86"/>
      <c r="D14" s="229"/>
      <c r="E14" s="86"/>
      <c r="F14" s="86"/>
      <c r="G14" s="86"/>
      <c r="H14" s="86"/>
      <c r="I14" s="86"/>
      <c r="J14" s="86"/>
      <c r="K14" s="145">
        <f>K13-'Relatório Custo'!$X$36</f>
        <v>0</v>
      </c>
      <c r="L14" s="78"/>
      <c r="M14" s="78"/>
      <c r="N14" s="78"/>
      <c r="O14" s="78"/>
    </row>
    <row r="15" spans="1:193" x14ac:dyDescent="0.25">
      <c r="A15" s="444" t="s">
        <v>81</v>
      </c>
      <c r="B15" s="445"/>
      <c r="C15" s="445"/>
      <c r="D15" s="445"/>
      <c r="E15" s="445"/>
      <c r="F15" s="445"/>
      <c r="G15" s="445"/>
      <c r="H15" s="445"/>
      <c r="I15" s="445"/>
      <c r="J15" s="445"/>
      <c r="K15" s="446"/>
    </row>
    <row r="16" spans="1:193" x14ac:dyDescent="0.25">
      <c r="A16" s="104" t="s">
        <v>209</v>
      </c>
      <c r="B16" s="166" t="s">
        <v>210</v>
      </c>
      <c r="C16" s="167"/>
      <c r="D16" s="167"/>
      <c r="E16" s="167"/>
      <c r="F16" s="167"/>
      <c r="G16" s="167"/>
      <c r="H16" s="167"/>
      <c r="I16" s="168"/>
      <c r="J16" s="172"/>
      <c r="K16" s="87">
        <f>$I$13</f>
        <v>0</v>
      </c>
    </row>
    <row r="17" spans="1:193" x14ac:dyDescent="0.25">
      <c r="A17" s="104" t="s">
        <v>211</v>
      </c>
      <c r="B17" s="166" t="s">
        <v>71</v>
      </c>
      <c r="C17" s="167"/>
      <c r="D17" s="167"/>
      <c r="E17" s="167"/>
      <c r="F17" s="167"/>
      <c r="G17" s="167"/>
      <c r="H17" s="167"/>
      <c r="I17" s="167"/>
      <c r="J17" s="88">
        <f>'Indicadores Financeiros'!$J$28</f>
        <v>8.9300000000000004E-2</v>
      </c>
      <c r="K17" s="455"/>
    </row>
    <row r="18" spans="1:193" x14ac:dyDescent="0.25">
      <c r="A18" s="104" t="s">
        <v>212</v>
      </c>
      <c r="B18" s="166" t="s">
        <v>74</v>
      </c>
      <c r="C18" s="167"/>
      <c r="D18" s="167"/>
      <c r="E18" s="167"/>
      <c r="F18" s="167"/>
      <c r="G18" s="167"/>
      <c r="H18" s="167"/>
      <c r="I18" s="167"/>
      <c r="J18" s="88">
        <f>'Indicadores Financeiros'!$J$55</f>
        <v>8.9300000000000004E-2</v>
      </c>
      <c r="K18" s="456"/>
    </row>
    <row r="19" spans="1:193" x14ac:dyDescent="0.25">
      <c r="A19" s="104" t="s">
        <v>213</v>
      </c>
      <c r="B19" s="166" t="s">
        <v>82</v>
      </c>
      <c r="C19" s="167"/>
      <c r="D19" s="167"/>
      <c r="E19" s="167"/>
      <c r="F19" s="167"/>
      <c r="G19" s="167"/>
      <c r="H19" s="167"/>
      <c r="I19" s="167"/>
      <c r="J19" s="88">
        <f>'Indicadores Financeiros'!$J$29</f>
        <v>2.98E-2</v>
      </c>
      <c r="K19" s="456"/>
    </row>
    <row r="20" spans="1:193" x14ac:dyDescent="0.25">
      <c r="A20" s="104" t="s">
        <v>214</v>
      </c>
      <c r="B20" s="166" t="s">
        <v>215</v>
      </c>
      <c r="C20" s="167"/>
      <c r="D20" s="167"/>
      <c r="E20" s="167"/>
      <c r="F20" s="168"/>
      <c r="G20" s="89"/>
      <c r="H20" s="90" t="s">
        <v>41</v>
      </c>
      <c r="I20" s="91">
        <f>'Indicadores Financeiros'!$J$25</f>
        <v>0.33800000000000008</v>
      </c>
      <c r="J20" s="88">
        <f>ROUND(I20*SUM(J17:J19),4)</f>
        <v>7.0400000000000004E-2</v>
      </c>
      <c r="K20" s="456"/>
    </row>
    <row r="21" spans="1:193" x14ac:dyDescent="0.25">
      <c r="A21" s="104" t="s">
        <v>216</v>
      </c>
      <c r="B21" s="166" t="s">
        <v>84</v>
      </c>
      <c r="C21" s="167"/>
      <c r="D21" s="167"/>
      <c r="E21" s="167"/>
      <c r="F21" s="167"/>
      <c r="G21" s="167"/>
      <c r="H21" s="167"/>
      <c r="I21" s="167"/>
      <c r="J21" s="88">
        <f>'Indicadores Financeiros'!$J$52</f>
        <v>3.4799999999999998E-2</v>
      </c>
      <c r="K21" s="457"/>
    </row>
    <row r="22" spans="1:193" x14ac:dyDescent="0.25">
      <c r="A22" s="447" t="s">
        <v>217</v>
      </c>
      <c r="B22" s="448"/>
      <c r="C22" s="448"/>
      <c r="D22" s="448"/>
      <c r="E22" s="448"/>
      <c r="F22" s="448"/>
      <c r="G22" s="448"/>
      <c r="H22" s="448"/>
      <c r="I22" s="449"/>
      <c r="J22" s="92">
        <f>ROUND(SUM(J17:J21),4)</f>
        <v>0.31359999999999999</v>
      </c>
      <c r="K22" s="93">
        <f>ROUND($K$16*$J$22,2)</f>
        <v>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</row>
    <row r="23" spans="1:193" x14ac:dyDescent="0.25">
      <c r="A23" s="169"/>
      <c r="B23" s="169"/>
      <c r="C23" s="169"/>
      <c r="D23" s="167"/>
      <c r="E23" s="169"/>
      <c r="F23" s="169"/>
      <c r="G23" s="169"/>
      <c r="H23" s="169"/>
      <c r="I23" s="169"/>
      <c r="J23" s="169"/>
      <c r="K23" s="142"/>
      <c r="L23" s="94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</row>
    <row r="24" spans="1:193" x14ac:dyDescent="0.25">
      <c r="A24" s="444" t="s">
        <v>218</v>
      </c>
      <c r="B24" s="450"/>
      <c r="C24" s="450"/>
      <c r="D24" s="450"/>
      <c r="E24" s="450"/>
      <c r="F24" s="450"/>
      <c r="G24" s="450"/>
      <c r="H24" s="450"/>
      <c r="I24" s="450"/>
      <c r="J24" s="450"/>
      <c r="K24" s="432"/>
      <c r="L24" s="9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</row>
    <row r="25" spans="1:193" x14ac:dyDescent="0.25">
      <c r="A25" s="438" t="s">
        <v>219</v>
      </c>
      <c r="B25" s="439"/>
      <c r="C25" s="435" t="s">
        <v>154</v>
      </c>
      <c r="D25" s="436"/>
      <c r="E25" s="436"/>
      <c r="F25" s="436"/>
      <c r="G25" s="436"/>
      <c r="H25" s="437"/>
      <c r="I25" s="451" t="s">
        <v>220</v>
      </c>
      <c r="J25" s="451" t="s">
        <v>221</v>
      </c>
      <c r="K25" s="451" t="s">
        <v>222</v>
      </c>
      <c r="L25" s="94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</row>
    <row r="26" spans="1:193" x14ac:dyDescent="0.25">
      <c r="A26" s="440"/>
      <c r="B26" s="441"/>
      <c r="C26" s="442" t="s">
        <v>223</v>
      </c>
      <c r="D26" s="443"/>
      <c r="E26" s="442" t="s">
        <v>224</v>
      </c>
      <c r="F26" s="443"/>
      <c r="G26" s="442" t="s">
        <v>225</v>
      </c>
      <c r="H26" s="443"/>
      <c r="I26" s="452"/>
      <c r="J26" s="452"/>
      <c r="K26" s="452"/>
      <c r="L26" s="94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</row>
    <row r="27" spans="1:193" x14ac:dyDescent="0.25">
      <c r="A27" s="431">
        <v>1</v>
      </c>
      <c r="B27" s="432"/>
      <c r="C27" s="246">
        <f>IF(A27&lt;='Indicadores Financeiros'!$F$14,SUMIFS('Relatório Custo'!$V:$V,'Relatório Custo'!$H:$H,'Custo  Resumido'!$C$26,'Relatório Custo'!$W:$W,"&lt;="&amp;'Custo  Resumido'!$A27),0)</f>
        <v>0</v>
      </c>
      <c r="D27" s="247"/>
      <c r="E27" s="433"/>
      <c r="F27" s="434"/>
      <c r="G27" s="433"/>
      <c r="H27" s="434"/>
      <c r="I27" s="77">
        <f t="shared" ref="I27:I38" si="0">C27+E27+G27</f>
        <v>0</v>
      </c>
      <c r="J27" s="77">
        <f>IF(A27&lt;='Indicadores Financeiros'!$F$14,SUMIFS('Relatório Custo'!$Z:$Z,'Relatório Custo'!$W:$W,"&lt;="&amp;'Custo  Resumido'!$A27),0)</f>
        <v>0</v>
      </c>
      <c r="K27" s="77">
        <f>ROUND(J27*$J$22,2)</f>
        <v>0</v>
      </c>
      <c r="L27" s="14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</row>
    <row r="28" spans="1:193" x14ac:dyDescent="0.25">
      <c r="A28" s="431">
        <v>2</v>
      </c>
      <c r="B28" s="432"/>
      <c r="C28" s="246">
        <f>IF(A28&lt;='Indicadores Financeiros'!$F$14,SUMIFS('Relatório Custo'!$V:$V,'Relatório Custo'!$H:$H,'Custo  Resumido'!$C$26,'Relatório Custo'!$W:$W,"&lt;="&amp;'Custo  Resumido'!$A28),0)</f>
        <v>0</v>
      </c>
      <c r="D28" s="247"/>
      <c r="E28" s="433">
        <f>IF(A28&lt;='Indicadores Financeiros'!$F$14,SUMIFS('Relatório Custo'!$V:$V,'Relatório Custo'!$H:$H,'Custo  Resumido'!$E$26,'Relatório Custo'!$W:$W,"&lt;="&amp;'Custo  Resumido'!$A28),0)</f>
        <v>0</v>
      </c>
      <c r="F28" s="434"/>
      <c r="G28" s="433"/>
      <c r="H28" s="434"/>
      <c r="I28" s="77">
        <f t="shared" si="0"/>
        <v>0</v>
      </c>
      <c r="J28" s="77">
        <f>IF(A28&lt;='Indicadores Financeiros'!$F$14,SUMIFS('Relatório Custo'!$Z:$Z,'Relatório Custo'!$W:$W,"&lt;="&amp;'Custo  Resumido'!$A28),0)</f>
        <v>0</v>
      </c>
      <c r="K28" s="77">
        <f t="shared" ref="K28:K38" si="1">ROUND(J28*$J$22,2)</f>
        <v>0</v>
      </c>
      <c r="L28" s="94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</row>
    <row r="29" spans="1:193" x14ac:dyDescent="0.25">
      <c r="A29" s="431">
        <v>3</v>
      </c>
      <c r="B29" s="432"/>
      <c r="C29" s="246">
        <f>IF(A29&lt;='Indicadores Financeiros'!$F$14,SUMIFS('Relatório Custo'!$V:$V,'Relatório Custo'!$H:$H,'Custo  Resumido'!$C$26,'Relatório Custo'!$W:$W,"&lt;="&amp;'Custo  Resumido'!$A29),0)</f>
        <v>0</v>
      </c>
      <c r="D29" s="247"/>
      <c r="E29" s="433"/>
      <c r="F29" s="434"/>
      <c r="G29" s="433"/>
      <c r="H29" s="434"/>
      <c r="I29" s="77">
        <f t="shared" si="0"/>
        <v>0</v>
      </c>
      <c r="J29" s="77">
        <f>IF(A29&lt;='Indicadores Financeiros'!$F$14,SUMIFS('Relatório Custo'!$Z:$Z,'Relatório Custo'!$W:$W,"&lt;="&amp;'Custo  Resumido'!$A29),0)</f>
        <v>0</v>
      </c>
      <c r="K29" s="77">
        <f t="shared" si="1"/>
        <v>0</v>
      </c>
      <c r="L29" s="94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</row>
    <row r="30" spans="1:193" x14ac:dyDescent="0.25">
      <c r="A30" s="431">
        <v>4</v>
      </c>
      <c r="B30" s="432"/>
      <c r="C30" s="246">
        <f>IF(A30&lt;='Indicadores Financeiros'!$F$14,SUMIFS('Relatório Custo'!$V:$V,'Relatório Custo'!$H:$H,'Custo  Resumido'!$C$26,'Relatório Custo'!$W:$W,"&lt;="&amp;'Custo  Resumido'!$A30),0)</f>
        <v>0</v>
      </c>
      <c r="D30" s="247"/>
      <c r="E30" s="433"/>
      <c r="F30" s="434"/>
      <c r="G30" s="433"/>
      <c r="H30" s="434"/>
      <c r="I30" s="77">
        <f t="shared" si="0"/>
        <v>0</v>
      </c>
      <c r="J30" s="77">
        <f>IF(A30&lt;='Indicadores Financeiros'!$F$14,SUMIFS('Relatório Custo'!$Z:$Z,'Relatório Custo'!$W:$W,"&lt;="&amp;'Custo  Resumido'!$A30),0)</f>
        <v>0</v>
      </c>
      <c r="K30" s="77">
        <f t="shared" si="1"/>
        <v>0</v>
      </c>
      <c r="L30" s="94"/>
      <c r="M30"/>
      <c r="N30" s="308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</row>
    <row r="31" spans="1:193" x14ac:dyDescent="0.25">
      <c r="A31" s="431">
        <v>5</v>
      </c>
      <c r="B31" s="432"/>
      <c r="C31" s="246">
        <f>IF(A31&lt;='Indicadores Financeiros'!$F$14,SUMIFS('Relatório Custo'!$V:$V,'Relatório Custo'!$H:$H,'Custo  Resumido'!$C$26,'Relatório Custo'!$W:$W,"&lt;="&amp;'Custo  Resumido'!$A31),0)</f>
        <v>0</v>
      </c>
      <c r="D31" s="247"/>
      <c r="E31" s="433">
        <f>IF(A31&lt;='Indicadores Financeiros'!$F$14,SUMIFS('Relatório Custo'!$V:$V,'Relatório Custo'!$H:$H,'Custo  Resumido'!$E$26,'Relatório Custo'!$W:$W,"&lt;="&amp;'Custo  Resumido'!$A31),0)</f>
        <v>0</v>
      </c>
      <c r="F31" s="434"/>
      <c r="G31" s="433"/>
      <c r="H31" s="434"/>
      <c r="I31" s="77">
        <f t="shared" si="0"/>
        <v>0</v>
      </c>
      <c r="J31" s="77">
        <f>IF(A31&lt;='Indicadores Financeiros'!$F$14,SUMIFS('Relatório Custo'!$Z:$Z,'Relatório Custo'!$W:$W,"&lt;="&amp;'Custo  Resumido'!$A31),0)</f>
        <v>0</v>
      </c>
      <c r="K31" s="77">
        <f t="shared" si="1"/>
        <v>0</v>
      </c>
      <c r="L31" s="94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</row>
    <row r="32" spans="1:193" x14ac:dyDescent="0.25">
      <c r="A32" s="431">
        <v>6</v>
      </c>
      <c r="B32" s="432"/>
      <c r="C32" s="246">
        <f>IF(A32&lt;='Indicadores Financeiros'!$F$14,SUMIFS('Relatório Custo'!$V:$V,'Relatório Custo'!$H:$H,'Custo  Resumido'!$C$26,'Relatório Custo'!$W:$W,"&lt;="&amp;'Custo  Resumido'!$A32),0)</f>
        <v>0</v>
      </c>
      <c r="D32" s="247"/>
      <c r="E32" s="433"/>
      <c r="F32" s="434"/>
      <c r="G32" s="433"/>
      <c r="H32" s="434"/>
      <c r="I32" s="77">
        <f t="shared" si="0"/>
        <v>0</v>
      </c>
      <c r="J32" s="77">
        <f>IF(A32&lt;='Indicadores Financeiros'!$F$14,SUMIFS('Relatório Custo'!$Z:$Z,'Relatório Custo'!$W:$W,"&lt;="&amp;'Custo  Resumido'!$A32),0)</f>
        <v>0</v>
      </c>
      <c r="K32" s="77">
        <f t="shared" si="1"/>
        <v>0</v>
      </c>
      <c r="L32" s="94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</row>
    <row r="33" spans="1:193" x14ac:dyDescent="0.25">
      <c r="A33" s="431">
        <v>7</v>
      </c>
      <c r="B33" s="432"/>
      <c r="C33" s="246">
        <f>IF(A33&lt;='Indicadores Financeiros'!$F$14,SUMIFS('Relatório Custo'!$V:$V,'Relatório Custo'!$H:$H,'Custo  Resumido'!$C$26,'Relatório Custo'!$W:$W,"&lt;="&amp;'Custo  Resumido'!$A33),0)</f>
        <v>0</v>
      </c>
      <c r="D33" s="247"/>
      <c r="E33" s="433"/>
      <c r="F33" s="434"/>
      <c r="G33" s="433"/>
      <c r="H33" s="434"/>
      <c r="I33" s="77">
        <f t="shared" si="0"/>
        <v>0</v>
      </c>
      <c r="J33" s="77">
        <f>IF(A33&lt;='Indicadores Financeiros'!$F$14,SUMIFS('Relatório Custo'!$Z:$Z,'Relatório Custo'!$W:$W,"&lt;="&amp;'Custo  Resumido'!$A33),0)</f>
        <v>0</v>
      </c>
      <c r="K33" s="77">
        <f t="shared" si="1"/>
        <v>0</v>
      </c>
      <c r="L33" s="94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</row>
    <row r="34" spans="1:193" x14ac:dyDescent="0.25">
      <c r="A34" s="431">
        <v>8</v>
      </c>
      <c r="B34" s="432"/>
      <c r="C34" s="246">
        <f>IF(A34&lt;='Indicadores Financeiros'!$F$14,SUMIFS('Relatório Custo'!$V:$V,'Relatório Custo'!$H:$H,'Custo  Resumido'!$C$26,'Relatório Custo'!$W:$W,"&lt;="&amp;'Custo  Resumido'!$A34),0)</f>
        <v>0</v>
      </c>
      <c r="D34" s="247"/>
      <c r="E34" s="433">
        <f>IF(A34&lt;='Indicadores Financeiros'!$F$14,SUMIFS('Relatório Custo'!$V:$V,'Relatório Custo'!$H:$H,'Custo  Resumido'!$E$26,'Relatório Custo'!$W:$W,"&lt;="&amp;'Custo  Resumido'!$A34),0)</f>
        <v>0</v>
      </c>
      <c r="F34" s="434"/>
      <c r="G34" s="433"/>
      <c r="H34" s="434"/>
      <c r="I34" s="77">
        <f t="shared" si="0"/>
        <v>0</v>
      </c>
      <c r="J34" s="77">
        <f>IF(A34&lt;='Indicadores Financeiros'!$F$14,SUMIFS('Relatório Custo'!$Z:$Z,'Relatório Custo'!$W:$W,"&lt;="&amp;'Custo  Resumido'!$A34),0)</f>
        <v>0</v>
      </c>
      <c r="K34" s="77">
        <f t="shared" si="1"/>
        <v>0</v>
      </c>
      <c r="L34" s="9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</row>
    <row r="35" spans="1:193" x14ac:dyDescent="0.25">
      <c r="A35" s="431">
        <v>9</v>
      </c>
      <c r="B35" s="432"/>
      <c r="C35" s="246">
        <f>IF(A35&lt;='Indicadores Financeiros'!$F$14,SUMIFS('Relatório Custo'!$V:$V,'Relatório Custo'!$H:$H,'Custo  Resumido'!$C$26,'Relatório Custo'!$W:$W,"&lt;="&amp;'Custo  Resumido'!$A35),0)</f>
        <v>0</v>
      </c>
      <c r="D35" s="247"/>
      <c r="E35" s="433"/>
      <c r="F35" s="434"/>
      <c r="G35" s="433"/>
      <c r="H35" s="434"/>
      <c r="I35" s="77">
        <f t="shared" si="0"/>
        <v>0</v>
      </c>
      <c r="J35" s="77">
        <f>IF(A35&lt;='Indicadores Financeiros'!$F$14,SUMIFS('Relatório Custo'!$Z:$Z,'Relatório Custo'!$W:$W,"&lt;="&amp;'Custo  Resumido'!$A35),0)</f>
        <v>0</v>
      </c>
      <c r="K35" s="77">
        <f t="shared" si="1"/>
        <v>0</v>
      </c>
      <c r="L35" s="94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</row>
    <row r="36" spans="1:193" x14ac:dyDescent="0.25">
      <c r="A36" s="431">
        <v>10</v>
      </c>
      <c r="B36" s="432"/>
      <c r="C36" s="246">
        <f>IF(A36&lt;='Indicadores Financeiros'!$F$14,SUMIFS('Relatório Custo'!$V:$V,'Relatório Custo'!$H:$H,'Custo  Resumido'!$C$26,'Relatório Custo'!$W:$W,"&lt;="&amp;'Custo  Resumido'!$A36),0)</f>
        <v>0</v>
      </c>
      <c r="D36" s="247"/>
      <c r="E36" s="433"/>
      <c r="F36" s="434"/>
      <c r="G36" s="433"/>
      <c r="H36" s="434"/>
      <c r="I36" s="77">
        <f t="shared" si="0"/>
        <v>0</v>
      </c>
      <c r="J36" s="77">
        <f>IF(A36&lt;='Indicadores Financeiros'!$F$14,SUMIFS('Relatório Custo'!$Z:$Z,'Relatório Custo'!$W:$W,"&lt;="&amp;'Custo  Resumido'!$A36),0)</f>
        <v>0</v>
      </c>
      <c r="K36" s="77">
        <f t="shared" si="1"/>
        <v>0</v>
      </c>
      <c r="L36" s="94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</row>
    <row r="37" spans="1:193" x14ac:dyDescent="0.25">
      <c r="A37" s="431">
        <v>11</v>
      </c>
      <c r="B37" s="432"/>
      <c r="C37" s="246">
        <f>IF(A37&lt;='Indicadores Financeiros'!$F$14,SUMIFS('Relatório Custo'!$V:$V,'Relatório Custo'!$H:$H,'Custo  Resumido'!$C$26,'Relatório Custo'!$W:$W,"&lt;="&amp;'Custo  Resumido'!$A37),0)</f>
        <v>0</v>
      </c>
      <c r="D37" s="247"/>
      <c r="E37" s="433">
        <f>IF(A37&lt;='Indicadores Financeiros'!$F$14,SUMIFS('Relatório Custo'!$V:$V,'Relatório Custo'!$H:$H,'Custo  Resumido'!$E$26,'Relatório Custo'!$W:$W,"&lt;="&amp;'Custo  Resumido'!$A37),0)</f>
        <v>0</v>
      </c>
      <c r="F37" s="434"/>
      <c r="G37" s="433"/>
      <c r="H37" s="434"/>
      <c r="I37" s="77">
        <f t="shared" si="0"/>
        <v>0</v>
      </c>
      <c r="J37" s="77">
        <f>IF(A37&lt;='Indicadores Financeiros'!$F$14,SUMIFS('Relatório Custo'!$Z:$Z,'Relatório Custo'!$W:$W,"&lt;="&amp;'Custo  Resumido'!$A37),0)</f>
        <v>0</v>
      </c>
      <c r="K37" s="77">
        <f t="shared" si="1"/>
        <v>0</v>
      </c>
      <c r="L37" s="94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</row>
    <row r="38" spans="1:193" x14ac:dyDescent="0.25">
      <c r="A38" s="431">
        <v>12</v>
      </c>
      <c r="B38" s="432"/>
      <c r="C38" s="246">
        <f>IF(A38&lt;='Indicadores Financeiros'!$F$14,SUMIFS('Relatório Custo'!$V:$V,'Relatório Custo'!$H:$H,'Custo  Resumido'!$C$26,'Relatório Custo'!$W:$W,"&lt;="&amp;'Custo  Resumido'!$A38),0)</f>
        <v>0</v>
      </c>
      <c r="D38" s="247"/>
      <c r="E38" s="433"/>
      <c r="F38" s="434"/>
      <c r="G38" s="433">
        <f>IF(A38&lt;='Indicadores Financeiros'!$F$14,SUMIFS('Relatório Custo'!$V:$V,'Relatório Custo'!$H:$H,'Custo  Resumido'!$G$26,'Relatório Custo'!$W:$W,"&lt;="&amp;'Custo  Resumido'!$A38),0)</f>
        <v>0</v>
      </c>
      <c r="H38" s="434"/>
      <c r="I38" s="77">
        <f t="shared" si="0"/>
        <v>0</v>
      </c>
      <c r="J38" s="77">
        <f>IF(A38&lt;='Indicadores Financeiros'!$F$14,SUMIFS('Relatório Custo'!$Z:$Z,'Relatório Custo'!$W:$W,"&lt;="&amp;'Custo  Resumido'!$A38),0)</f>
        <v>0</v>
      </c>
      <c r="K38" s="77">
        <f t="shared" si="1"/>
        <v>0</v>
      </c>
      <c r="L38" s="94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</row>
    <row r="39" spans="1:193" s="75" customFormat="1" ht="11.25" x14ac:dyDescent="0.25">
      <c r="A39" s="173" t="s">
        <v>226</v>
      </c>
      <c r="B39" s="173"/>
      <c r="C39" s="453">
        <f>ROUND(SUM(C27:D38),2)</f>
        <v>0</v>
      </c>
      <c r="D39" s="454"/>
      <c r="E39" s="453">
        <f>ROUND(SUM(E27:F38),2)</f>
        <v>0</v>
      </c>
      <c r="F39" s="454"/>
      <c r="G39" s="453">
        <f>ROUND(SUM(G27:H38),2)</f>
        <v>0</v>
      </c>
      <c r="H39" s="454"/>
      <c r="I39" s="146">
        <f>ROUND(SUM(I27:I38),2)</f>
        <v>0</v>
      </c>
      <c r="J39" s="146">
        <f>ROUND(SUM(J27:J38),2)</f>
        <v>0</v>
      </c>
      <c r="K39" s="146">
        <f>ROUND(SUM(K27:K38),2)</f>
        <v>0</v>
      </c>
      <c r="L39" s="94"/>
    </row>
    <row r="40" spans="1:193" s="75" customFormat="1" ht="11.25" x14ac:dyDescent="0.25">
      <c r="C40" s="95"/>
      <c r="D40" s="230"/>
      <c r="E40" s="95"/>
      <c r="F40" s="95"/>
      <c r="G40" s="95"/>
      <c r="H40" s="95"/>
      <c r="I40" s="144">
        <f>I39-'Relatório Custo'!$X$36</f>
        <v>0</v>
      </c>
      <c r="J40" s="95"/>
      <c r="K40" s="144"/>
    </row>
    <row r="41" spans="1:193" s="75" customFormat="1" ht="11.25" x14ac:dyDescent="0.25">
      <c r="D41" s="231"/>
      <c r="K41" s="78"/>
    </row>
    <row r="42" spans="1:193" s="75" customFormat="1" ht="11.25" x14ac:dyDescent="0.25">
      <c r="D42" s="231"/>
    </row>
    <row r="43" spans="1:193" s="75" customFormat="1" ht="11.25" x14ac:dyDescent="0.25">
      <c r="D43" s="231"/>
    </row>
    <row r="44" spans="1:193" s="75" customFormat="1" ht="11.25" x14ac:dyDescent="0.25">
      <c r="D44" s="231"/>
    </row>
    <row r="45" spans="1:193" s="75" customFormat="1" ht="11.25" x14ac:dyDescent="0.25">
      <c r="D45" s="231"/>
    </row>
    <row r="46" spans="1:193" s="75" customFormat="1" ht="11.25" x14ac:dyDescent="0.25">
      <c r="D46" s="231"/>
    </row>
    <row r="47" spans="1:193" s="75" customFormat="1" ht="11.25" x14ac:dyDescent="0.25">
      <c r="D47" s="231"/>
    </row>
    <row r="48" spans="1:193" s="75" customFormat="1" ht="11.25" x14ac:dyDescent="0.25">
      <c r="D48" s="231"/>
    </row>
    <row r="49" spans="4:4" s="75" customFormat="1" ht="11.25" x14ac:dyDescent="0.25">
      <c r="D49" s="231"/>
    </row>
    <row r="50" spans="4:4" s="75" customFormat="1" ht="11.25" x14ac:dyDescent="0.25">
      <c r="D50" s="231"/>
    </row>
    <row r="51" spans="4:4" s="75" customFormat="1" ht="11.25" x14ac:dyDescent="0.25">
      <c r="D51" s="231"/>
    </row>
    <row r="52" spans="4:4" s="75" customFormat="1" ht="11.25" x14ac:dyDescent="0.25">
      <c r="D52" s="231"/>
    </row>
    <row r="53" spans="4:4" s="75" customFormat="1" ht="11.25" x14ac:dyDescent="0.25">
      <c r="D53" s="231"/>
    </row>
    <row r="54" spans="4:4" s="75" customFormat="1" ht="11.25" x14ac:dyDescent="0.25">
      <c r="D54" s="231"/>
    </row>
    <row r="55" spans="4:4" s="75" customFormat="1" ht="11.25" x14ac:dyDescent="0.25">
      <c r="D55" s="231"/>
    </row>
    <row r="56" spans="4:4" s="75" customFormat="1" ht="11.25" x14ac:dyDescent="0.25">
      <c r="D56" s="231"/>
    </row>
    <row r="57" spans="4:4" s="75" customFormat="1" ht="11.25" x14ac:dyDescent="0.25">
      <c r="D57" s="231"/>
    </row>
    <row r="58" spans="4:4" s="75" customFormat="1" ht="11.25" x14ac:dyDescent="0.25">
      <c r="D58" s="231"/>
    </row>
    <row r="59" spans="4:4" s="75" customFormat="1" ht="11.25" x14ac:dyDescent="0.25">
      <c r="D59" s="231"/>
    </row>
    <row r="60" spans="4:4" s="75" customFormat="1" ht="11.25" x14ac:dyDescent="0.25">
      <c r="D60" s="231"/>
    </row>
    <row r="61" spans="4:4" s="75" customFormat="1" ht="11.25" x14ac:dyDescent="0.25">
      <c r="D61" s="231"/>
    </row>
    <row r="62" spans="4:4" s="75" customFormat="1" ht="11.25" x14ac:dyDescent="0.25">
      <c r="D62" s="231"/>
    </row>
    <row r="63" spans="4:4" s="75" customFormat="1" ht="11.25" x14ac:dyDescent="0.25">
      <c r="D63" s="231"/>
    </row>
    <row r="64" spans="4:4" s="75" customFormat="1" ht="11.25" x14ac:dyDescent="0.25">
      <c r="D64" s="231"/>
    </row>
    <row r="65" spans="4:4" s="75" customFormat="1" ht="11.25" x14ac:dyDescent="0.25">
      <c r="D65" s="231"/>
    </row>
    <row r="66" spans="4:4" s="75" customFormat="1" ht="11.25" x14ac:dyDescent="0.25">
      <c r="D66" s="231"/>
    </row>
    <row r="67" spans="4:4" s="75" customFormat="1" ht="11.25" x14ac:dyDescent="0.25">
      <c r="D67" s="231"/>
    </row>
    <row r="68" spans="4:4" s="75" customFormat="1" ht="11.25" x14ac:dyDescent="0.25">
      <c r="D68" s="231"/>
    </row>
    <row r="69" spans="4:4" s="75" customFormat="1" ht="11.25" x14ac:dyDescent="0.25">
      <c r="D69" s="231"/>
    </row>
    <row r="70" spans="4:4" s="75" customFormat="1" ht="11.25" x14ac:dyDescent="0.25">
      <c r="D70" s="231"/>
    </row>
    <row r="71" spans="4:4" s="75" customFormat="1" ht="11.25" x14ac:dyDescent="0.25">
      <c r="D71" s="231"/>
    </row>
    <row r="72" spans="4:4" s="75" customFormat="1" ht="11.25" x14ac:dyDescent="0.25">
      <c r="D72" s="231"/>
    </row>
    <row r="73" spans="4:4" s="75" customFormat="1" ht="11.25" x14ac:dyDescent="0.25">
      <c r="D73" s="231"/>
    </row>
    <row r="74" spans="4:4" s="75" customFormat="1" ht="11.25" x14ac:dyDescent="0.25">
      <c r="D74" s="231"/>
    </row>
    <row r="75" spans="4:4" s="75" customFormat="1" ht="11.25" x14ac:dyDescent="0.25">
      <c r="D75" s="231"/>
    </row>
    <row r="76" spans="4:4" s="75" customFormat="1" ht="11.25" x14ac:dyDescent="0.25">
      <c r="D76" s="231"/>
    </row>
    <row r="77" spans="4:4" s="75" customFormat="1" ht="11.25" x14ac:dyDescent="0.25">
      <c r="D77" s="231"/>
    </row>
    <row r="78" spans="4:4" s="75" customFormat="1" ht="11.25" x14ac:dyDescent="0.25">
      <c r="D78" s="231"/>
    </row>
    <row r="79" spans="4:4" s="75" customFormat="1" ht="11.25" x14ac:dyDescent="0.25">
      <c r="D79" s="231"/>
    </row>
    <row r="80" spans="4:4" s="75" customFormat="1" ht="11.25" x14ac:dyDescent="0.25">
      <c r="D80" s="231"/>
    </row>
    <row r="81" spans="4:4" s="75" customFormat="1" ht="11.25" x14ac:dyDescent="0.25">
      <c r="D81" s="231"/>
    </row>
    <row r="82" spans="4:4" s="75" customFormat="1" ht="11.25" x14ac:dyDescent="0.25">
      <c r="D82" s="231"/>
    </row>
    <row r="83" spans="4:4" s="75" customFormat="1" ht="11.25" x14ac:dyDescent="0.25">
      <c r="D83" s="231"/>
    </row>
    <row r="84" spans="4:4" s="75" customFormat="1" ht="11.25" x14ac:dyDescent="0.25">
      <c r="D84" s="231"/>
    </row>
    <row r="85" spans="4:4" s="75" customFormat="1" ht="11.25" x14ac:dyDescent="0.25">
      <c r="D85" s="231"/>
    </row>
    <row r="86" spans="4:4" s="75" customFormat="1" ht="11.25" x14ac:dyDescent="0.25">
      <c r="D86" s="231"/>
    </row>
    <row r="87" spans="4:4" s="75" customFormat="1" ht="11.25" x14ac:dyDescent="0.25">
      <c r="D87" s="231"/>
    </row>
    <row r="88" spans="4:4" s="75" customFormat="1" ht="11.25" x14ac:dyDescent="0.25">
      <c r="D88" s="231"/>
    </row>
    <row r="89" spans="4:4" s="75" customFormat="1" ht="11.25" x14ac:dyDescent="0.25">
      <c r="D89" s="231"/>
    </row>
    <row r="90" spans="4:4" s="75" customFormat="1" ht="11.25" x14ac:dyDescent="0.25">
      <c r="D90" s="231"/>
    </row>
    <row r="91" spans="4:4" s="75" customFormat="1" ht="11.25" x14ac:dyDescent="0.25">
      <c r="D91" s="231"/>
    </row>
    <row r="92" spans="4:4" s="75" customFormat="1" ht="11.25" x14ac:dyDescent="0.25">
      <c r="D92" s="231"/>
    </row>
    <row r="93" spans="4:4" s="75" customFormat="1" ht="11.25" x14ac:dyDescent="0.25">
      <c r="D93" s="231"/>
    </row>
    <row r="94" spans="4:4" s="75" customFormat="1" ht="11.25" x14ac:dyDescent="0.25">
      <c r="D94" s="231"/>
    </row>
    <row r="95" spans="4:4" s="75" customFormat="1" ht="11.25" x14ac:dyDescent="0.25">
      <c r="D95" s="231"/>
    </row>
    <row r="96" spans="4:4" s="75" customFormat="1" ht="11.25" x14ac:dyDescent="0.25">
      <c r="D96" s="231"/>
    </row>
    <row r="97" spans="4:4" s="75" customFormat="1" ht="11.25" x14ac:dyDescent="0.25">
      <c r="D97" s="231"/>
    </row>
    <row r="98" spans="4:4" s="75" customFormat="1" ht="11.25" x14ac:dyDescent="0.25">
      <c r="D98" s="231"/>
    </row>
    <row r="99" spans="4:4" s="75" customFormat="1" ht="11.25" x14ac:dyDescent="0.25">
      <c r="D99" s="231"/>
    </row>
    <row r="100" spans="4:4" s="75" customFormat="1" ht="11.25" x14ac:dyDescent="0.25">
      <c r="D100" s="231"/>
    </row>
    <row r="101" spans="4:4" s="75" customFormat="1" ht="11.25" x14ac:dyDescent="0.25">
      <c r="D101" s="231"/>
    </row>
    <row r="102" spans="4:4" s="75" customFormat="1" ht="11.25" x14ac:dyDescent="0.25">
      <c r="D102" s="231"/>
    </row>
    <row r="103" spans="4:4" s="75" customFormat="1" ht="11.25" x14ac:dyDescent="0.25">
      <c r="D103" s="231"/>
    </row>
    <row r="104" spans="4:4" s="75" customFormat="1" ht="11.25" x14ac:dyDescent="0.25">
      <c r="D104" s="231"/>
    </row>
    <row r="105" spans="4:4" s="75" customFormat="1" ht="11.25" x14ac:dyDescent="0.25">
      <c r="D105" s="231"/>
    </row>
    <row r="106" spans="4:4" s="75" customFormat="1" ht="11.25" x14ac:dyDescent="0.25">
      <c r="D106" s="231"/>
    </row>
    <row r="107" spans="4:4" s="75" customFormat="1" ht="11.25" x14ac:dyDescent="0.25">
      <c r="D107" s="231"/>
    </row>
    <row r="108" spans="4:4" s="75" customFormat="1" ht="11.25" x14ac:dyDescent="0.25">
      <c r="D108" s="231"/>
    </row>
    <row r="109" spans="4:4" s="75" customFormat="1" ht="11.25" x14ac:dyDescent="0.25">
      <c r="D109" s="231"/>
    </row>
    <row r="110" spans="4:4" s="75" customFormat="1" ht="11.25" x14ac:dyDescent="0.25">
      <c r="D110" s="231"/>
    </row>
    <row r="111" spans="4:4" s="75" customFormat="1" ht="11.25" x14ac:dyDescent="0.25">
      <c r="D111" s="231"/>
    </row>
    <row r="112" spans="4:4" s="75" customFormat="1" ht="11.25" x14ac:dyDescent="0.25">
      <c r="D112" s="231"/>
    </row>
    <row r="113" spans="4:4" s="75" customFormat="1" ht="11.25" x14ac:dyDescent="0.25">
      <c r="D113" s="231"/>
    </row>
    <row r="114" spans="4:4" s="75" customFormat="1" ht="11.25" x14ac:dyDescent="0.25">
      <c r="D114" s="231"/>
    </row>
    <row r="115" spans="4:4" s="75" customFormat="1" ht="11.25" x14ac:dyDescent="0.25">
      <c r="D115" s="231"/>
    </row>
    <row r="116" spans="4:4" s="75" customFormat="1" ht="11.25" x14ac:dyDescent="0.25">
      <c r="D116" s="231"/>
    </row>
    <row r="117" spans="4:4" s="75" customFormat="1" ht="11.25" x14ac:dyDescent="0.25">
      <c r="D117" s="231"/>
    </row>
    <row r="118" spans="4:4" s="75" customFormat="1" ht="11.25" x14ac:dyDescent="0.25">
      <c r="D118" s="231"/>
    </row>
    <row r="119" spans="4:4" s="75" customFormat="1" ht="11.25" x14ac:dyDescent="0.25">
      <c r="D119" s="231"/>
    </row>
    <row r="120" spans="4:4" s="75" customFormat="1" ht="11.25" x14ac:dyDescent="0.25">
      <c r="D120" s="231"/>
    </row>
    <row r="121" spans="4:4" s="75" customFormat="1" ht="11.25" x14ac:dyDescent="0.25">
      <c r="D121" s="231"/>
    </row>
    <row r="122" spans="4:4" s="75" customFormat="1" ht="11.25" x14ac:dyDescent="0.25">
      <c r="D122" s="231"/>
    </row>
    <row r="123" spans="4:4" s="75" customFormat="1" ht="11.25" x14ac:dyDescent="0.25">
      <c r="D123" s="231"/>
    </row>
    <row r="124" spans="4:4" s="75" customFormat="1" ht="11.25" x14ac:dyDescent="0.25">
      <c r="D124" s="231"/>
    </row>
    <row r="125" spans="4:4" s="75" customFormat="1" ht="11.25" x14ac:dyDescent="0.25">
      <c r="D125" s="231"/>
    </row>
    <row r="126" spans="4:4" s="75" customFormat="1" ht="11.25" x14ac:dyDescent="0.25">
      <c r="D126" s="231"/>
    </row>
    <row r="127" spans="4:4" s="75" customFormat="1" ht="11.25" x14ac:dyDescent="0.25">
      <c r="D127" s="231"/>
    </row>
    <row r="128" spans="4:4" s="75" customFormat="1" ht="11.25" x14ac:dyDescent="0.25">
      <c r="D128" s="231"/>
    </row>
    <row r="129" spans="4:4" s="75" customFormat="1" ht="11.25" x14ac:dyDescent="0.25">
      <c r="D129" s="231"/>
    </row>
    <row r="130" spans="4:4" s="75" customFormat="1" ht="11.25" x14ac:dyDescent="0.25">
      <c r="D130" s="231"/>
    </row>
    <row r="131" spans="4:4" s="75" customFormat="1" ht="11.25" x14ac:dyDescent="0.25">
      <c r="D131" s="231"/>
    </row>
    <row r="132" spans="4:4" s="75" customFormat="1" ht="11.25" x14ac:dyDescent="0.25">
      <c r="D132" s="231"/>
    </row>
    <row r="133" spans="4:4" s="75" customFormat="1" ht="11.25" x14ac:dyDescent="0.25">
      <c r="D133" s="231"/>
    </row>
    <row r="134" spans="4:4" s="75" customFormat="1" ht="11.25" x14ac:dyDescent="0.25">
      <c r="D134" s="231"/>
    </row>
    <row r="135" spans="4:4" s="75" customFormat="1" ht="11.25" x14ac:dyDescent="0.25">
      <c r="D135" s="231"/>
    </row>
    <row r="136" spans="4:4" s="75" customFormat="1" ht="11.25" x14ac:dyDescent="0.25">
      <c r="D136" s="231"/>
    </row>
    <row r="137" spans="4:4" s="75" customFormat="1" ht="11.25" x14ac:dyDescent="0.25">
      <c r="D137" s="231"/>
    </row>
    <row r="138" spans="4:4" s="75" customFormat="1" ht="11.25" x14ac:dyDescent="0.25">
      <c r="D138" s="231"/>
    </row>
    <row r="139" spans="4:4" s="75" customFormat="1" ht="11.25" x14ac:dyDescent="0.25">
      <c r="D139" s="231"/>
    </row>
    <row r="140" spans="4:4" s="75" customFormat="1" ht="11.25" x14ac:dyDescent="0.25">
      <c r="D140" s="231"/>
    </row>
    <row r="141" spans="4:4" s="75" customFormat="1" ht="11.25" x14ac:dyDescent="0.25">
      <c r="D141" s="231"/>
    </row>
    <row r="142" spans="4:4" s="75" customFormat="1" ht="11.25" x14ac:dyDescent="0.25">
      <c r="D142" s="231"/>
    </row>
    <row r="143" spans="4:4" s="75" customFormat="1" ht="11.25" x14ac:dyDescent="0.25">
      <c r="D143" s="231"/>
    </row>
    <row r="144" spans="4:4" s="75" customFormat="1" ht="11.25" x14ac:dyDescent="0.25">
      <c r="D144" s="231"/>
    </row>
    <row r="145" spans="4:4" s="75" customFormat="1" ht="11.25" x14ac:dyDescent="0.25">
      <c r="D145" s="231"/>
    </row>
    <row r="146" spans="4:4" s="75" customFormat="1" ht="11.25" x14ac:dyDescent="0.25">
      <c r="D146" s="231"/>
    </row>
    <row r="147" spans="4:4" s="75" customFormat="1" ht="11.25" x14ac:dyDescent="0.25">
      <c r="D147" s="231"/>
    </row>
    <row r="148" spans="4:4" s="75" customFormat="1" ht="11.25" x14ac:dyDescent="0.25">
      <c r="D148" s="231"/>
    </row>
    <row r="149" spans="4:4" s="75" customFormat="1" ht="11.25" x14ac:dyDescent="0.25">
      <c r="D149" s="231"/>
    </row>
    <row r="150" spans="4:4" s="75" customFormat="1" ht="11.25" x14ac:dyDescent="0.25">
      <c r="D150" s="231"/>
    </row>
    <row r="151" spans="4:4" s="75" customFormat="1" ht="11.25" x14ac:dyDescent="0.25">
      <c r="D151" s="231"/>
    </row>
    <row r="152" spans="4:4" s="75" customFormat="1" ht="11.25" x14ac:dyDescent="0.25">
      <c r="D152" s="231"/>
    </row>
    <row r="153" spans="4:4" s="75" customFormat="1" ht="11.25" x14ac:dyDescent="0.25">
      <c r="D153" s="231"/>
    </row>
    <row r="154" spans="4:4" s="75" customFormat="1" ht="11.25" x14ac:dyDescent="0.25">
      <c r="D154" s="231"/>
    </row>
    <row r="155" spans="4:4" s="75" customFormat="1" ht="11.25" x14ac:dyDescent="0.25">
      <c r="D155" s="231"/>
    </row>
    <row r="156" spans="4:4" s="75" customFormat="1" ht="11.25" x14ac:dyDescent="0.25">
      <c r="D156" s="231"/>
    </row>
    <row r="157" spans="4:4" s="75" customFormat="1" ht="11.25" x14ac:dyDescent="0.25">
      <c r="D157" s="231"/>
    </row>
    <row r="158" spans="4:4" s="75" customFormat="1" ht="11.25" x14ac:dyDescent="0.25">
      <c r="D158" s="231"/>
    </row>
    <row r="159" spans="4:4" s="75" customFormat="1" ht="11.25" x14ac:dyDescent="0.25">
      <c r="D159" s="231"/>
    </row>
    <row r="160" spans="4:4" s="75" customFormat="1" ht="11.25" x14ac:dyDescent="0.25">
      <c r="D160" s="231"/>
    </row>
    <row r="161" spans="4:4" s="75" customFormat="1" ht="11.25" x14ac:dyDescent="0.25">
      <c r="D161" s="231"/>
    </row>
    <row r="162" spans="4:4" s="75" customFormat="1" ht="11.25" x14ac:dyDescent="0.25">
      <c r="D162" s="231"/>
    </row>
    <row r="163" spans="4:4" s="75" customFormat="1" ht="11.25" x14ac:dyDescent="0.25">
      <c r="D163" s="231"/>
    </row>
    <row r="164" spans="4:4" s="75" customFormat="1" ht="11.25" x14ac:dyDescent="0.25">
      <c r="D164" s="231"/>
    </row>
    <row r="165" spans="4:4" s="75" customFormat="1" ht="11.25" x14ac:dyDescent="0.25">
      <c r="D165" s="231"/>
    </row>
    <row r="166" spans="4:4" s="75" customFormat="1" ht="11.25" x14ac:dyDescent="0.25">
      <c r="D166" s="231"/>
    </row>
    <row r="167" spans="4:4" s="75" customFormat="1" ht="11.25" x14ac:dyDescent="0.25">
      <c r="D167" s="231"/>
    </row>
    <row r="168" spans="4:4" s="75" customFormat="1" ht="11.25" x14ac:dyDescent="0.25">
      <c r="D168" s="231"/>
    </row>
    <row r="169" spans="4:4" s="75" customFormat="1" ht="11.25" x14ac:dyDescent="0.25">
      <c r="D169" s="231"/>
    </row>
    <row r="170" spans="4:4" s="75" customFormat="1" ht="11.25" x14ac:dyDescent="0.25">
      <c r="D170" s="231"/>
    </row>
    <row r="171" spans="4:4" s="75" customFormat="1" ht="11.25" x14ac:dyDescent="0.25">
      <c r="D171" s="231"/>
    </row>
    <row r="172" spans="4:4" s="75" customFormat="1" ht="11.25" x14ac:dyDescent="0.25">
      <c r="D172" s="231"/>
    </row>
    <row r="173" spans="4:4" s="75" customFormat="1" ht="11.25" x14ac:dyDescent="0.25">
      <c r="D173" s="231"/>
    </row>
    <row r="174" spans="4:4" s="75" customFormat="1" ht="11.25" x14ac:dyDescent="0.25">
      <c r="D174" s="231"/>
    </row>
    <row r="175" spans="4:4" s="75" customFormat="1" ht="11.25" x14ac:dyDescent="0.25">
      <c r="D175" s="231"/>
    </row>
    <row r="176" spans="4:4" s="75" customFormat="1" ht="11.25" x14ac:dyDescent="0.25">
      <c r="D176" s="231"/>
    </row>
    <row r="177" spans="4:4" s="75" customFormat="1" ht="11.25" x14ac:dyDescent="0.25">
      <c r="D177" s="231"/>
    </row>
    <row r="178" spans="4:4" s="75" customFormat="1" ht="11.25" x14ac:dyDescent="0.25">
      <c r="D178" s="231"/>
    </row>
    <row r="179" spans="4:4" s="75" customFormat="1" ht="11.25" x14ac:dyDescent="0.25">
      <c r="D179" s="231"/>
    </row>
    <row r="180" spans="4:4" s="75" customFormat="1" ht="11.25" x14ac:dyDescent="0.25">
      <c r="D180" s="231"/>
    </row>
    <row r="181" spans="4:4" s="75" customFormat="1" ht="11.25" x14ac:dyDescent="0.25">
      <c r="D181" s="231"/>
    </row>
    <row r="182" spans="4:4" s="75" customFormat="1" ht="11.25" x14ac:dyDescent="0.25">
      <c r="D182" s="231"/>
    </row>
    <row r="183" spans="4:4" s="75" customFormat="1" ht="11.25" x14ac:dyDescent="0.25">
      <c r="D183" s="231"/>
    </row>
    <row r="184" spans="4:4" s="75" customFormat="1" ht="11.25" x14ac:dyDescent="0.25">
      <c r="D184" s="231"/>
    </row>
    <row r="185" spans="4:4" s="75" customFormat="1" ht="11.25" x14ac:dyDescent="0.25">
      <c r="D185" s="231"/>
    </row>
    <row r="186" spans="4:4" s="75" customFormat="1" ht="11.25" x14ac:dyDescent="0.25">
      <c r="D186" s="231"/>
    </row>
    <row r="187" spans="4:4" s="75" customFormat="1" ht="11.25" x14ac:dyDescent="0.25">
      <c r="D187" s="231"/>
    </row>
    <row r="188" spans="4:4" s="75" customFormat="1" ht="11.25" x14ac:dyDescent="0.25">
      <c r="D188" s="231"/>
    </row>
    <row r="189" spans="4:4" s="75" customFormat="1" ht="11.25" x14ac:dyDescent="0.25">
      <c r="D189" s="231"/>
    </row>
    <row r="190" spans="4:4" s="75" customFormat="1" ht="11.25" x14ac:dyDescent="0.25">
      <c r="D190" s="231"/>
    </row>
    <row r="191" spans="4:4" s="75" customFormat="1" ht="11.25" x14ac:dyDescent="0.25">
      <c r="D191" s="231"/>
    </row>
    <row r="192" spans="4:4" s="75" customFormat="1" ht="11.25" x14ac:dyDescent="0.25">
      <c r="D192" s="231"/>
    </row>
    <row r="193" spans="4:4" s="75" customFormat="1" ht="11.25" x14ac:dyDescent="0.25">
      <c r="D193" s="231"/>
    </row>
    <row r="194" spans="4:4" s="75" customFormat="1" ht="11.25" x14ac:dyDescent="0.25">
      <c r="D194" s="231"/>
    </row>
    <row r="195" spans="4:4" s="75" customFormat="1" ht="11.25" x14ac:dyDescent="0.25">
      <c r="D195" s="231"/>
    </row>
    <row r="196" spans="4:4" s="75" customFormat="1" ht="11.25" x14ac:dyDescent="0.25">
      <c r="D196" s="231"/>
    </row>
    <row r="197" spans="4:4" s="75" customFormat="1" ht="11.25" x14ac:dyDescent="0.25">
      <c r="D197" s="231"/>
    </row>
    <row r="198" spans="4:4" s="75" customFormat="1" ht="11.25" x14ac:dyDescent="0.25">
      <c r="D198" s="231"/>
    </row>
    <row r="199" spans="4:4" s="75" customFormat="1" ht="11.25" x14ac:dyDescent="0.25">
      <c r="D199" s="231"/>
    </row>
    <row r="200" spans="4:4" s="75" customFormat="1" ht="11.25" x14ac:dyDescent="0.25">
      <c r="D200" s="231"/>
    </row>
    <row r="201" spans="4:4" s="75" customFormat="1" ht="11.25" x14ac:dyDescent="0.25">
      <c r="D201" s="231"/>
    </row>
    <row r="202" spans="4:4" s="75" customFormat="1" ht="11.25" x14ac:dyDescent="0.25">
      <c r="D202" s="231"/>
    </row>
    <row r="203" spans="4:4" s="75" customFormat="1" ht="11.25" x14ac:dyDescent="0.25">
      <c r="D203" s="231"/>
    </row>
    <row r="204" spans="4:4" s="75" customFormat="1" ht="11.25" x14ac:dyDescent="0.25">
      <c r="D204" s="231"/>
    </row>
    <row r="205" spans="4:4" s="75" customFormat="1" ht="11.25" x14ac:dyDescent="0.25">
      <c r="D205" s="231"/>
    </row>
    <row r="206" spans="4:4" s="75" customFormat="1" ht="11.25" x14ac:dyDescent="0.25">
      <c r="D206" s="231"/>
    </row>
    <row r="207" spans="4:4" s="75" customFormat="1" ht="11.25" x14ac:dyDescent="0.25">
      <c r="D207" s="231"/>
    </row>
    <row r="208" spans="4:4" s="75" customFormat="1" ht="11.25" x14ac:dyDescent="0.25">
      <c r="D208" s="231"/>
    </row>
    <row r="209" spans="4:4" s="75" customFormat="1" ht="11.25" x14ac:dyDescent="0.25">
      <c r="D209" s="231"/>
    </row>
    <row r="210" spans="4:4" s="75" customFormat="1" ht="11.25" x14ac:dyDescent="0.25">
      <c r="D210" s="231"/>
    </row>
    <row r="211" spans="4:4" s="75" customFormat="1" ht="11.25" x14ac:dyDescent="0.25">
      <c r="D211" s="231"/>
    </row>
    <row r="212" spans="4:4" s="75" customFormat="1" ht="11.25" x14ac:dyDescent="0.25">
      <c r="D212" s="231"/>
    </row>
    <row r="213" spans="4:4" s="75" customFormat="1" ht="11.25" x14ac:dyDescent="0.25">
      <c r="D213" s="231"/>
    </row>
    <row r="214" spans="4:4" s="75" customFormat="1" ht="11.25" x14ac:dyDescent="0.25">
      <c r="D214" s="231"/>
    </row>
    <row r="215" spans="4:4" s="75" customFormat="1" ht="11.25" x14ac:dyDescent="0.25">
      <c r="D215" s="231"/>
    </row>
    <row r="216" spans="4:4" s="75" customFormat="1" ht="11.25" x14ac:dyDescent="0.25">
      <c r="D216" s="231"/>
    </row>
    <row r="217" spans="4:4" s="75" customFormat="1" ht="11.25" x14ac:dyDescent="0.25">
      <c r="D217" s="231"/>
    </row>
    <row r="218" spans="4:4" s="75" customFormat="1" ht="11.25" x14ac:dyDescent="0.25">
      <c r="D218" s="231"/>
    </row>
    <row r="219" spans="4:4" s="75" customFormat="1" ht="11.25" x14ac:dyDescent="0.25">
      <c r="D219" s="231"/>
    </row>
    <row r="220" spans="4:4" s="75" customFormat="1" ht="11.25" x14ac:dyDescent="0.25">
      <c r="D220" s="231"/>
    </row>
    <row r="221" spans="4:4" s="75" customFormat="1" ht="11.25" x14ac:dyDescent="0.25">
      <c r="D221" s="231"/>
    </row>
    <row r="222" spans="4:4" s="75" customFormat="1" ht="11.25" x14ac:dyDescent="0.25">
      <c r="D222" s="231"/>
    </row>
    <row r="223" spans="4:4" s="75" customFormat="1" ht="11.25" x14ac:dyDescent="0.25">
      <c r="D223" s="231"/>
    </row>
    <row r="224" spans="4:4" s="75" customFormat="1" ht="11.25" x14ac:dyDescent="0.25">
      <c r="D224" s="231"/>
    </row>
    <row r="225" spans="4:4" s="75" customFormat="1" ht="11.25" x14ac:dyDescent="0.25">
      <c r="D225" s="231"/>
    </row>
    <row r="226" spans="4:4" s="75" customFormat="1" ht="11.25" x14ac:dyDescent="0.25">
      <c r="D226" s="231"/>
    </row>
    <row r="227" spans="4:4" s="75" customFormat="1" ht="11.25" x14ac:dyDescent="0.25">
      <c r="D227" s="231"/>
    </row>
    <row r="228" spans="4:4" s="75" customFormat="1" ht="11.25" x14ac:dyDescent="0.25">
      <c r="D228" s="231"/>
    </row>
    <row r="229" spans="4:4" s="75" customFormat="1" ht="11.25" x14ac:dyDescent="0.25">
      <c r="D229" s="231"/>
    </row>
    <row r="230" spans="4:4" s="75" customFormat="1" ht="11.25" x14ac:dyDescent="0.25">
      <c r="D230" s="231"/>
    </row>
    <row r="231" spans="4:4" s="75" customFormat="1" ht="11.25" x14ac:dyDescent="0.25">
      <c r="D231" s="231"/>
    </row>
    <row r="232" spans="4:4" s="75" customFormat="1" ht="11.25" x14ac:dyDescent="0.25">
      <c r="D232" s="231"/>
    </row>
    <row r="233" spans="4:4" s="75" customFormat="1" ht="11.25" x14ac:dyDescent="0.25">
      <c r="D233" s="231"/>
    </row>
    <row r="234" spans="4:4" s="75" customFormat="1" ht="11.25" x14ac:dyDescent="0.25">
      <c r="D234" s="231"/>
    </row>
    <row r="235" spans="4:4" s="75" customFormat="1" ht="11.25" x14ac:dyDescent="0.25">
      <c r="D235" s="231"/>
    </row>
    <row r="236" spans="4:4" s="75" customFormat="1" ht="11.25" x14ac:dyDescent="0.25">
      <c r="D236" s="231"/>
    </row>
    <row r="237" spans="4:4" s="75" customFormat="1" ht="11.25" x14ac:dyDescent="0.25">
      <c r="D237" s="231"/>
    </row>
    <row r="238" spans="4:4" s="75" customFormat="1" ht="11.25" x14ac:dyDescent="0.25">
      <c r="D238" s="231"/>
    </row>
    <row r="239" spans="4:4" s="75" customFormat="1" ht="11.25" x14ac:dyDescent="0.25">
      <c r="D239" s="231"/>
    </row>
    <row r="240" spans="4:4" s="75" customFormat="1" ht="11.25" x14ac:dyDescent="0.25">
      <c r="D240" s="231"/>
    </row>
    <row r="241" spans="4:4" s="75" customFormat="1" ht="11.25" x14ac:dyDescent="0.25">
      <c r="D241" s="231"/>
    </row>
    <row r="242" spans="4:4" s="75" customFormat="1" ht="11.25" x14ac:dyDescent="0.25">
      <c r="D242" s="231"/>
    </row>
    <row r="243" spans="4:4" s="75" customFormat="1" ht="11.25" x14ac:dyDescent="0.25">
      <c r="D243" s="231"/>
    </row>
    <row r="244" spans="4:4" s="75" customFormat="1" ht="11.25" x14ac:dyDescent="0.25">
      <c r="D244" s="231"/>
    </row>
    <row r="245" spans="4:4" s="75" customFormat="1" ht="11.25" x14ac:dyDescent="0.25">
      <c r="D245" s="231"/>
    </row>
    <row r="246" spans="4:4" s="75" customFormat="1" ht="11.25" x14ac:dyDescent="0.25">
      <c r="D246" s="231"/>
    </row>
    <row r="247" spans="4:4" s="75" customFormat="1" ht="11.25" x14ac:dyDescent="0.25">
      <c r="D247" s="231"/>
    </row>
    <row r="248" spans="4:4" s="75" customFormat="1" ht="11.25" x14ac:dyDescent="0.25">
      <c r="D248" s="231"/>
    </row>
    <row r="249" spans="4:4" s="75" customFormat="1" ht="11.25" x14ac:dyDescent="0.25">
      <c r="D249" s="231"/>
    </row>
    <row r="250" spans="4:4" s="75" customFormat="1" ht="11.25" x14ac:dyDescent="0.25">
      <c r="D250" s="231"/>
    </row>
    <row r="251" spans="4:4" s="75" customFormat="1" ht="11.25" x14ac:dyDescent="0.25">
      <c r="D251" s="231"/>
    </row>
    <row r="252" spans="4:4" s="75" customFormat="1" ht="11.25" x14ac:dyDescent="0.25">
      <c r="D252" s="231"/>
    </row>
    <row r="253" spans="4:4" s="75" customFormat="1" ht="11.25" x14ac:dyDescent="0.25">
      <c r="D253" s="231"/>
    </row>
    <row r="254" spans="4:4" s="75" customFormat="1" ht="11.25" x14ac:dyDescent="0.25">
      <c r="D254" s="231"/>
    </row>
    <row r="255" spans="4:4" s="75" customFormat="1" ht="11.25" x14ac:dyDescent="0.25">
      <c r="D255" s="231"/>
    </row>
    <row r="256" spans="4:4" s="75" customFormat="1" ht="11.25" x14ac:dyDescent="0.25">
      <c r="D256" s="231"/>
    </row>
    <row r="257" spans="4:4" s="75" customFormat="1" ht="11.25" x14ac:dyDescent="0.25">
      <c r="D257" s="231"/>
    </row>
    <row r="258" spans="4:4" s="75" customFormat="1" ht="11.25" x14ac:dyDescent="0.25">
      <c r="D258" s="231"/>
    </row>
    <row r="259" spans="4:4" s="75" customFormat="1" ht="11.25" x14ac:dyDescent="0.25">
      <c r="D259" s="231"/>
    </row>
    <row r="260" spans="4:4" s="75" customFormat="1" ht="11.25" x14ac:dyDescent="0.25">
      <c r="D260" s="231"/>
    </row>
    <row r="261" spans="4:4" s="75" customFormat="1" ht="11.25" x14ac:dyDescent="0.25">
      <c r="D261" s="231"/>
    </row>
    <row r="262" spans="4:4" s="75" customFormat="1" ht="11.25" x14ac:dyDescent="0.25">
      <c r="D262" s="231"/>
    </row>
    <row r="263" spans="4:4" s="75" customFormat="1" ht="11.25" x14ac:dyDescent="0.25">
      <c r="D263" s="231"/>
    </row>
    <row r="264" spans="4:4" s="75" customFormat="1" ht="11.25" x14ac:dyDescent="0.25">
      <c r="D264" s="231"/>
    </row>
    <row r="265" spans="4:4" s="75" customFormat="1" ht="11.25" x14ac:dyDescent="0.25">
      <c r="D265" s="231"/>
    </row>
    <row r="266" spans="4:4" s="75" customFormat="1" ht="11.25" x14ac:dyDescent="0.25">
      <c r="D266" s="231"/>
    </row>
    <row r="267" spans="4:4" s="75" customFormat="1" ht="11.25" x14ac:dyDescent="0.25">
      <c r="D267" s="231"/>
    </row>
    <row r="268" spans="4:4" s="75" customFormat="1" ht="11.25" x14ac:dyDescent="0.25">
      <c r="D268" s="231"/>
    </row>
    <row r="269" spans="4:4" s="75" customFormat="1" ht="11.25" x14ac:dyDescent="0.25">
      <c r="D269" s="231"/>
    </row>
    <row r="270" spans="4:4" s="75" customFormat="1" ht="11.25" x14ac:dyDescent="0.25">
      <c r="D270" s="231"/>
    </row>
    <row r="271" spans="4:4" s="75" customFormat="1" ht="11.25" x14ac:dyDescent="0.25">
      <c r="D271" s="231"/>
    </row>
    <row r="272" spans="4:4" s="75" customFormat="1" ht="11.25" x14ac:dyDescent="0.25">
      <c r="D272" s="231"/>
    </row>
    <row r="273" spans="4:4" s="75" customFormat="1" ht="11.25" x14ac:dyDescent="0.25">
      <c r="D273" s="231"/>
    </row>
    <row r="274" spans="4:4" s="75" customFormat="1" ht="11.25" x14ac:dyDescent="0.25">
      <c r="D274" s="231"/>
    </row>
    <row r="275" spans="4:4" s="75" customFormat="1" ht="11.25" x14ac:dyDescent="0.25">
      <c r="D275" s="231"/>
    </row>
    <row r="276" spans="4:4" s="75" customFormat="1" ht="11.25" x14ac:dyDescent="0.25">
      <c r="D276" s="231"/>
    </row>
    <row r="277" spans="4:4" s="75" customFormat="1" ht="11.25" x14ac:dyDescent="0.25">
      <c r="D277" s="231"/>
    </row>
    <row r="278" spans="4:4" s="75" customFormat="1" ht="11.25" x14ac:dyDescent="0.25">
      <c r="D278" s="231"/>
    </row>
    <row r="279" spans="4:4" s="75" customFormat="1" ht="11.25" x14ac:dyDescent="0.25">
      <c r="D279" s="231"/>
    </row>
    <row r="280" spans="4:4" s="75" customFormat="1" ht="11.25" x14ac:dyDescent="0.25">
      <c r="D280" s="231"/>
    </row>
    <row r="281" spans="4:4" s="75" customFormat="1" ht="11.25" x14ac:dyDescent="0.25">
      <c r="D281" s="231"/>
    </row>
    <row r="282" spans="4:4" s="75" customFormat="1" ht="11.25" x14ac:dyDescent="0.25">
      <c r="D282" s="231"/>
    </row>
    <row r="283" spans="4:4" s="75" customFormat="1" ht="11.25" x14ac:dyDescent="0.25">
      <c r="D283" s="231"/>
    </row>
    <row r="284" spans="4:4" s="75" customFormat="1" ht="11.25" x14ac:dyDescent="0.25">
      <c r="D284" s="231"/>
    </row>
    <row r="285" spans="4:4" s="75" customFormat="1" ht="11.25" x14ac:dyDescent="0.25">
      <c r="D285" s="231"/>
    </row>
    <row r="286" spans="4:4" s="75" customFormat="1" ht="11.25" x14ac:dyDescent="0.25">
      <c r="D286" s="231"/>
    </row>
    <row r="287" spans="4:4" s="75" customFormat="1" ht="11.25" x14ac:dyDescent="0.25">
      <c r="D287" s="231"/>
    </row>
    <row r="288" spans="4:4" s="75" customFormat="1" ht="11.25" x14ac:dyDescent="0.25">
      <c r="D288" s="231"/>
    </row>
    <row r="289" spans="4:4" s="75" customFormat="1" ht="11.25" x14ac:dyDescent="0.25">
      <c r="D289" s="231"/>
    </row>
    <row r="290" spans="4:4" s="75" customFormat="1" ht="11.25" x14ac:dyDescent="0.25">
      <c r="D290" s="231"/>
    </row>
    <row r="291" spans="4:4" s="75" customFormat="1" ht="11.25" x14ac:dyDescent="0.25">
      <c r="D291" s="231"/>
    </row>
    <row r="292" spans="4:4" s="75" customFormat="1" ht="11.25" x14ac:dyDescent="0.25">
      <c r="D292" s="231"/>
    </row>
    <row r="293" spans="4:4" s="75" customFormat="1" ht="11.25" x14ac:dyDescent="0.25">
      <c r="D293" s="231"/>
    </row>
    <row r="294" spans="4:4" s="75" customFormat="1" ht="11.25" x14ac:dyDescent="0.25">
      <c r="D294" s="231"/>
    </row>
    <row r="295" spans="4:4" s="75" customFormat="1" ht="11.25" x14ac:dyDescent="0.25">
      <c r="D295" s="231"/>
    </row>
    <row r="296" spans="4:4" s="75" customFormat="1" ht="11.25" x14ac:dyDescent="0.25">
      <c r="D296" s="231"/>
    </row>
    <row r="297" spans="4:4" s="75" customFormat="1" ht="11.25" x14ac:dyDescent="0.25">
      <c r="D297" s="231"/>
    </row>
    <row r="298" spans="4:4" s="75" customFormat="1" ht="11.25" x14ac:dyDescent="0.25">
      <c r="D298" s="231"/>
    </row>
    <row r="299" spans="4:4" s="75" customFormat="1" ht="11.25" x14ac:dyDescent="0.25">
      <c r="D299" s="231"/>
    </row>
    <row r="300" spans="4:4" s="75" customFormat="1" ht="11.25" x14ac:dyDescent="0.25">
      <c r="D300" s="231"/>
    </row>
    <row r="301" spans="4:4" s="75" customFormat="1" ht="11.25" x14ac:dyDescent="0.25">
      <c r="D301" s="231"/>
    </row>
    <row r="302" spans="4:4" s="75" customFormat="1" ht="11.25" x14ac:dyDescent="0.25">
      <c r="D302" s="231"/>
    </row>
    <row r="303" spans="4:4" s="75" customFormat="1" ht="11.25" x14ac:dyDescent="0.25">
      <c r="D303" s="231"/>
    </row>
    <row r="304" spans="4:4" s="75" customFormat="1" ht="11.25" x14ac:dyDescent="0.25">
      <c r="D304" s="231"/>
    </row>
    <row r="305" spans="4:4" s="75" customFormat="1" ht="11.25" x14ac:dyDescent="0.25">
      <c r="D305" s="231"/>
    </row>
    <row r="306" spans="4:4" s="75" customFormat="1" ht="11.25" x14ac:dyDescent="0.25">
      <c r="D306" s="231"/>
    </row>
    <row r="307" spans="4:4" s="75" customFormat="1" ht="11.25" x14ac:dyDescent="0.25">
      <c r="D307" s="231"/>
    </row>
    <row r="308" spans="4:4" s="75" customFormat="1" ht="11.25" x14ac:dyDescent="0.25">
      <c r="D308" s="231"/>
    </row>
    <row r="309" spans="4:4" s="75" customFormat="1" ht="11.25" x14ac:dyDescent="0.25">
      <c r="D309" s="231"/>
    </row>
    <row r="310" spans="4:4" s="75" customFormat="1" ht="11.25" x14ac:dyDescent="0.25">
      <c r="D310" s="231"/>
    </row>
    <row r="311" spans="4:4" s="75" customFormat="1" ht="11.25" x14ac:dyDescent="0.25">
      <c r="D311" s="231"/>
    </row>
    <row r="312" spans="4:4" s="75" customFormat="1" ht="11.25" x14ac:dyDescent="0.25">
      <c r="D312" s="231"/>
    </row>
    <row r="313" spans="4:4" s="75" customFormat="1" ht="11.25" x14ac:dyDescent="0.25">
      <c r="D313" s="231"/>
    </row>
    <row r="314" spans="4:4" s="75" customFormat="1" ht="11.25" x14ac:dyDescent="0.25">
      <c r="D314" s="231"/>
    </row>
    <row r="315" spans="4:4" s="75" customFormat="1" ht="11.25" x14ac:dyDescent="0.25">
      <c r="D315" s="231"/>
    </row>
    <row r="316" spans="4:4" s="75" customFormat="1" ht="11.25" x14ac:dyDescent="0.25">
      <c r="D316" s="231"/>
    </row>
    <row r="317" spans="4:4" s="75" customFormat="1" ht="11.25" x14ac:dyDescent="0.25">
      <c r="D317" s="231"/>
    </row>
    <row r="318" spans="4:4" s="75" customFormat="1" ht="11.25" x14ac:dyDescent="0.25">
      <c r="D318" s="231"/>
    </row>
    <row r="319" spans="4:4" s="75" customFormat="1" ht="11.25" x14ac:dyDescent="0.25">
      <c r="D319" s="231"/>
    </row>
    <row r="320" spans="4:4" s="75" customFormat="1" ht="11.25" x14ac:dyDescent="0.25">
      <c r="D320" s="231"/>
    </row>
    <row r="321" spans="4:4" s="75" customFormat="1" ht="11.25" x14ac:dyDescent="0.25">
      <c r="D321" s="231"/>
    </row>
    <row r="322" spans="4:4" s="75" customFormat="1" ht="11.25" x14ac:dyDescent="0.25">
      <c r="D322" s="231"/>
    </row>
    <row r="323" spans="4:4" s="75" customFormat="1" ht="11.25" x14ac:dyDescent="0.25">
      <c r="D323" s="231"/>
    </row>
    <row r="324" spans="4:4" s="75" customFormat="1" ht="11.25" x14ac:dyDescent="0.25">
      <c r="D324" s="231"/>
    </row>
    <row r="325" spans="4:4" s="75" customFormat="1" ht="11.25" x14ac:dyDescent="0.25">
      <c r="D325" s="231"/>
    </row>
    <row r="326" spans="4:4" s="75" customFormat="1" ht="11.25" x14ac:dyDescent="0.25">
      <c r="D326" s="231"/>
    </row>
    <row r="327" spans="4:4" s="75" customFormat="1" ht="11.25" x14ac:dyDescent="0.25">
      <c r="D327" s="231"/>
    </row>
    <row r="328" spans="4:4" s="75" customFormat="1" ht="11.25" x14ac:dyDescent="0.25">
      <c r="D328" s="231"/>
    </row>
    <row r="329" spans="4:4" s="75" customFormat="1" ht="11.25" x14ac:dyDescent="0.25">
      <c r="D329" s="231"/>
    </row>
    <row r="330" spans="4:4" s="75" customFormat="1" ht="11.25" x14ac:dyDescent="0.25">
      <c r="D330" s="231"/>
    </row>
    <row r="331" spans="4:4" s="75" customFormat="1" ht="11.25" x14ac:dyDescent="0.25">
      <c r="D331" s="231"/>
    </row>
    <row r="332" spans="4:4" s="75" customFormat="1" ht="11.25" x14ac:dyDescent="0.25">
      <c r="D332" s="231"/>
    </row>
    <row r="333" spans="4:4" s="75" customFormat="1" ht="11.25" x14ac:dyDescent="0.25">
      <c r="D333" s="231"/>
    </row>
    <row r="334" spans="4:4" s="75" customFormat="1" ht="11.25" x14ac:dyDescent="0.25">
      <c r="D334" s="231"/>
    </row>
    <row r="335" spans="4:4" s="75" customFormat="1" ht="11.25" x14ac:dyDescent="0.25">
      <c r="D335" s="231"/>
    </row>
    <row r="336" spans="4:4" s="75" customFormat="1" ht="11.25" x14ac:dyDescent="0.25">
      <c r="D336" s="231"/>
    </row>
    <row r="337" spans="4:4" s="75" customFormat="1" ht="11.25" x14ac:dyDescent="0.25">
      <c r="D337" s="231"/>
    </row>
    <row r="338" spans="4:4" s="75" customFormat="1" ht="11.25" x14ac:dyDescent="0.25">
      <c r="D338" s="231"/>
    </row>
    <row r="339" spans="4:4" s="75" customFormat="1" ht="11.25" x14ac:dyDescent="0.25">
      <c r="D339" s="231"/>
    </row>
    <row r="340" spans="4:4" s="75" customFormat="1" ht="11.25" x14ac:dyDescent="0.25">
      <c r="D340" s="231"/>
    </row>
    <row r="341" spans="4:4" s="75" customFormat="1" ht="11.25" x14ac:dyDescent="0.25">
      <c r="D341" s="231"/>
    </row>
    <row r="342" spans="4:4" s="75" customFormat="1" ht="11.25" x14ac:dyDescent="0.25">
      <c r="D342" s="231"/>
    </row>
    <row r="343" spans="4:4" s="75" customFormat="1" ht="11.25" x14ac:dyDescent="0.25">
      <c r="D343" s="231"/>
    </row>
    <row r="344" spans="4:4" s="75" customFormat="1" ht="11.25" x14ac:dyDescent="0.25">
      <c r="D344" s="231"/>
    </row>
    <row r="345" spans="4:4" s="75" customFormat="1" ht="11.25" x14ac:dyDescent="0.25">
      <c r="D345" s="231"/>
    </row>
    <row r="346" spans="4:4" s="75" customFormat="1" ht="11.25" x14ac:dyDescent="0.25">
      <c r="D346" s="231"/>
    </row>
    <row r="347" spans="4:4" s="75" customFormat="1" ht="11.25" x14ac:dyDescent="0.25">
      <c r="D347" s="231"/>
    </row>
    <row r="348" spans="4:4" s="75" customFormat="1" ht="11.25" x14ac:dyDescent="0.25">
      <c r="D348" s="231"/>
    </row>
    <row r="349" spans="4:4" s="75" customFormat="1" ht="11.25" x14ac:dyDescent="0.25">
      <c r="D349" s="231"/>
    </row>
    <row r="350" spans="4:4" s="75" customFormat="1" ht="11.25" x14ac:dyDescent="0.25">
      <c r="D350" s="231"/>
    </row>
    <row r="351" spans="4:4" s="75" customFormat="1" ht="11.25" x14ac:dyDescent="0.25">
      <c r="D351" s="231"/>
    </row>
    <row r="352" spans="4:4" s="75" customFormat="1" ht="11.25" x14ac:dyDescent="0.25">
      <c r="D352" s="231"/>
    </row>
    <row r="353" spans="4:4" s="75" customFormat="1" ht="11.25" x14ac:dyDescent="0.25">
      <c r="D353" s="231"/>
    </row>
    <row r="354" spans="4:4" s="75" customFormat="1" ht="11.25" x14ac:dyDescent="0.25">
      <c r="D354" s="231"/>
    </row>
    <row r="355" spans="4:4" s="75" customFormat="1" ht="11.25" x14ac:dyDescent="0.25">
      <c r="D355" s="231"/>
    </row>
    <row r="356" spans="4:4" s="75" customFormat="1" ht="11.25" x14ac:dyDescent="0.25">
      <c r="D356" s="231"/>
    </row>
    <row r="357" spans="4:4" s="75" customFormat="1" ht="11.25" x14ac:dyDescent="0.25">
      <c r="D357" s="231"/>
    </row>
    <row r="358" spans="4:4" s="75" customFormat="1" ht="11.25" x14ac:dyDescent="0.25">
      <c r="D358" s="231"/>
    </row>
    <row r="359" spans="4:4" s="75" customFormat="1" ht="11.25" x14ac:dyDescent="0.25">
      <c r="D359" s="231"/>
    </row>
    <row r="360" spans="4:4" s="75" customFormat="1" ht="11.25" x14ac:dyDescent="0.25">
      <c r="D360" s="231"/>
    </row>
    <row r="361" spans="4:4" s="75" customFormat="1" ht="11.25" x14ac:dyDescent="0.25">
      <c r="D361" s="231"/>
    </row>
    <row r="362" spans="4:4" s="75" customFormat="1" ht="11.25" x14ac:dyDescent="0.25">
      <c r="D362" s="231"/>
    </row>
    <row r="363" spans="4:4" s="75" customFormat="1" ht="11.25" x14ac:dyDescent="0.25">
      <c r="D363" s="231"/>
    </row>
    <row r="364" spans="4:4" s="75" customFormat="1" ht="11.25" x14ac:dyDescent="0.25">
      <c r="D364" s="231"/>
    </row>
    <row r="365" spans="4:4" s="75" customFormat="1" ht="11.25" x14ac:dyDescent="0.25">
      <c r="D365" s="231"/>
    </row>
    <row r="366" spans="4:4" s="75" customFormat="1" ht="11.25" x14ac:dyDescent="0.25">
      <c r="D366" s="231"/>
    </row>
    <row r="367" spans="4:4" s="75" customFormat="1" ht="11.25" x14ac:dyDescent="0.25">
      <c r="D367" s="231"/>
    </row>
    <row r="368" spans="4:4" s="75" customFormat="1" ht="11.25" x14ac:dyDescent="0.25">
      <c r="D368" s="231"/>
    </row>
    <row r="369" spans="4:4" s="75" customFormat="1" ht="11.25" x14ac:dyDescent="0.25">
      <c r="D369" s="231"/>
    </row>
    <row r="370" spans="4:4" s="75" customFormat="1" ht="11.25" x14ac:dyDescent="0.25">
      <c r="D370" s="231"/>
    </row>
    <row r="371" spans="4:4" s="75" customFormat="1" ht="11.25" x14ac:dyDescent="0.25">
      <c r="D371" s="231"/>
    </row>
    <row r="372" spans="4:4" s="75" customFormat="1" ht="11.25" x14ac:dyDescent="0.25">
      <c r="D372" s="231"/>
    </row>
    <row r="373" spans="4:4" s="75" customFormat="1" ht="11.25" x14ac:dyDescent="0.25">
      <c r="D373" s="231"/>
    </row>
    <row r="374" spans="4:4" s="75" customFormat="1" ht="11.25" x14ac:dyDescent="0.25">
      <c r="D374" s="231"/>
    </row>
    <row r="375" spans="4:4" s="75" customFormat="1" ht="11.25" x14ac:dyDescent="0.25">
      <c r="D375" s="231"/>
    </row>
    <row r="376" spans="4:4" s="75" customFormat="1" ht="11.25" x14ac:dyDescent="0.25">
      <c r="D376" s="231"/>
    </row>
    <row r="377" spans="4:4" s="75" customFormat="1" ht="11.25" x14ac:dyDescent="0.25">
      <c r="D377" s="231"/>
    </row>
    <row r="378" spans="4:4" s="75" customFormat="1" ht="11.25" x14ac:dyDescent="0.25">
      <c r="D378" s="231"/>
    </row>
    <row r="379" spans="4:4" s="75" customFormat="1" ht="11.25" x14ac:dyDescent="0.25">
      <c r="D379" s="231"/>
    </row>
    <row r="380" spans="4:4" s="75" customFormat="1" ht="11.25" x14ac:dyDescent="0.25">
      <c r="D380" s="231"/>
    </row>
    <row r="381" spans="4:4" s="75" customFormat="1" ht="11.25" x14ac:dyDescent="0.25">
      <c r="D381" s="231"/>
    </row>
    <row r="382" spans="4:4" s="75" customFormat="1" ht="11.25" x14ac:dyDescent="0.25">
      <c r="D382" s="231"/>
    </row>
    <row r="383" spans="4:4" s="75" customFormat="1" ht="11.25" x14ac:dyDescent="0.25">
      <c r="D383" s="231"/>
    </row>
    <row r="384" spans="4:4" s="75" customFormat="1" ht="11.25" x14ac:dyDescent="0.25">
      <c r="D384" s="231"/>
    </row>
    <row r="385" spans="4:4" s="75" customFormat="1" ht="11.25" x14ac:dyDescent="0.25">
      <c r="D385" s="231"/>
    </row>
    <row r="386" spans="4:4" s="75" customFormat="1" ht="11.25" x14ac:dyDescent="0.25">
      <c r="D386" s="231"/>
    </row>
    <row r="387" spans="4:4" s="75" customFormat="1" ht="11.25" x14ac:dyDescent="0.25">
      <c r="D387" s="231"/>
    </row>
    <row r="388" spans="4:4" s="75" customFormat="1" ht="11.25" x14ac:dyDescent="0.25">
      <c r="D388" s="231"/>
    </row>
    <row r="389" spans="4:4" s="75" customFormat="1" ht="11.25" x14ac:dyDescent="0.25">
      <c r="D389" s="231"/>
    </row>
    <row r="390" spans="4:4" s="75" customFormat="1" ht="11.25" x14ac:dyDescent="0.25">
      <c r="D390" s="231"/>
    </row>
    <row r="391" spans="4:4" s="75" customFormat="1" ht="11.25" x14ac:dyDescent="0.25">
      <c r="D391" s="231"/>
    </row>
    <row r="392" spans="4:4" s="75" customFormat="1" ht="11.25" x14ac:dyDescent="0.25">
      <c r="D392" s="231"/>
    </row>
    <row r="393" spans="4:4" s="75" customFormat="1" ht="11.25" x14ac:dyDescent="0.25">
      <c r="D393" s="231"/>
    </row>
    <row r="394" spans="4:4" s="75" customFormat="1" ht="11.25" x14ac:dyDescent="0.25">
      <c r="D394" s="231"/>
    </row>
    <row r="395" spans="4:4" s="75" customFormat="1" ht="11.25" x14ac:dyDescent="0.25">
      <c r="D395" s="231"/>
    </row>
    <row r="396" spans="4:4" s="75" customFormat="1" ht="11.25" x14ac:dyDescent="0.25">
      <c r="D396" s="231"/>
    </row>
    <row r="397" spans="4:4" s="75" customFormat="1" ht="11.25" x14ac:dyDescent="0.25">
      <c r="D397" s="231"/>
    </row>
    <row r="398" spans="4:4" s="75" customFormat="1" ht="11.25" x14ac:dyDescent="0.25">
      <c r="D398" s="231"/>
    </row>
    <row r="399" spans="4:4" s="75" customFormat="1" ht="11.25" x14ac:dyDescent="0.25">
      <c r="D399" s="231"/>
    </row>
    <row r="400" spans="4:4" s="75" customFormat="1" ht="11.25" x14ac:dyDescent="0.25">
      <c r="D400" s="231"/>
    </row>
    <row r="401" spans="4:4" s="75" customFormat="1" ht="11.25" x14ac:dyDescent="0.25">
      <c r="D401" s="231"/>
    </row>
    <row r="402" spans="4:4" s="75" customFormat="1" ht="11.25" x14ac:dyDescent="0.25">
      <c r="D402" s="231"/>
    </row>
    <row r="403" spans="4:4" s="75" customFormat="1" ht="11.25" x14ac:dyDescent="0.25">
      <c r="D403" s="231"/>
    </row>
    <row r="404" spans="4:4" s="75" customFormat="1" ht="11.25" x14ac:dyDescent="0.25">
      <c r="D404" s="231"/>
    </row>
    <row r="405" spans="4:4" s="75" customFormat="1" ht="11.25" x14ac:dyDescent="0.25">
      <c r="D405" s="231"/>
    </row>
    <row r="406" spans="4:4" s="75" customFormat="1" ht="11.25" x14ac:dyDescent="0.25">
      <c r="D406" s="231"/>
    </row>
    <row r="407" spans="4:4" s="75" customFormat="1" ht="11.25" x14ac:dyDescent="0.25">
      <c r="D407" s="231"/>
    </row>
    <row r="408" spans="4:4" s="75" customFormat="1" ht="11.25" x14ac:dyDescent="0.25">
      <c r="D408" s="231"/>
    </row>
    <row r="409" spans="4:4" s="75" customFormat="1" ht="11.25" x14ac:dyDescent="0.25">
      <c r="D409" s="231"/>
    </row>
    <row r="410" spans="4:4" s="75" customFormat="1" ht="11.25" x14ac:dyDescent="0.25">
      <c r="D410" s="231"/>
    </row>
    <row r="411" spans="4:4" s="75" customFormat="1" ht="11.25" x14ac:dyDescent="0.25">
      <c r="D411" s="231"/>
    </row>
    <row r="412" spans="4:4" s="75" customFormat="1" ht="11.25" x14ac:dyDescent="0.25">
      <c r="D412" s="231"/>
    </row>
    <row r="413" spans="4:4" s="75" customFormat="1" ht="11.25" x14ac:dyDescent="0.25">
      <c r="D413" s="231"/>
    </row>
    <row r="414" spans="4:4" s="75" customFormat="1" ht="11.25" x14ac:dyDescent="0.25">
      <c r="D414" s="231"/>
    </row>
    <row r="415" spans="4:4" s="75" customFormat="1" ht="11.25" x14ac:dyDescent="0.25">
      <c r="D415" s="231"/>
    </row>
    <row r="416" spans="4:4" s="75" customFormat="1" ht="11.25" x14ac:dyDescent="0.25">
      <c r="D416" s="231"/>
    </row>
    <row r="417" spans="4:4" s="75" customFormat="1" ht="11.25" x14ac:dyDescent="0.25">
      <c r="D417" s="231"/>
    </row>
    <row r="418" spans="4:4" s="75" customFormat="1" ht="11.25" x14ac:dyDescent="0.25">
      <c r="D418" s="231"/>
    </row>
    <row r="419" spans="4:4" s="75" customFormat="1" ht="11.25" x14ac:dyDescent="0.25">
      <c r="D419" s="231"/>
    </row>
    <row r="420" spans="4:4" s="75" customFormat="1" ht="11.25" x14ac:dyDescent="0.25">
      <c r="D420" s="231"/>
    </row>
    <row r="421" spans="4:4" s="75" customFormat="1" ht="11.25" x14ac:dyDescent="0.25">
      <c r="D421" s="231"/>
    </row>
    <row r="422" spans="4:4" s="75" customFormat="1" ht="11.25" x14ac:dyDescent="0.25">
      <c r="D422" s="231"/>
    </row>
    <row r="423" spans="4:4" s="75" customFormat="1" ht="11.25" x14ac:dyDescent="0.25">
      <c r="D423" s="231"/>
    </row>
    <row r="424" spans="4:4" s="75" customFormat="1" ht="11.25" x14ac:dyDescent="0.25">
      <c r="D424" s="231"/>
    </row>
    <row r="425" spans="4:4" s="75" customFormat="1" ht="11.25" x14ac:dyDescent="0.25">
      <c r="D425" s="231"/>
    </row>
    <row r="426" spans="4:4" s="75" customFormat="1" ht="11.25" x14ac:dyDescent="0.25">
      <c r="D426" s="231"/>
    </row>
    <row r="427" spans="4:4" s="75" customFormat="1" ht="11.25" x14ac:dyDescent="0.25">
      <c r="D427" s="231"/>
    </row>
    <row r="428" spans="4:4" s="75" customFormat="1" ht="11.25" x14ac:dyDescent="0.25">
      <c r="D428" s="231"/>
    </row>
    <row r="429" spans="4:4" s="75" customFormat="1" ht="11.25" x14ac:dyDescent="0.25">
      <c r="D429" s="231"/>
    </row>
    <row r="430" spans="4:4" s="75" customFormat="1" ht="11.25" x14ac:dyDescent="0.25">
      <c r="D430" s="231"/>
    </row>
    <row r="431" spans="4:4" s="75" customFormat="1" ht="11.25" x14ac:dyDescent="0.25">
      <c r="D431" s="231"/>
    </row>
    <row r="432" spans="4:4" s="75" customFormat="1" ht="11.25" x14ac:dyDescent="0.25">
      <c r="D432" s="231"/>
    </row>
    <row r="433" spans="1:193" s="75" customFormat="1" ht="11.25" x14ac:dyDescent="0.25">
      <c r="D433" s="231"/>
    </row>
    <row r="434" spans="1:193" s="75" customFormat="1" ht="11.25" x14ac:dyDescent="0.25">
      <c r="D434" s="231"/>
    </row>
    <row r="435" spans="1:193" s="75" customFormat="1" ht="11.25" x14ac:dyDescent="0.25">
      <c r="D435" s="231"/>
    </row>
    <row r="436" spans="1:193" s="75" customFormat="1" ht="11.25" x14ac:dyDescent="0.25">
      <c r="D436" s="231"/>
    </row>
    <row r="437" spans="1:193" s="75" customFormat="1" ht="11.25" x14ac:dyDescent="0.25">
      <c r="D437" s="231"/>
    </row>
    <row r="438" spans="1:193" s="75" customFormat="1" ht="11.25" x14ac:dyDescent="0.25">
      <c r="D438" s="231"/>
    </row>
    <row r="439" spans="1:193" s="75" customFormat="1" ht="11.25" x14ac:dyDescent="0.25">
      <c r="D439" s="231"/>
    </row>
    <row r="440" spans="1:193" s="75" customFormat="1" ht="11.25" x14ac:dyDescent="0.25">
      <c r="D440" s="231"/>
    </row>
    <row r="441" spans="1:193" s="75" customFormat="1" ht="11.25" x14ac:dyDescent="0.25">
      <c r="D441" s="231"/>
    </row>
    <row r="442" spans="1:193" x14ac:dyDescent="0.25">
      <c r="A442" s="75"/>
      <c r="B442" s="75"/>
      <c r="C442" s="75"/>
      <c r="D442" s="231"/>
      <c r="E442" s="75"/>
      <c r="F442" s="75"/>
      <c r="G442" s="75"/>
      <c r="H442" s="75"/>
      <c r="I442" s="75"/>
      <c r="J442" s="75"/>
      <c r="K442" s="75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  <c r="EZ442"/>
      <c r="FA442"/>
      <c r="FB442"/>
      <c r="FC442"/>
      <c r="FD442"/>
      <c r="FE442"/>
      <c r="FF442"/>
      <c r="FG442"/>
      <c r="FH442"/>
      <c r="FI442"/>
      <c r="FJ442"/>
      <c r="FK442"/>
      <c r="FL442"/>
      <c r="FM442"/>
      <c r="FN442"/>
      <c r="FO442"/>
      <c r="FP442"/>
      <c r="FQ442"/>
      <c r="FR442"/>
      <c r="FS442"/>
      <c r="FT442"/>
      <c r="FU442"/>
      <c r="FV442"/>
      <c r="FW442"/>
      <c r="FX442"/>
      <c r="FY442"/>
      <c r="FZ442"/>
      <c r="GA442"/>
      <c r="GB442"/>
      <c r="GC442"/>
      <c r="GD442"/>
      <c r="GE442"/>
      <c r="GF442"/>
      <c r="GG442"/>
      <c r="GH442"/>
      <c r="GI442"/>
      <c r="GJ442"/>
      <c r="GK442"/>
    </row>
    <row r="443" spans="1:193" x14ac:dyDescent="0.25">
      <c r="A443" s="75"/>
      <c r="B443" s="75"/>
      <c r="C443" s="75"/>
      <c r="D443" s="231"/>
      <c r="E443" s="75"/>
      <c r="F443" s="75"/>
      <c r="G443" s="75"/>
      <c r="H443" s="75"/>
      <c r="I443" s="75"/>
      <c r="J443" s="75"/>
      <c r="K443" s="75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  <c r="EZ443"/>
      <c r="FA443"/>
      <c r="FB443"/>
      <c r="FC443"/>
      <c r="FD443"/>
      <c r="FE443"/>
      <c r="FF443"/>
      <c r="FG443"/>
      <c r="FH443"/>
      <c r="FI443"/>
      <c r="FJ443"/>
      <c r="FK443"/>
      <c r="FL443"/>
      <c r="FM443"/>
      <c r="FN443"/>
      <c r="FO443"/>
      <c r="FP443"/>
      <c r="FQ443"/>
      <c r="FR443"/>
      <c r="FS443"/>
      <c r="FT443"/>
      <c r="FU443"/>
      <c r="FV443"/>
      <c r="FW443"/>
      <c r="FX443"/>
      <c r="FY443"/>
      <c r="FZ443"/>
      <c r="GA443"/>
      <c r="GB443"/>
      <c r="GC443"/>
      <c r="GD443"/>
      <c r="GE443"/>
      <c r="GF443"/>
      <c r="GG443"/>
      <c r="GH443"/>
      <c r="GI443"/>
      <c r="GJ443"/>
      <c r="GK443"/>
    </row>
    <row r="444" spans="1:193" x14ac:dyDescent="0.25">
      <c r="A444" s="75"/>
      <c r="B444" s="75"/>
      <c r="C444" s="75"/>
      <c r="D444" s="231"/>
      <c r="E444" s="75"/>
      <c r="F444" s="75"/>
      <c r="G444" s="75"/>
      <c r="H444" s="75"/>
      <c r="I444" s="75"/>
      <c r="J444" s="75"/>
      <c r="K444" s="75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  <c r="EZ444"/>
      <c r="FA444"/>
      <c r="FB444"/>
      <c r="FC444"/>
      <c r="FD444"/>
      <c r="FE444"/>
      <c r="FF444"/>
      <c r="FG444"/>
      <c r="FH444"/>
      <c r="FI444"/>
      <c r="FJ444"/>
      <c r="FK444"/>
      <c r="FL444"/>
      <c r="FM444"/>
      <c r="FN444"/>
      <c r="FO444"/>
      <c r="FP444"/>
      <c r="FQ444"/>
      <c r="FR444"/>
      <c r="FS444"/>
      <c r="FT444"/>
      <c r="FU444"/>
      <c r="FV444"/>
      <c r="FW444"/>
      <c r="FX444"/>
      <c r="FY444"/>
      <c r="FZ444"/>
      <c r="GA444"/>
      <c r="GB444"/>
      <c r="GC444"/>
      <c r="GD444"/>
      <c r="GE444"/>
      <c r="GF444"/>
      <c r="GG444"/>
      <c r="GH444"/>
      <c r="GI444"/>
      <c r="GJ444"/>
      <c r="GK444"/>
    </row>
    <row r="445" spans="1:193" x14ac:dyDescent="0.25">
      <c r="A445" s="75"/>
      <c r="B445" s="75"/>
      <c r="C445" s="75"/>
      <c r="D445" s="231"/>
      <c r="E445" s="75"/>
      <c r="F445" s="75"/>
      <c r="G445" s="75"/>
      <c r="H445" s="75"/>
      <c r="I445" s="75"/>
      <c r="J445" s="75"/>
      <c r="K445" s="7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  <c r="FC445"/>
      <c r="FD445"/>
      <c r="FE445"/>
      <c r="FF445"/>
      <c r="FG445"/>
      <c r="FH445"/>
      <c r="FI445"/>
      <c r="FJ445"/>
      <c r="FK445"/>
      <c r="FL445"/>
      <c r="FM445"/>
      <c r="FN445"/>
      <c r="FO445"/>
      <c r="FP445"/>
      <c r="FQ445"/>
      <c r="FR445"/>
      <c r="FS445"/>
      <c r="FT445"/>
      <c r="FU445"/>
      <c r="FV445"/>
      <c r="FW445"/>
      <c r="FX445"/>
      <c r="FY445"/>
      <c r="FZ445"/>
      <c r="GA445"/>
      <c r="GB445"/>
      <c r="GC445"/>
      <c r="GD445"/>
      <c r="GE445"/>
      <c r="GF445"/>
      <c r="GG445"/>
      <c r="GH445"/>
      <c r="GI445"/>
      <c r="GJ445"/>
      <c r="GK445"/>
    </row>
    <row r="446" spans="1:193" x14ac:dyDescent="0.25">
      <c r="A446" s="75"/>
      <c r="B446" s="75"/>
      <c r="C446" s="75"/>
      <c r="D446" s="231"/>
      <c r="E446" s="75"/>
      <c r="F446" s="75"/>
      <c r="G446" s="75"/>
      <c r="H446" s="75"/>
      <c r="I446" s="75"/>
      <c r="J446" s="75"/>
      <c r="K446" s="75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  <c r="EZ446"/>
      <c r="FA446"/>
      <c r="FB446"/>
      <c r="FC446"/>
      <c r="FD446"/>
      <c r="FE446"/>
      <c r="FF446"/>
      <c r="FG446"/>
      <c r="FH446"/>
      <c r="FI446"/>
      <c r="FJ446"/>
      <c r="FK446"/>
      <c r="FL446"/>
      <c r="FM446"/>
      <c r="FN446"/>
      <c r="FO446"/>
      <c r="FP446"/>
      <c r="FQ446"/>
      <c r="FR446"/>
      <c r="FS446"/>
      <c r="FT446"/>
      <c r="FU446"/>
      <c r="FV446"/>
      <c r="FW446"/>
      <c r="FX446"/>
      <c r="FY446"/>
      <c r="FZ446"/>
      <c r="GA446"/>
      <c r="GB446"/>
      <c r="GC446"/>
      <c r="GD446"/>
      <c r="GE446"/>
      <c r="GF446"/>
      <c r="GG446"/>
      <c r="GH446"/>
      <c r="GI446"/>
      <c r="GJ446"/>
      <c r="GK446"/>
    </row>
  </sheetData>
  <autoFilter ref="A2:K14" xr:uid="{00000000-0009-0000-0000-000004000000}">
    <filterColumn colId="1" showButton="0"/>
    <filterColumn colId="2" showButton="0"/>
    <filterColumn colId="3" showButton="0"/>
  </autoFilter>
  <mergeCells count="64">
    <mergeCell ref="B8:E8"/>
    <mergeCell ref="B10:E10"/>
    <mergeCell ref="B11:E11"/>
    <mergeCell ref="B9:E9"/>
    <mergeCell ref="A13:G13"/>
    <mergeCell ref="C39:D39"/>
    <mergeCell ref="E26:F26"/>
    <mergeCell ref="E27:F27"/>
    <mergeCell ref="G26:H26"/>
    <mergeCell ref="G27:H27"/>
    <mergeCell ref="E28:F28"/>
    <mergeCell ref="G28:H28"/>
    <mergeCell ref="E29:F29"/>
    <mergeCell ref="G29:H29"/>
    <mergeCell ref="E30:F30"/>
    <mergeCell ref="G30:H30"/>
    <mergeCell ref="E31:F31"/>
    <mergeCell ref="G31:H31"/>
    <mergeCell ref="E32:F32"/>
    <mergeCell ref="E33:F33"/>
    <mergeCell ref="G33:H33"/>
    <mergeCell ref="E34:F34"/>
    <mergeCell ref="G34:H34"/>
    <mergeCell ref="E39:F39"/>
    <mergeCell ref="G39:H39"/>
    <mergeCell ref="A1:K1"/>
    <mergeCell ref="A22:I22"/>
    <mergeCell ref="A15:K15"/>
    <mergeCell ref="A24:K24"/>
    <mergeCell ref="A28:B28"/>
    <mergeCell ref="I25:I26"/>
    <mergeCell ref="J25:J26"/>
    <mergeCell ref="K25:K26"/>
    <mergeCell ref="K17:K21"/>
    <mergeCell ref="B12:E12"/>
    <mergeCell ref="B2:E2"/>
    <mergeCell ref="B3:E3"/>
    <mergeCell ref="B4:E4"/>
    <mergeCell ref="B5:E5"/>
    <mergeCell ref="B6:E6"/>
    <mergeCell ref="B7:E7"/>
    <mergeCell ref="A29:B29"/>
    <mergeCell ref="A30:B30"/>
    <mergeCell ref="A31:B31"/>
    <mergeCell ref="A32:B32"/>
    <mergeCell ref="C25:H25"/>
    <mergeCell ref="A25:B26"/>
    <mergeCell ref="A27:B27"/>
    <mergeCell ref="C26:D26"/>
    <mergeCell ref="G32:H32"/>
    <mergeCell ref="A38:B38"/>
    <mergeCell ref="E35:F35"/>
    <mergeCell ref="G35:H35"/>
    <mergeCell ref="E36:F36"/>
    <mergeCell ref="G36:H36"/>
    <mergeCell ref="E37:F37"/>
    <mergeCell ref="G37:H37"/>
    <mergeCell ref="E38:F38"/>
    <mergeCell ref="G38:H38"/>
    <mergeCell ref="A33:B33"/>
    <mergeCell ref="A34:B34"/>
    <mergeCell ref="A35:B35"/>
    <mergeCell ref="A36:B36"/>
    <mergeCell ref="A37:B37"/>
  </mergeCells>
  <dataValidations count="1">
    <dataValidation type="decimal" operator="greaterThanOrEqual" allowBlank="1" showInputMessage="1" showErrorMessage="1" sqref="J20" xr:uid="{00000000-0002-0000-0400-000000000000}">
      <formula1>0</formula1>
    </dataValidation>
  </dataValidations>
  <pageMargins left="0.43307086614173229" right="0.15748031496062992" top="0.47244094488188981" bottom="0.27559055118110237" header="0.27559055118110237" footer="0.15748031496062992"/>
  <pageSetup paperSize="9" scale="70" fitToHeight="3" orientation="portrait" r:id="rId1"/>
  <headerFooter>
    <oddHeader>&amp;C&amp;"-,Negrito"PLANILHA DE COMPOSIÇÃO DE CUSTOSCUSTO RESUMIDO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  <pageSetUpPr fitToPage="1"/>
  </sheetPr>
  <dimension ref="A1:GK448"/>
  <sheetViews>
    <sheetView showGridLines="0" topLeftCell="A28" zoomScale="130" zoomScaleNormal="130" workbookViewId="0">
      <selection activeCell="A41" sqref="A41:XFD58"/>
    </sheetView>
  </sheetViews>
  <sheetFormatPr defaultRowHeight="15" x14ac:dyDescent="0.25"/>
  <cols>
    <col min="1" max="1" width="7" customWidth="1"/>
    <col min="2" max="2" width="39" customWidth="1"/>
    <col min="3" max="3" width="10.85546875" bestFit="1" customWidth="1"/>
    <col min="4" max="4" width="5" style="232" customWidth="1"/>
    <col min="5" max="5" width="4.28515625" customWidth="1"/>
    <col min="6" max="6" width="13.42578125" customWidth="1"/>
    <col min="7" max="7" width="11" customWidth="1"/>
    <col min="8" max="8" width="8.5703125" bestFit="1" customWidth="1"/>
    <col min="9" max="9" width="14" customWidth="1"/>
    <col min="10" max="10" width="12" customWidth="1"/>
    <col min="11" max="11" width="13.7109375" customWidth="1"/>
    <col min="12" max="12" width="10.85546875" style="75" customWidth="1"/>
    <col min="13" max="13" width="11.42578125" style="75" bestFit="1" customWidth="1"/>
    <col min="14" max="14" width="8.85546875" style="75"/>
    <col min="15" max="15" width="10.5703125" style="75" bestFit="1" customWidth="1"/>
    <col min="16" max="193" width="8.85546875" style="75"/>
  </cols>
  <sheetData>
    <row r="1" spans="1:193" ht="14.25" customHeight="1" x14ac:dyDescent="0.25">
      <c r="B1" s="235" t="s">
        <v>227</v>
      </c>
      <c r="C1" s="468" t="s">
        <v>898</v>
      </c>
      <c r="D1" s="469"/>
      <c r="E1" s="469"/>
      <c r="F1" s="469"/>
      <c r="G1" s="469"/>
      <c r="H1" s="470"/>
    </row>
    <row r="2" spans="1:193" ht="6.6" customHeight="1" x14ac:dyDescent="0.25"/>
    <row r="3" spans="1:193" x14ac:dyDescent="0.25">
      <c r="A3" s="444" t="s">
        <v>203</v>
      </c>
      <c r="B3" s="445"/>
      <c r="C3" s="445"/>
      <c r="D3" s="445"/>
      <c r="E3" s="445"/>
      <c r="F3" s="445"/>
      <c r="G3" s="445"/>
      <c r="H3" s="445"/>
      <c r="I3" s="445"/>
      <c r="J3" s="445"/>
      <c r="K3" s="446"/>
    </row>
    <row r="4" spans="1:193" ht="24" customHeight="1" x14ac:dyDescent="0.25">
      <c r="A4" s="184" t="s">
        <v>97</v>
      </c>
      <c r="B4" s="442" t="s">
        <v>152</v>
      </c>
      <c r="C4" s="461"/>
      <c r="D4" s="461"/>
      <c r="E4" s="443"/>
      <c r="F4" s="185" t="s">
        <v>153</v>
      </c>
      <c r="G4" s="185" t="s">
        <v>154</v>
      </c>
      <c r="H4" s="183" t="s">
        <v>204</v>
      </c>
      <c r="I4" s="185" t="s">
        <v>205</v>
      </c>
      <c r="J4" s="186" t="s">
        <v>123</v>
      </c>
      <c r="K4" s="186" t="s">
        <v>206</v>
      </c>
    </row>
    <row r="5" spans="1:193" ht="14.45" customHeight="1" x14ac:dyDescent="0.25">
      <c r="A5" s="76">
        <v>690001</v>
      </c>
      <c r="B5" s="458" t="str">
        <f>VLOOKUP(A5,'Tabela de Códigos e Valores'!A:B,2,FALSE)</f>
        <v>Auxiliar de limpeza - diurno - 44 horas semanais (segunda a sexta-feira)</v>
      </c>
      <c r="C5" s="459"/>
      <c r="D5" s="459"/>
      <c r="E5" s="460"/>
      <c r="F5" s="172" t="str">
        <f>VLOOKUP($A5,'Tabela de Códigos e Valores'!$A:$M,5,FALSE)</f>
        <v>Posto</v>
      </c>
      <c r="G5" s="172" t="str">
        <f>VLOOKUP($A5,'Tabela de Códigos e Valores'!$A:$M,6,FALSE)</f>
        <v>Mensal</v>
      </c>
      <c r="H5" s="233">
        <f>SUMIFS('Relatório Custo'!$K:$K,'Relatório Custo'!$E:$E,$A5,'Relatório Custo'!$C:$C,'Custo  Resumido por local'!$C$1)</f>
        <v>27</v>
      </c>
      <c r="I5" s="77">
        <f>IF(F5="Posto",SUMIFS('Relatório Custo'!$Z:$Z,'Relatório Custo'!$E:$E,$A5,'Relatório Custo'!$C:$C,'Custo  Resumido por local'!$C$1),0)</f>
        <v>0</v>
      </c>
      <c r="J5" s="77">
        <f>SUMIFS('Relatório Custo'!$V:$V,'Relatório Custo'!$E:$E,$A5,'Relatório Custo'!$C:$C,'Custo  Resumido por local'!$C$1)</f>
        <v>0</v>
      </c>
      <c r="K5" s="77">
        <f>SUMIFS('Relatório Custo'!$X:$X,'Relatório Custo'!$E:$E,$A5,'Relatório Custo'!$C:$C,'Custo  Resumido por local'!$C$1)</f>
        <v>0</v>
      </c>
      <c r="L5" s="78"/>
      <c r="M5" s="78"/>
      <c r="N5" s="79"/>
    </row>
    <row r="6" spans="1:193" x14ac:dyDescent="0.25">
      <c r="A6" s="76">
        <v>690002</v>
      </c>
      <c r="B6" s="458" t="str">
        <f>VLOOKUP(A6,'Tabela de Códigos e Valores'!A:B,2,FALSE)</f>
        <v>Auxiliar de limpeza - diurno - 24 horas  semanais</v>
      </c>
      <c r="C6" s="459"/>
      <c r="D6" s="459"/>
      <c r="E6" s="460"/>
      <c r="F6" s="172" t="str">
        <f>VLOOKUP($A6,'Tabela de Códigos e Valores'!$A:$M,5,FALSE)</f>
        <v>Posto</v>
      </c>
      <c r="G6" s="172" t="str">
        <f>VLOOKUP($A6,'Tabela de Códigos e Valores'!$A:$M,6,FALSE)</f>
        <v>Mensal</v>
      </c>
      <c r="H6" s="233">
        <f>SUMIFS('Relatório Custo'!$K:$K,'Relatório Custo'!$E:$E,$A6,'Relatório Custo'!$C:$C,'Custo  Resumido por local'!$C$1)</f>
        <v>0</v>
      </c>
      <c r="I6" s="77">
        <f>IF(F6="Posto",SUMIFS('Relatório Custo'!$Z:$Z,'Relatório Custo'!$E:$E,$A6,'Relatório Custo'!$C:$C,'Custo  Resumido por local'!$C$1),0)</f>
        <v>0</v>
      </c>
      <c r="J6" s="77">
        <f>SUMIFS('Relatório Custo'!$V:$V,'Relatório Custo'!$E:$E,$A6,'Relatório Custo'!$C:$C,'Custo  Resumido por local'!$C$1)</f>
        <v>0</v>
      </c>
      <c r="K6" s="77">
        <f>SUMIFS('Relatório Custo'!$X:$X,'Relatório Custo'!$E:$E,$A6,'Relatório Custo'!$C:$C,'Custo  Resumido por local'!$C$1)</f>
        <v>0</v>
      </c>
      <c r="L6" s="78"/>
      <c r="M6" s="78"/>
    </row>
    <row r="7" spans="1:193" x14ac:dyDescent="0.25">
      <c r="A7" s="76">
        <v>690004</v>
      </c>
      <c r="B7" s="458" t="str">
        <f>VLOOKUP(A7,'Tabela de Códigos e Valores'!A:B,2,FALSE)</f>
        <v>Serviço de limpeza - plantonista - domingos e feriados (5 horas)</v>
      </c>
      <c r="C7" s="459"/>
      <c r="D7" s="459"/>
      <c r="E7" s="460"/>
      <c r="F7" s="172" t="str">
        <f>VLOOKUP($A7,'Tabela de Códigos e Valores'!$A:$M,5,FALSE)</f>
        <v>Plantão - Dom/Fer</v>
      </c>
      <c r="G7" s="172" t="str">
        <f>VLOOKUP($A7,'Tabela de Códigos e Valores'!$A:$M,6,FALSE)</f>
        <v>Mensal</v>
      </c>
      <c r="H7" s="233">
        <f>SUMIFS('Relatório Custo'!$K:$K,'Relatório Custo'!$E:$E,$A7,'Relatório Custo'!$C:$C,'Custo  Resumido por local'!$C$1)</f>
        <v>0</v>
      </c>
      <c r="I7" s="77">
        <f>IF(F7="Posto",SUMIFS('Relatório Custo'!$Z:$Z,'Relatório Custo'!$E:$E,$A7,'Relatório Custo'!$C:$C,'Custo  Resumido por local'!$C$1),0)</f>
        <v>0</v>
      </c>
      <c r="J7" s="77">
        <f>SUMIFS('Relatório Custo'!$V:$V,'Relatório Custo'!$E:$E,$A7,'Relatório Custo'!$C:$C,'Custo  Resumido por local'!$C$1)</f>
        <v>0</v>
      </c>
      <c r="K7" s="77">
        <f>SUMIFS('Relatório Custo'!$X:$X,'Relatório Custo'!$E:$E,$A7,'Relatório Custo'!$C:$C,'Custo  Resumido por local'!$C$1)</f>
        <v>0</v>
      </c>
      <c r="L7" s="78"/>
      <c r="M7" s="78"/>
    </row>
    <row r="8" spans="1:193" s="82" customFormat="1" x14ac:dyDescent="0.25">
      <c r="A8" s="76">
        <v>690020</v>
      </c>
      <c r="B8" s="458" t="str">
        <f>VLOOKUP(A8,'Tabela de Códigos e Valores'!A:B,2,FALSE)</f>
        <v>Serviço de Jardinagem</v>
      </c>
      <c r="C8" s="459"/>
      <c r="D8" s="459"/>
      <c r="E8" s="460"/>
      <c r="F8" s="172" t="str">
        <f>VLOOKUP($A8,'Tabela de Códigos e Valores'!$A:$M,5,FALSE)</f>
        <v>M2</v>
      </c>
      <c r="G8" s="172" t="str">
        <f>VLOOKUP($A8,'Tabela de Códigos e Valores'!$A:$M,6,FALSE)</f>
        <v>Mensal</v>
      </c>
      <c r="H8" s="233">
        <f>SUMIFS('Relatório Custo'!$K:$K,'Relatório Custo'!$E:$E,$A8,'Relatório Custo'!$C:$C,'Custo  Resumido por local'!$C$1)</f>
        <v>90</v>
      </c>
      <c r="I8" s="77">
        <f>IF(F8="Posto",SUMIFS('Relatório Custo'!$Z:$Z,'Relatório Custo'!$E:$E,$A8,'Relatório Custo'!$C:$C,'Custo  Resumido por local'!$C$1),0)</f>
        <v>0</v>
      </c>
      <c r="J8" s="77">
        <f>SUMIFS('Relatório Custo'!$V:$V,'Relatório Custo'!$E:$E,$A8,'Relatório Custo'!$C:$C,'Custo  Resumido por local'!$C$1)</f>
        <v>0</v>
      </c>
      <c r="K8" s="77">
        <f>SUMIFS('Relatório Custo'!$X:$X,'Relatório Custo'!$E:$E,$A8,'Relatório Custo'!$C:$C,'Custo  Resumido por local'!$C$1)</f>
        <v>0</v>
      </c>
      <c r="L8" s="80"/>
      <c r="M8" s="80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81"/>
      <c r="BQ8" s="81"/>
      <c r="BR8" s="81"/>
      <c r="BS8" s="81"/>
      <c r="BT8" s="81"/>
      <c r="BU8" s="81"/>
      <c r="BV8" s="81"/>
      <c r="BW8" s="81"/>
      <c r="BX8" s="81"/>
      <c r="BY8" s="81"/>
      <c r="BZ8" s="81"/>
      <c r="CA8" s="81"/>
      <c r="CB8" s="81"/>
      <c r="CC8" s="81"/>
      <c r="CD8" s="81"/>
      <c r="CE8" s="81"/>
      <c r="CF8" s="81"/>
      <c r="CG8" s="81"/>
      <c r="CH8" s="81"/>
      <c r="CI8" s="81"/>
      <c r="CJ8" s="81"/>
      <c r="CK8" s="81"/>
      <c r="CL8" s="81"/>
      <c r="CM8" s="81"/>
      <c r="CN8" s="81"/>
      <c r="CO8" s="81"/>
      <c r="CP8" s="81"/>
      <c r="CQ8" s="81"/>
      <c r="CR8" s="81"/>
      <c r="CS8" s="81"/>
      <c r="CT8" s="81"/>
      <c r="CU8" s="81"/>
      <c r="CV8" s="81"/>
      <c r="CW8" s="81"/>
      <c r="CX8" s="81"/>
      <c r="CY8" s="81"/>
      <c r="CZ8" s="81"/>
      <c r="DA8" s="81"/>
      <c r="DB8" s="81"/>
      <c r="DC8" s="81"/>
      <c r="DD8" s="81"/>
      <c r="DE8" s="81"/>
      <c r="DF8" s="81"/>
      <c r="DG8" s="81"/>
      <c r="DH8" s="81"/>
      <c r="DI8" s="81"/>
      <c r="DJ8" s="81"/>
      <c r="DK8" s="81"/>
      <c r="DL8" s="81"/>
      <c r="DM8" s="81"/>
      <c r="DN8" s="81"/>
      <c r="DO8" s="81"/>
      <c r="DP8" s="81"/>
      <c r="DQ8" s="81"/>
      <c r="DR8" s="81"/>
      <c r="DS8" s="81"/>
      <c r="DT8" s="81"/>
      <c r="DU8" s="81"/>
      <c r="DV8" s="81"/>
      <c r="DW8" s="81"/>
      <c r="DX8" s="81"/>
      <c r="DY8" s="81"/>
      <c r="DZ8" s="81"/>
      <c r="EA8" s="81"/>
      <c r="EB8" s="81"/>
      <c r="EC8" s="81"/>
      <c r="ED8" s="81"/>
      <c r="EE8" s="81"/>
      <c r="EF8" s="81"/>
      <c r="EG8" s="81"/>
      <c r="EH8" s="81"/>
      <c r="EI8" s="81"/>
      <c r="EJ8" s="81"/>
      <c r="EK8" s="81"/>
      <c r="EL8" s="81"/>
      <c r="EM8" s="81"/>
      <c r="EN8" s="81"/>
      <c r="EO8" s="81"/>
      <c r="EP8" s="81"/>
      <c r="EQ8" s="81"/>
      <c r="ER8" s="81"/>
      <c r="ES8" s="81"/>
      <c r="ET8" s="81"/>
      <c r="EU8" s="81"/>
      <c r="EV8" s="81"/>
      <c r="EW8" s="81"/>
      <c r="EX8" s="81"/>
      <c r="EY8" s="81"/>
      <c r="EZ8" s="81"/>
      <c r="FA8" s="81"/>
      <c r="FB8" s="81"/>
      <c r="FC8" s="81"/>
      <c r="FD8" s="81"/>
      <c r="FE8" s="81"/>
      <c r="FF8" s="81"/>
      <c r="FG8" s="81"/>
      <c r="FH8" s="81"/>
      <c r="FI8" s="81"/>
      <c r="FJ8" s="81"/>
      <c r="FK8" s="81"/>
      <c r="FL8" s="81"/>
      <c r="FM8" s="81"/>
      <c r="FN8" s="81"/>
      <c r="FO8" s="81"/>
      <c r="FP8" s="81"/>
      <c r="FQ8" s="81"/>
      <c r="FR8" s="81"/>
      <c r="FS8" s="81"/>
      <c r="FT8" s="81"/>
      <c r="FU8" s="81"/>
      <c r="FV8" s="81"/>
      <c r="FW8" s="81"/>
      <c r="FX8" s="81"/>
      <c r="FY8" s="81"/>
      <c r="FZ8" s="81"/>
      <c r="GA8" s="81"/>
      <c r="GB8" s="81"/>
      <c r="GC8" s="81"/>
      <c r="GD8" s="81"/>
      <c r="GE8" s="81"/>
      <c r="GF8" s="81"/>
      <c r="GG8" s="81"/>
      <c r="GH8" s="81"/>
      <c r="GI8" s="81"/>
      <c r="GJ8" s="81"/>
      <c r="GK8" s="81"/>
    </row>
    <row r="9" spans="1:193" ht="14.45" customHeight="1" x14ac:dyDescent="0.25">
      <c r="A9" s="76">
        <v>690021</v>
      </c>
      <c r="B9" s="458" t="str">
        <f>VLOOKUP(A9,'Tabela de Códigos e Valores'!A:B,2,FALSE)</f>
        <v>Serviço de limpeza de vidros com exposição à situação de risco</v>
      </c>
      <c r="C9" s="459"/>
      <c r="D9" s="459"/>
      <c r="E9" s="460"/>
      <c r="F9" s="172" t="str">
        <f>VLOOKUP($A9,'Tabela de Códigos e Valores'!$A:$M,5,FALSE)</f>
        <v>M2</v>
      </c>
      <c r="G9" s="172" t="str">
        <f>VLOOKUP($A9,'Tabela de Códigos e Valores'!$A:$M,6,FALSE)</f>
        <v>Trimestral</v>
      </c>
      <c r="H9" s="233">
        <f>SUMIFS('Relatório Custo'!$K:$K,'Relatório Custo'!$E:$E,$A9,'Relatório Custo'!$C:$C,'Custo  Resumido por local'!$C$1)</f>
        <v>280</v>
      </c>
      <c r="I9" s="77">
        <f>IF(F9="Posto",SUMIFS('Relatório Custo'!$Z:$Z,'Relatório Custo'!$E:$E,$A9,'Relatório Custo'!$C:$C,'Custo  Resumido por local'!$C$1),0)</f>
        <v>0</v>
      </c>
      <c r="J9" s="77">
        <f>SUMIFS('Relatório Custo'!$V:$V,'Relatório Custo'!$E:$E,$A9,'Relatório Custo'!$C:$C,'Custo  Resumido por local'!$C$1)</f>
        <v>0</v>
      </c>
      <c r="K9" s="77">
        <f>SUMIFS('Relatório Custo'!$X:$X,'Relatório Custo'!$E:$E,$A9,'Relatório Custo'!$C:$C,'Custo  Resumido por local'!$C$1)</f>
        <v>0</v>
      </c>
      <c r="L9" s="78"/>
      <c r="M9" s="78"/>
    </row>
    <row r="10" spans="1:193" ht="14.45" customHeight="1" x14ac:dyDescent="0.25">
      <c r="A10" s="76">
        <v>690022</v>
      </c>
      <c r="B10" s="458" t="str">
        <f>VLOOKUP(A10,'Tabela de Códigos e Valores'!A:B,2,FALSE)</f>
        <v>Auxiliar de limpeza área médica - diurno - 44 horas semanais</v>
      </c>
      <c r="C10" s="459"/>
      <c r="D10" s="459"/>
      <c r="E10" s="460"/>
      <c r="F10" s="172" t="str">
        <f>VLOOKUP($A10,'Tabela de Códigos e Valores'!$A:$M,5,FALSE)</f>
        <v>Posto</v>
      </c>
      <c r="G10" s="172" t="str">
        <f>VLOOKUP($A10,'Tabela de Códigos e Valores'!$A:$M,6,FALSE)</f>
        <v>Mensal</v>
      </c>
      <c r="H10" s="233">
        <f>SUMIFS('Relatório Custo'!$K:$K,'Relatório Custo'!$E:$E,$A10,'Relatório Custo'!$C:$C,'Custo  Resumido por local'!$C$1)</f>
        <v>0</v>
      </c>
      <c r="I10" s="77">
        <f>IF(F10="Posto",SUMIFS('Relatório Custo'!$Z:$Z,'Relatório Custo'!$E:$E,$A10,'Relatório Custo'!$C:$C,'Custo  Resumido por local'!$C$1),0)</f>
        <v>0</v>
      </c>
      <c r="J10" s="77">
        <f>SUMIFS('Relatório Custo'!$V:$V,'Relatório Custo'!$E:$E,$A10,'Relatório Custo'!$C:$C,'Custo  Resumido por local'!$C$1)</f>
        <v>0</v>
      </c>
      <c r="K10" s="77">
        <f>SUMIFS('Relatório Custo'!$X:$X,'Relatório Custo'!$E:$E,$A10,'Relatório Custo'!$C:$C,'Custo  Resumido por local'!$C$1)</f>
        <v>0</v>
      </c>
      <c r="L10" s="78"/>
      <c r="M10" s="78"/>
    </row>
    <row r="11" spans="1:193" ht="14.45" customHeight="1" x14ac:dyDescent="0.25">
      <c r="A11" s="76">
        <v>690029</v>
      </c>
      <c r="B11" s="458" t="str">
        <f>VLOOKUP(A11,'Tabela de Códigos e Valores'!A:B,2,FALSE)</f>
        <v>Serviço de limpeza de vidros sem exposição à situação de risco</v>
      </c>
      <c r="C11" s="459"/>
      <c r="D11" s="459"/>
      <c r="E11" s="460"/>
      <c r="F11" s="172" t="str">
        <f>VLOOKUP($A11,'Tabela de Códigos e Valores'!$A:$M,5,FALSE)</f>
        <v>M2</v>
      </c>
      <c r="G11" s="172" t="str">
        <f>VLOOKUP($A11,'Tabela de Códigos e Valores'!$A:$M,6,FALSE)</f>
        <v>Trimestral</v>
      </c>
      <c r="H11" s="233">
        <f>SUMIFS('Relatório Custo'!$K:$K,'Relatório Custo'!$E:$E,$A11,'Relatório Custo'!$C:$C,'Custo  Resumido por local'!$C$1)</f>
        <v>3556</v>
      </c>
      <c r="I11" s="77">
        <f>IF(F11="Posto",SUMIFS('Relatório Custo'!$Z:$Z,'Relatório Custo'!$E:$E,$A11,'Relatório Custo'!$C:$C,'Custo  Resumido por local'!$C$1),0)</f>
        <v>0</v>
      </c>
      <c r="J11" s="77">
        <f>SUMIFS('Relatório Custo'!$V:$V,'Relatório Custo'!$E:$E,$A11,'Relatório Custo'!$C:$C,'Custo  Resumido por local'!$C$1)</f>
        <v>0</v>
      </c>
      <c r="K11" s="77">
        <f>SUMIFS('Relatório Custo'!$X:$X,'Relatório Custo'!$E:$E,$A11,'Relatório Custo'!$C:$C,'Custo  Resumido por local'!$C$1)</f>
        <v>0</v>
      </c>
      <c r="L11" s="78"/>
      <c r="M11" s="78"/>
    </row>
    <row r="12" spans="1:193" ht="14.45" customHeight="1" x14ac:dyDescent="0.25">
      <c r="A12" s="76">
        <v>690032</v>
      </c>
      <c r="B12" s="458" t="str">
        <f>VLOOKUP(A12,'Tabela de Códigos e Valores'!A:B,2,FALSE)</f>
        <v>Auxiliar de limpeza - diurno - 44 horas semanais (segunda a sábado)</v>
      </c>
      <c r="C12" s="459"/>
      <c r="D12" s="459"/>
      <c r="E12" s="460"/>
      <c r="F12" s="172" t="str">
        <f>VLOOKUP($A12,'Tabela de Códigos e Valores'!$A:$M,5,FALSE)</f>
        <v>Posto</v>
      </c>
      <c r="G12" s="172" t="str">
        <f>VLOOKUP($A12,'Tabela de Códigos e Valores'!$A:$M,6,FALSE)</f>
        <v>Mensal</v>
      </c>
      <c r="H12" s="233">
        <f>SUMIFS('Relatório Custo'!$K:$K,'Relatório Custo'!$E:$E,$A12,'Relatório Custo'!$C:$C,'Custo  Resumido por local'!$C$1)</f>
        <v>0</v>
      </c>
      <c r="I12" s="77">
        <f>IF(F12="Posto",SUMIFS('Relatório Custo'!$Z:$Z,'Relatório Custo'!$E:$E,$A12,'Relatório Custo'!$C:$C,'Custo  Resumido por local'!$C$1),0)</f>
        <v>0</v>
      </c>
      <c r="J12" s="77">
        <f>SUMIFS('Relatório Custo'!$V:$V,'Relatório Custo'!$E:$E,$A12,'Relatório Custo'!$C:$C,'Custo  Resumido por local'!$C$1)</f>
        <v>0</v>
      </c>
      <c r="K12" s="77">
        <f>SUMIFS('Relatório Custo'!$X:$X,'Relatório Custo'!$E:$E,$A12,'Relatório Custo'!$C:$C,'Custo  Resumido por local'!$C$1)</f>
        <v>0</v>
      </c>
      <c r="L12" s="78"/>
      <c r="M12" s="78"/>
    </row>
    <row r="13" spans="1:193" s="82" customFormat="1" ht="14.45" customHeight="1" x14ac:dyDescent="0.25">
      <c r="A13" s="76">
        <v>690037</v>
      </c>
      <c r="B13" s="458" t="str">
        <f>VLOOKUP(A13,'Tabela de Códigos e Valores'!A:B,2,FALSE)</f>
        <v>Agente de Higienização (Tempo Integral) - (40%) - 44 horas semanais</v>
      </c>
      <c r="C13" s="459"/>
      <c r="D13" s="459"/>
      <c r="E13" s="460"/>
      <c r="F13" s="172" t="str">
        <f>VLOOKUP($A13,'Tabela de Códigos e Valores'!$A:$M,5,FALSE)</f>
        <v>Posto</v>
      </c>
      <c r="G13" s="172" t="str">
        <f>VLOOKUP($A13,'Tabela de Códigos e Valores'!$A:$M,6,FALSE)</f>
        <v>Mensal</v>
      </c>
      <c r="H13" s="233">
        <f>SUMIFS('Relatório Custo'!$K:$K,'Relatório Custo'!$E:$E,$A13,'Relatório Custo'!$C:$C,'Custo  Resumido por local'!$C$1)</f>
        <v>6</v>
      </c>
      <c r="I13" s="77">
        <f>IF(F13="Posto",SUMIFS('Relatório Custo'!$Z:$Z,'Relatório Custo'!$E:$E,$A13,'Relatório Custo'!$C:$C,'Custo  Resumido por local'!$C$1),0)</f>
        <v>0</v>
      </c>
      <c r="J13" s="77">
        <f>SUMIFS('Relatório Custo'!$V:$V,'Relatório Custo'!$E:$E,$A13,'Relatório Custo'!$C:$C,'Custo  Resumido por local'!$C$1)</f>
        <v>0</v>
      </c>
      <c r="K13" s="77">
        <f>SUMIFS('Relatório Custo'!$X:$X,'Relatório Custo'!$E:$E,$A13,'Relatório Custo'!$C:$C,'Custo  Resumido por local'!$C$1)</f>
        <v>0</v>
      </c>
      <c r="L13" s="80"/>
      <c r="M13" s="80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1"/>
      <c r="BT13" s="81"/>
      <c r="BU13" s="81"/>
      <c r="BV13" s="81"/>
      <c r="BW13" s="81"/>
      <c r="BX13" s="81"/>
      <c r="BY13" s="81"/>
      <c r="BZ13" s="81"/>
      <c r="CA13" s="81"/>
      <c r="CB13" s="81"/>
      <c r="CC13" s="81"/>
      <c r="CD13" s="81"/>
      <c r="CE13" s="81"/>
      <c r="CF13" s="81"/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1"/>
      <c r="CZ13" s="81"/>
      <c r="DA13" s="81"/>
      <c r="DB13" s="81"/>
      <c r="DC13" s="81"/>
      <c r="DD13" s="81"/>
      <c r="DE13" s="81"/>
      <c r="DF13" s="81"/>
      <c r="DG13" s="81"/>
      <c r="DH13" s="81"/>
      <c r="DI13" s="81"/>
      <c r="DJ13" s="81"/>
      <c r="DK13" s="81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1"/>
      <c r="EB13" s="81"/>
      <c r="EC13" s="81"/>
      <c r="ED13" s="81"/>
      <c r="EE13" s="81"/>
      <c r="EF13" s="81"/>
      <c r="EG13" s="81"/>
      <c r="EH13" s="81"/>
      <c r="EI13" s="81"/>
      <c r="EJ13" s="81"/>
      <c r="EK13" s="81"/>
      <c r="EL13" s="81"/>
      <c r="EM13" s="81"/>
      <c r="EN13" s="81"/>
      <c r="EO13" s="81"/>
      <c r="EP13" s="81"/>
      <c r="EQ13" s="81"/>
      <c r="ER13" s="81"/>
      <c r="ES13" s="81"/>
      <c r="ET13" s="81"/>
      <c r="EU13" s="81"/>
      <c r="EV13" s="81"/>
      <c r="EW13" s="81"/>
      <c r="EX13" s="81"/>
      <c r="EY13" s="81"/>
      <c r="EZ13" s="81"/>
      <c r="FA13" s="81"/>
      <c r="FB13" s="81"/>
      <c r="FC13" s="81"/>
      <c r="FD13" s="81"/>
      <c r="FE13" s="81"/>
      <c r="FF13" s="81"/>
      <c r="FG13" s="81"/>
      <c r="FH13" s="81"/>
      <c r="FI13" s="81"/>
      <c r="FJ13" s="81"/>
      <c r="FK13" s="81"/>
      <c r="FL13" s="81"/>
      <c r="FM13" s="81"/>
      <c r="FN13" s="81"/>
      <c r="FO13" s="81"/>
      <c r="FP13" s="81"/>
      <c r="FQ13" s="81"/>
      <c r="FR13" s="81"/>
      <c r="FS13" s="81"/>
      <c r="FT13" s="81"/>
      <c r="FU13" s="81"/>
      <c r="FV13" s="81"/>
      <c r="FW13" s="81"/>
      <c r="FX13" s="81"/>
      <c r="FY13" s="81"/>
      <c r="FZ13" s="81"/>
      <c r="GA13" s="81"/>
      <c r="GB13" s="81"/>
      <c r="GC13" s="81"/>
      <c r="GD13" s="81"/>
      <c r="GE13" s="81"/>
      <c r="GF13" s="81"/>
      <c r="GG13" s="81"/>
      <c r="GH13" s="81"/>
      <c r="GI13" s="81"/>
      <c r="GJ13" s="81"/>
      <c r="GK13" s="81"/>
    </row>
    <row r="14" spans="1:193" ht="14.45" customHeight="1" x14ac:dyDescent="0.25">
      <c r="A14" s="76">
        <v>690056</v>
      </c>
      <c r="B14" s="458" t="str">
        <f>VLOOKUP(A14,'Tabela de Códigos e Valores'!A:B,2,FALSE)</f>
        <v>Encarregado(a) 11 ou mais subordinados - diurno - 44 horas semanais</v>
      </c>
      <c r="C14" s="459"/>
      <c r="D14" s="459"/>
      <c r="E14" s="460"/>
      <c r="F14" s="172" t="str">
        <f>VLOOKUP($A14,'Tabela de Códigos e Valores'!$A:$M,5,FALSE)</f>
        <v>Posto</v>
      </c>
      <c r="G14" s="172" t="str">
        <f>VLOOKUP($A14,'Tabela de Códigos e Valores'!$A:$M,6,FALSE)</f>
        <v>Mensal</v>
      </c>
      <c r="H14" s="233">
        <f>SUMIFS('Relatório Custo'!$K:$K,'Relatório Custo'!$E:$E,$A14,'Relatório Custo'!$C:$C,'Custo  Resumido por local'!$C$1)</f>
        <v>1</v>
      </c>
      <c r="I14" s="77">
        <f>IF(F14="Posto",SUMIFS('Relatório Custo'!$Z:$Z,'Relatório Custo'!$E:$E,$A14,'Relatório Custo'!$C:$C,'Custo  Resumido por local'!$C$1),0)</f>
        <v>0</v>
      </c>
      <c r="J14" s="77">
        <f>SUMIFS('Relatório Custo'!$V:$V,'Relatório Custo'!$E:$E,$A14,'Relatório Custo'!$C:$C,'Custo  Resumido por local'!$C$1)</f>
        <v>0</v>
      </c>
      <c r="K14" s="77">
        <f>SUMIFS('Relatório Custo'!$X:$X,'Relatório Custo'!$E:$E,$A14,'Relatório Custo'!$C:$C,'Custo  Resumido por local'!$C$1)</f>
        <v>0</v>
      </c>
      <c r="L14" s="78"/>
      <c r="M14" s="78"/>
    </row>
    <row r="15" spans="1:193" x14ac:dyDescent="0.25">
      <c r="A15" s="462" t="s">
        <v>207</v>
      </c>
      <c r="B15" s="463"/>
      <c r="C15" s="463"/>
      <c r="D15" s="463"/>
      <c r="E15" s="463"/>
      <c r="F15" s="463"/>
      <c r="G15" s="463"/>
      <c r="H15" s="464"/>
      <c r="I15" s="83">
        <f>ROUND(SUBTOTAL(9,I5:I14),2)</f>
        <v>0</v>
      </c>
      <c r="J15" s="83"/>
      <c r="K15" s="83">
        <f>ROUND(SUBTOTAL(9,K5:K14),2)</f>
        <v>0</v>
      </c>
      <c r="L15" s="84"/>
      <c r="M15" s="84"/>
      <c r="N15" s="84"/>
      <c r="O15" s="78"/>
    </row>
    <row r="16" spans="1:193" x14ac:dyDescent="0.25">
      <c r="A16" s="85" t="s">
        <v>208</v>
      </c>
      <c r="B16" s="86"/>
      <c r="C16" s="86"/>
      <c r="D16" s="229"/>
      <c r="E16" s="86"/>
      <c r="F16" s="86"/>
      <c r="G16" s="86"/>
      <c r="H16" s="86"/>
      <c r="I16" s="86"/>
      <c r="J16" s="86"/>
      <c r="K16" s="145"/>
      <c r="L16" s="78"/>
      <c r="M16" s="78"/>
      <c r="N16" s="78"/>
      <c r="O16" s="78"/>
    </row>
    <row r="17" spans="1:193" x14ac:dyDescent="0.25">
      <c r="A17" s="444" t="s">
        <v>81</v>
      </c>
      <c r="B17" s="445"/>
      <c r="C17" s="445"/>
      <c r="D17" s="445"/>
      <c r="E17" s="445"/>
      <c r="F17" s="445"/>
      <c r="G17" s="445"/>
      <c r="H17" s="445"/>
      <c r="I17" s="445"/>
      <c r="J17" s="445"/>
      <c r="K17" s="446"/>
    </row>
    <row r="18" spans="1:193" x14ac:dyDescent="0.25">
      <c r="A18" s="104" t="s">
        <v>209</v>
      </c>
      <c r="B18" s="166" t="s">
        <v>210</v>
      </c>
      <c r="C18" s="167"/>
      <c r="D18" s="167"/>
      <c r="E18" s="167"/>
      <c r="F18" s="167"/>
      <c r="G18" s="167"/>
      <c r="H18" s="167"/>
      <c r="I18" s="168"/>
      <c r="J18" s="172"/>
      <c r="K18" s="87">
        <f>$I$15</f>
        <v>0</v>
      </c>
    </row>
    <row r="19" spans="1:193" x14ac:dyDescent="0.25">
      <c r="A19" s="104" t="s">
        <v>211</v>
      </c>
      <c r="B19" s="166" t="s">
        <v>71</v>
      </c>
      <c r="C19" s="167"/>
      <c r="D19" s="167"/>
      <c r="E19" s="167"/>
      <c r="F19" s="167"/>
      <c r="G19" s="167"/>
      <c r="H19" s="167"/>
      <c r="I19" s="167"/>
      <c r="J19" s="88">
        <f>'Indicadores Financeiros'!$J$28</f>
        <v>8.9300000000000004E-2</v>
      </c>
      <c r="K19" s="465"/>
    </row>
    <row r="20" spans="1:193" x14ac:dyDescent="0.25">
      <c r="A20" s="104" t="s">
        <v>212</v>
      </c>
      <c r="B20" s="166" t="s">
        <v>74</v>
      </c>
      <c r="C20" s="167"/>
      <c r="D20" s="167"/>
      <c r="E20" s="167"/>
      <c r="F20" s="167"/>
      <c r="G20" s="167"/>
      <c r="H20" s="167"/>
      <c r="I20" s="167"/>
      <c r="J20" s="88">
        <f>'Indicadores Financeiros'!$J$55</f>
        <v>8.9300000000000004E-2</v>
      </c>
      <c r="K20" s="466"/>
    </row>
    <row r="21" spans="1:193" x14ac:dyDescent="0.25">
      <c r="A21" s="104" t="s">
        <v>213</v>
      </c>
      <c r="B21" s="166" t="s">
        <v>82</v>
      </c>
      <c r="C21" s="167"/>
      <c r="D21" s="167"/>
      <c r="E21" s="167"/>
      <c r="F21" s="167"/>
      <c r="G21" s="167"/>
      <c r="H21" s="167"/>
      <c r="I21" s="167"/>
      <c r="J21" s="88">
        <f>'Indicadores Financeiros'!$J$29</f>
        <v>2.98E-2</v>
      </c>
      <c r="K21" s="466"/>
    </row>
    <row r="22" spans="1:193" x14ac:dyDescent="0.25">
      <c r="A22" s="104" t="s">
        <v>214</v>
      </c>
      <c r="B22" s="166" t="s">
        <v>215</v>
      </c>
      <c r="C22" s="167"/>
      <c r="D22" s="167"/>
      <c r="E22" s="167"/>
      <c r="F22" s="168"/>
      <c r="G22" s="89"/>
      <c r="H22" s="90" t="s">
        <v>41</v>
      </c>
      <c r="I22" s="91">
        <f>'Indicadores Financeiros'!$J$25</f>
        <v>0.33800000000000008</v>
      </c>
      <c r="J22" s="88">
        <f>ROUND(I22*SUM(J19:J21),4)</f>
        <v>7.0400000000000004E-2</v>
      </c>
      <c r="K22" s="466"/>
    </row>
    <row r="23" spans="1:193" x14ac:dyDescent="0.25">
      <c r="A23" s="104" t="s">
        <v>216</v>
      </c>
      <c r="B23" s="166" t="s">
        <v>84</v>
      </c>
      <c r="C23" s="167"/>
      <c r="D23" s="167"/>
      <c r="E23" s="167"/>
      <c r="F23" s="167"/>
      <c r="G23" s="167"/>
      <c r="H23" s="167"/>
      <c r="I23" s="167"/>
      <c r="J23" s="88">
        <f>'Indicadores Financeiros'!$J$52</f>
        <v>3.4799999999999998E-2</v>
      </c>
      <c r="K23" s="467"/>
    </row>
    <row r="24" spans="1:193" x14ac:dyDescent="0.25">
      <c r="A24" s="447" t="s">
        <v>217</v>
      </c>
      <c r="B24" s="448"/>
      <c r="C24" s="448"/>
      <c r="D24" s="448"/>
      <c r="E24" s="448"/>
      <c r="F24" s="448"/>
      <c r="G24" s="448"/>
      <c r="H24" s="448"/>
      <c r="I24" s="449"/>
      <c r="J24" s="92">
        <f>ROUND(SUM(J19:J23),4)</f>
        <v>0.31359999999999999</v>
      </c>
      <c r="K24" s="93">
        <f>ROUND($J$24*$K$18,2)</f>
        <v>0</v>
      </c>
      <c r="L24" s="78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</row>
    <row r="25" spans="1:193" ht="6.6" customHeight="1" x14ac:dyDescent="0.25">
      <c r="A25" s="169"/>
      <c r="B25" s="169"/>
      <c r="C25" s="169"/>
      <c r="D25" s="167"/>
      <c r="E25" s="169"/>
      <c r="F25" s="169"/>
      <c r="G25" s="169"/>
      <c r="H25" s="169"/>
      <c r="I25" s="169"/>
      <c r="J25" s="169"/>
      <c r="K25" s="142"/>
      <c r="L25" s="94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</row>
    <row r="26" spans="1:193" x14ac:dyDescent="0.25">
      <c r="A26" s="444" t="s">
        <v>218</v>
      </c>
      <c r="B26" s="450"/>
      <c r="C26" s="450"/>
      <c r="D26" s="450"/>
      <c r="E26" s="450"/>
      <c r="F26" s="450"/>
      <c r="G26" s="450"/>
      <c r="H26" s="450"/>
      <c r="I26" s="450"/>
      <c r="J26" s="450"/>
      <c r="K26" s="432"/>
      <c r="L26" s="94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</row>
    <row r="27" spans="1:193" x14ac:dyDescent="0.25">
      <c r="A27" s="438" t="s">
        <v>219</v>
      </c>
      <c r="B27" s="439"/>
      <c r="C27" s="435" t="s">
        <v>154</v>
      </c>
      <c r="D27" s="436"/>
      <c r="E27" s="436"/>
      <c r="F27" s="436"/>
      <c r="G27" s="436"/>
      <c r="H27" s="437"/>
      <c r="I27" s="451" t="s">
        <v>220</v>
      </c>
      <c r="J27" s="451" t="s">
        <v>221</v>
      </c>
      <c r="K27" s="451" t="s">
        <v>222</v>
      </c>
      <c r="L27" s="94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</row>
    <row r="28" spans="1:193" x14ac:dyDescent="0.25">
      <c r="A28" s="440"/>
      <c r="B28" s="441"/>
      <c r="C28" s="442" t="s">
        <v>223</v>
      </c>
      <c r="D28" s="443"/>
      <c r="E28" s="442" t="s">
        <v>224</v>
      </c>
      <c r="F28" s="443"/>
      <c r="G28" s="435" t="s">
        <v>225</v>
      </c>
      <c r="H28" s="437"/>
      <c r="I28" s="452"/>
      <c r="J28" s="452"/>
      <c r="K28" s="452"/>
      <c r="L28" s="94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</row>
    <row r="29" spans="1:193" x14ac:dyDescent="0.25">
      <c r="A29" s="431">
        <v>1</v>
      </c>
      <c r="B29" s="432"/>
      <c r="C29" s="246">
        <f>IF(A29&lt;='Indicadores Financeiros'!$F$14,SUMIFS('Relatório Custo'!$V:$V,'Relatório Custo'!$H:$H,'Custo  Resumido por local'!$C$28,'Relatório Custo'!$W:$W,"&lt;="&amp;'Custo  Resumido por local'!$A29,'Relatório Custo'!$C:$C,'Custo  Resumido por local'!$C$1),0)</f>
        <v>0</v>
      </c>
      <c r="D29" s="247"/>
      <c r="E29" s="433"/>
      <c r="F29" s="434"/>
      <c r="G29" s="433"/>
      <c r="H29" s="434"/>
      <c r="I29" s="77">
        <f t="shared" ref="I29:I40" si="0">C29+E29+G29</f>
        <v>0</v>
      </c>
      <c r="J29" s="77">
        <f>IF(A29&lt;='Indicadores Financeiros'!$F$14,SUMIFS('Relatório Custo'!$Z:$Z,'Relatório Custo'!$W:$W,"&lt;="&amp;'Custo  Resumido por local'!$A29,'Relatório Custo'!$C:$C,'Custo  Resumido por local'!$C$1),0)</f>
        <v>0</v>
      </c>
      <c r="K29" s="106">
        <f>ROUND(IF(A29&lt;='Indicadores Financeiros'!$F$14,SUMIFS('Relatório Custo'!$AA:$AA,'Relatório Custo'!$W:$W,"&lt;="&amp;'Custo  Resumido por local'!$A29,'Relatório Custo'!$C:$C,'Custo  Resumido por local'!$C$1),0),2)</f>
        <v>0</v>
      </c>
      <c r="L29" s="147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</row>
    <row r="30" spans="1:193" x14ac:dyDescent="0.25">
      <c r="A30" s="431">
        <v>2</v>
      </c>
      <c r="B30" s="432"/>
      <c r="C30" s="246">
        <f>IF(A30&lt;='Indicadores Financeiros'!$F$14,SUMIFS('Relatório Custo'!$V:$V,'Relatório Custo'!$H:$H,'Custo  Resumido por local'!$C$28,'Relatório Custo'!$W:$W,"&lt;="&amp;'Custo  Resumido por local'!$A30,'Relatório Custo'!$C:$C,'Custo  Resumido por local'!$C$1),0)</f>
        <v>0</v>
      </c>
      <c r="D30" s="247"/>
      <c r="E30" s="433">
        <f>IF(A30&lt;='Indicadores Financeiros'!$F$14,SUMIFS('Relatório Custo'!$V:$V,'Relatório Custo'!$H:$H,'Custo  Resumido por local'!$E$28,'Relatório Custo'!$W:$W,"&lt;="&amp;'Custo  Resumido por local'!$A30,'Relatório Custo'!$C:$C,'Custo  Resumido por local'!$C$1),0)</f>
        <v>0</v>
      </c>
      <c r="F30" s="434"/>
      <c r="G30" s="433"/>
      <c r="H30" s="434"/>
      <c r="I30" s="77">
        <f t="shared" si="0"/>
        <v>0</v>
      </c>
      <c r="J30" s="77">
        <f>IF(A30&lt;='Indicadores Financeiros'!$F$14,SUMIFS('Relatório Custo'!$Z:$Z,'Relatório Custo'!$W:$W,"&lt;="&amp;'Custo  Resumido por local'!$A30,'Relatório Custo'!$C:$C,'Custo  Resumido por local'!$C$1),0)</f>
        <v>0</v>
      </c>
      <c r="K30" s="106">
        <f>ROUND(IF(A30&lt;='Indicadores Financeiros'!$F$14,SUMIFS('Relatório Custo'!$AA:$AA,'Relatório Custo'!$W:$W,"&lt;="&amp;'Custo  Resumido por local'!$A30,'Relatório Custo'!$C:$C,'Custo  Resumido por local'!$C$1),0),2)</f>
        <v>0</v>
      </c>
      <c r="L30" s="94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</row>
    <row r="31" spans="1:193" ht="13.9" customHeight="1" x14ac:dyDescent="0.25">
      <c r="A31" s="431">
        <v>3</v>
      </c>
      <c r="B31" s="432"/>
      <c r="C31" s="246">
        <f>IF(A31&lt;='Indicadores Financeiros'!$F$14,SUMIFS('Relatório Custo'!$V:$V,'Relatório Custo'!$H:$H,'Custo  Resumido por local'!$C$28,'Relatório Custo'!$W:$W,"&lt;="&amp;'Custo  Resumido por local'!$A31,'Relatório Custo'!$C:$C,'Custo  Resumido por local'!$C$1),0)</f>
        <v>0</v>
      </c>
      <c r="D31" s="247"/>
      <c r="E31" s="433"/>
      <c r="F31" s="434"/>
      <c r="G31" s="433"/>
      <c r="H31" s="434"/>
      <c r="I31" s="77">
        <f t="shared" si="0"/>
        <v>0</v>
      </c>
      <c r="J31" s="77">
        <f>IF(A31&lt;='Indicadores Financeiros'!$F$14,SUMIFS('Relatório Custo'!$Z:$Z,'Relatório Custo'!$W:$W,"&lt;="&amp;'Custo  Resumido por local'!$A31,'Relatório Custo'!$C:$C,'Custo  Resumido por local'!$C$1),0)</f>
        <v>0</v>
      </c>
      <c r="K31" s="106">
        <f>ROUND(IF(A31&lt;='Indicadores Financeiros'!$F$14,SUMIFS('Relatório Custo'!$AA:$AA,'Relatório Custo'!$W:$W,"&lt;="&amp;'Custo  Resumido por local'!$A31,'Relatório Custo'!$C:$C,'Custo  Resumido por local'!$C$1),0),2)</f>
        <v>0</v>
      </c>
      <c r="L31" s="94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</row>
    <row r="32" spans="1:193" ht="13.9" customHeight="1" x14ac:dyDescent="0.25">
      <c r="A32" s="431">
        <v>4</v>
      </c>
      <c r="B32" s="432"/>
      <c r="C32" s="246">
        <f>IF(A32&lt;='Indicadores Financeiros'!$F$14,SUMIFS('Relatório Custo'!$V:$V,'Relatório Custo'!$H:$H,'Custo  Resumido por local'!$C$28,'Relatório Custo'!$W:$W,"&lt;="&amp;'Custo  Resumido por local'!$A32,'Relatório Custo'!$C:$C,'Custo  Resumido por local'!$C$1),0)</f>
        <v>0</v>
      </c>
      <c r="D32" s="247"/>
      <c r="E32" s="433"/>
      <c r="F32" s="434"/>
      <c r="G32" s="433"/>
      <c r="H32" s="434"/>
      <c r="I32" s="77">
        <f t="shared" si="0"/>
        <v>0</v>
      </c>
      <c r="J32" s="77">
        <f>IF(A32&lt;='Indicadores Financeiros'!$F$14,SUMIFS('Relatório Custo'!$Z:$Z,'Relatório Custo'!$W:$W,"&lt;="&amp;'Custo  Resumido por local'!$A32,'Relatório Custo'!$C:$C,'Custo  Resumido por local'!$C$1),0)</f>
        <v>0</v>
      </c>
      <c r="K32" s="106">
        <f>ROUND(IF(A32&lt;='Indicadores Financeiros'!$F$14,SUMIFS('Relatório Custo'!$AA:$AA,'Relatório Custo'!$W:$W,"&lt;="&amp;'Custo  Resumido por local'!$A32,'Relatório Custo'!$C:$C,'Custo  Resumido por local'!$C$1),0),2)</f>
        <v>0</v>
      </c>
      <c r="L32" s="94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</row>
    <row r="33" spans="1:193" ht="13.9" customHeight="1" x14ac:dyDescent="0.25">
      <c r="A33" s="431">
        <v>5</v>
      </c>
      <c r="B33" s="432"/>
      <c r="C33" s="246">
        <f>IF(A33&lt;='Indicadores Financeiros'!$F$14,SUMIFS('Relatório Custo'!$V:$V,'Relatório Custo'!$H:$H,'Custo  Resumido por local'!$C$28,'Relatório Custo'!$W:$W,"&lt;="&amp;'Custo  Resumido por local'!$A33,'Relatório Custo'!$C:$C,'Custo  Resumido por local'!$C$1),0)</f>
        <v>0</v>
      </c>
      <c r="D33" s="247"/>
      <c r="E33" s="433">
        <f>IF(A33&lt;='Indicadores Financeiros'!$F$14,SUMIFS('Relatório Custo'!$V:$V,'Relatório Custo'!$H:$H,'Custo  Resumido por local'!$E$28,'Relatório Custo'!$W:$W,"&lt;="&amp;'Custo  Resumido por local'!$A33,'Relatório Custo'!$C:$C,'Custo  Resumido por local'!$C$1),0)</f>
        <v>0</v>
      </c>
      <c r="F33" s="434"/>
      <c r="G33" s="433"/>
      <c r="H33" s="434"/>
      <c r="I33" s="77">
        <f t="shared" si="0"/>
        <v>0</v>
      </c>
      <c r="J33" s="77">
        <f>IF(A33&lt;='Indicadores Financeiros'!$F$14,SUMIFS('Relatório Custo'!$Z:$Z,'Relatório Custo'!$W:$W,"&lt;="&amp;'Custo  Resumido por local'!$A33,'Relatório Custo'!$C:$C,'Custo  Resumido por local'!$C$1),0)</f>
        <v>0</v>
      </c>
      <c r="K33" s="106">
        <f>ROUND(IF(A33&lt;='Indicadores Financeiros'!$F$14,SUMIFS('Relatório Custo'!$AA:$AA,'Relatório Custo'!$W:$W,"&lt;="&amp;'Custo  Resumido por local'!$A33,'Relatório Custo'!$C:$C,'Custo  Resumido por local'!$C$1),0),2)</f>
        <v>0</v>
      </c>
      <c r="L33" s="94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</row>
    <row r="34" spans="1:193" ht="13.9" customHeight="1" x14ac:dyDescent="0.25">
      <c r="A34" s="431">
        <v>6</v>
      </c>
      <c r="B34" s="432"/>
      <c r="C34" s="246">
        <f>IF(A34&lt;='Indicadores Financeiros'!$F$14,SUMIFS('Relatório Custo'!$V:$V,'Relatório Custo'!$H:$H,'Custo  Resumido por local'!$C$28,'Relatório Custo'!$W:$W,"&lt;="&amp;'Custo  Resumido por local'!$A34,'Relatório Custo'!$C:$C,'Custo  Resumido por local'!$C$1),0)</f>
        <v>0</v>
      </c>
      <c r="D34" s="247"/>
      <c r="E34" s="433"/>
      <c r="F34" s="434"/>
      <c r="G34" s="433"/>
      <c r="H34" s="434"/>
      <c r="I34" s="77">
        <f t="shared" si="0"/>
        <v>0</v>
      </c>
      <c r="J34" s="77">
        <f>IF(A34&lt;='Indicadores Financeiros'!$F$14,SUMIFS('Relatório Custo'!$Z:$Z,'Relatório Custo'!$W:$W,"&lt;="&amp;'Custo  Resumido por local'!$A34,'Relatório Custo'!$C:$C,'Custo  Resumido por local'!$C$1),0)</f>
        <v>0</v>
      </c>
      <c r="K34" s="106">
        <f>ROUND(IF(A34&lt;='Indicadores Financeiros'!$F$14,SUMIFS('Relatório Custo'!$AA:$AA,'Relatório Custo'!$W:$W,"&lt;="&amp;'Custo  Resumido por local'!$A34,'Relatório Custo'!$C:$C,'Custo  Resumido por local'!$C$1),0),2)</f>
        <v>0</v>
      </c>
      <c r="L34" s="9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</row>
    <row r="35" spans="1:193" ht="13.9" customHeight="1" x14ac:dyDescent="0.25">
      <c r="A35" s="431">
        <v>7</v>
      </c>
      <c r="B35" s="432"/>
      <c r="C35" s="246">
        <f>IF(A35&lt;='Indicadores Financeiros'!$F$14,SUMIFS('Relatório Custo'!$V:$V,'Relatório Custo'!$H:$H,'Custo  Resumido por local'!$C$28,'Relatório Custo'!$W:$W,"&lt;="&amp;'Custo  Resumido por local'!$A35,'Relatório Custo'!$C:$C,'Custo  Resumido por local'!$C$1),0)</f>
        <v>0</v>
      </c>
      <c r="D35" s="247"/>
      <c r="E35" s="433"/>
      <c r="F35" s="434"/>
      <c r="G35" s="433"/>
      <c r="H35" s="434"/>
      <c r="I35" s="77">
        <f t="shared" si="0"/>
        <v>0</v>
      </c>
      <c r="J35" s="77">
        <f>IF(A35&lt;='Indicadores Financeiros'!$F$14,SUMIFS('Relatório Custo'!$Z:$Z,'Relatório Custo'!$W:$W,"&lt;="&amp;'Custo  Resumido por local'!$A35,'Relatório Custo'!$C:$C,'Custo  Resumido por local'!$C$1),0)</f>
        <v>0</v>
      </c>
      <c r="K35" s="106">
        <f>ROUND(IF(A35&lt;='Indicadores Financeiros'!$F$14,SUMIFS('Relatório Custo'!$AA:$AA,'Relatório Custo'!$W:$W,"&lt;="&amp;'Custo  Resumido por local'!$A35,'Relatório Custo'!$C:$C,'Custo  Resumido por local'!$C$1),0),2)</f>
        <v>0</v>
      </c>
      <c r="L35" s="94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</row>
    <row r="36" spans="1:193" ht="13.9" customHeight="1" x14ac:dyDescent="0.25">
      <c r="A36" s="431">
        <v>8</v>
      </c>
      <c r="B36" s="432"/>
      <c r="C36" s="246">
        <f>IF(A36&lt;='Indicadores Financeiros'!$F$14,SUMIFS('Relatório Custo'!$V:$V,'Relatório Custo'!$H:$H,'Custo  Resumido por local'!$C$28,'Relatório Custo'!$W:$W,"&lt;="&amp;'Custo  Resumido por local'!$A36,'Relatório Custo'!$C:$C,'Custo  Resumido por local'!$C$1),0)</f>
        <v>0</v>
      </c>
      <c r="D36" s="247"/>
      <c r="E36" s="433">
        <f>IF(A36&lt;='Indicadores Financeiros'!$F$14,SUMIFS('Relatório Custo'!$V:$V,'Relatório Custo'!$H:$H,'Custo  Resumido por local'!$E$28,'Relatório Custo'!$W:$W,"&lt;="&amp;'Custo  Resumido por local'!$A36,'Relatório Custo'!$C:$C,'Custo  Resumido por local'!$C$1),0)</f>
        <v>0</v>
      </c>
      <c r="F36" s="434"/>
      <c r="G36" s="433"/>
      <c r="H36" s="434"/>
      <c r="I36" s="77">
        <f t="shared" si="0"/>
        <v>0</v>
      </c>
      <c r="J36" s="77">
        <f>IF(A36&lt;='Indicadores Financeiros'!$F$14,SUMIFS('Relatório Custo'!$Z:$Z,'Relatório Custo'!$W:$W,"&lt;="&amp;'Custo  Resumido por local'!$A36,'Relatório Custo'!$C:$C,'Custo  Resumido por local'!$C$1),0)</f>
        <v>0</v>
      </c>
      <c r="K36" s="106">
        <f>ROUND(IF(A36&lt;='Indicadores Financeiros'!$F$14,SUMIFS('Relatório Custo'!$AA:$AA,'Relatório Custo'!$W:$W,"&lt;="&amp;'Custo  Resumido por local'!$A36,'Relatório Custo'!$C:$C,'Custo  Resumido por local'!$C$1),0),2)</f>
        <v>0</v>
      </c>
      <c r="L36" s="94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</row>
    <row r="37" spans="1:193" ht="13.9" customHeight="1" x14ac:dyDescent="0.25">
      <c r="A37" s="431">
        <v>9</v>
      </c>
      <c r="B37" s="432"/>
      <c r="C37" s="246">
        <f>IF(A37&lt;='Indicadores Financeiros'!$F$14,SUMIFS('Relatório Custo'!$V:$V,'Relatório Custo'!$H:$H,'Custo  Resumido por local'!$C$28,'Relatório Custo'!$W:$W,"&lt;="&amp;'Custo  Resumido por local'!$A37,'Relatório Custo'!$C:$C,'Custo  Resumido por local'!$C$1),0)</f>
        <v>0</v>
      </c>
      <c r="D37" s="247"/>
      <c r="E37" s="433"/>
      <c r="F37" s="434"/>
      <c r="G37" s="433"/>
      <c r="H37" s="434"/>
      <c r="I37" s="77">
        <f t="shared" si="0"/>
        <v>0</v>
      </c>
      <c r="J37" s="77">
        <f>IF(A37&lt;='Indicadores Financeiros'!$F$14,SUMIFS('Relatório Custo'!$Z:$Z,'Relatório Custo'!$W:$W,"&lt;="&amp;'Custo  Resumido por local'!$A37,'Relatório Custo'!$C:$C,'Custo  Resumido por local'!$C$1),0)</f>
        <v>0</v>
      </c>
      <c r="K37" s="106">
        <f>ROUND(IF(A37&lt;='Indicadores Financeiros'!$F$14,SUMIFS('Relatório Custo'!$AA:$AA,'Relatório Custo'!$W:$W,"&lt;="&amp;'Custo  Resumido por local'!$A37,'Relatório Custo'!$C:$C,'Custo  Resumido por local'!$C$1),0),2)</f>
        <v>0</v>
      </c>
      <c r="L37" s="94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</row>
    <row r="38" spans="1:193" ht="13.9" customHeight="1" x14ac:dyDescent="0.25">
      <c r="A38" s="431">
        <v>10</v>
      </c>
      <c r="B38" s="432"/>
      <c r="C38" s="246">
        <f>IF(A38&lt;='Indicadores Financeiros'!$F$14,SUMIFS('Relatório Custo'!$V:$V,'Relatório Custo'!$H:$H,'Custo  Resumido por local'!$C$28,'Relatório Custo'!$W:$W,"&lt;="&amp;'Custo  Resumido por local'!$A38,'Relatório Custo'!$C:$C,'Custo  Resumido por local'!$C$1),0)</f>
        <v>0</v>
      </c>
      <c r="D38" s="247"/>
      <c r="E38" s="433"/>
      <c r="F38" s="434"/>
      <c r="G38" s="433"/>
      <c r="H38" s="434"/>
      <c r="I38" s="77">
        <f t="shared" si="0"/>
        <v>0</v>
      </c>
      <c r="J38" s="77">
        <f>IF(A38&lt;='Indicadores Financeiros'!$F$14,SUMIFS('Relatório Custo'!$Z:$Z,'Relatório Custo'!$W:$W,"&lt;="&amp;'Custo  Resumido por local'!$A38,'Relatório Custo'!$C:$C,'Custo  Resumido por local'!$C$1),0)</f>
        <v>0</v>
      </c>
      <c r="K38" s="106">
        <f>ROUND(IF(A38&lt;='Indicadores Financeiros'!$F$14,SUMIFS('Relatório Custo'!$AA:$AA,'Relatório Custo'!$W:$W,"&lt;="&amp;'Custo  Resumido por local'!$A38,'Relatório Custo'!$C:$C,'Custo  Resumido por local'!$C$1),0),2)</f>
        <v>0</v>
      </c>
      <c r="L38" s="94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</row>
    <row r="39" spans="1:193" ht="13.9" customHeight="1" x14ac:dyDescent="0.25">
      <c r="A39" s="431">
        <v>11</v>
      </c>
      <c r="B39" s="432"/>
      <c r="C39" s="246">
        <f>IF(A39&lt;='Indicadores Financeiros'!$F$14,SUMIFS('Relatório Custo'!$V:$V,'Relatório Custo'!$H:$H,'Custo  Resumido por local'!$C$28,'Relatório Custo'!$W:$W,"&lt;="&amp;'Custo  Resumido por local'!$A39,'Relatório Custo'!$C:$C,'Custo  Resumido por local'!$C$1),0)</f>
        <v>0</v>
      </c>
      <c r="D39" s="247"/>
      <c r="E39" s="433">
        <f>IF(A39&lt;='Indicadores Financeiros'!$F$14,SUMIFS('Relatório Custo'!$V:$V,'Relatório Custo'!$H:$H,'Custo  Resumido por local'!$E$28,'Relatório Custo'!$W:$W,"&lt;="&amp;'Custo  Resumido por local'!$A39,'Relatório Custo'!$C:$C,'Custo  Resumido por local'!$C$1),0)</f>
        <v>0</v>
      </c>
      <c r="F39" s="434"/>
      <c r="G39" s="433"/>
      <c r="H39" s="434"/>
      <c r="I39" s="77">
        <f t="shared" si="0"/>
        <v>0</v>
      </c>
      <c r="J39" s="77">
        <f>IF(A39&lt;='Indicadores Financeiros'!$F$14,SUMIFS('Relatório Custo'!$Z:$Z,'Relatório Custo'!$W:$W,"&lt;="&amp;'Custo  Resumido por local'!$A39,'Relatório Custo'!$C:$C,'Custo  Resumido por local'!$C$1),0)</f>
        <v>0</v>
      </c>
      <c r="K39" s="106">
        <f>ROUND(IF(A39&lt;='Indicadores Financeiros'!$F$14,SUMIFS('Relatório Custo'!$AA:$AA,'Relatório Custo'!$W:$W,"&lt;="&amp;'Custo  Resumido por local'!$A39,'Relatório Custo'!$C:$C,'Custo  Resumido por local'!$C$1),0),2)</f>
        <v>0</v>
      </c>
      <c r="L39" s="94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</row>
    <row r="40" spans="1:193" ht="13.9" customHeight="1" x14ac:dyDescent="0.25">
      <c r="A40" s="431">
        <v>12</v>
      </c>
      <c r="B40" s="432"/>
      <c r="C40" s="246">
        <f>IF(A40&lt;='Indicadores Financeiros'!$F$14,SUMIFS('Relatório Custo'!$V:$V,'Relatório Custo'!$H:$H,'Custo  Resumido por local'!$C$28,'Relatório Custo'!$W:$W,"&lt;="&amp;'Custo  Resumido por local'!$A40,'Relatório Custo'!$C:$C,'Custo  Resumido por local'!$C$1),0)</f>
        <v>0</v>
      </c>
      <c r="D40" s="247"/>
      <c r="E40" s="433"/>
      <c r="F40" s="434"/>
      <c r="G40" s="433">
        <f>IF(A40&lt;='Indicadores Financeiros'!$F$14,SUMIFS('Relatório Custo'!$V:$V,'Relatório Custo'!$H:$H,'Custo  Resumido por local'!$G$28,'Relatório Custo'!$W:$W,"&lt;="&amp;'Custo  Resumido por local'!$A40,'Relatório Custo'!$C:$C,'Custo  Resumido por local'!$C$1),0)</f>
        <v>0</v>
      </c>
      <c r="H40" s="434"/>
      <c r="I40" s="77">
        <f t="shared" si="0"/>
        <v>0</v>
      </c>
      <c r="J40" s="77">
        <f>IF(A40&lt;='Indicadores Financeiros'!$F$14,SUMIFS('Relatório Custo'!$Z:$Z,'Relatório Custo'!$W:$W,"&lt;="&amp;'Custo  Resumido por local'!$A40,'Relatório Custo'!$C:$C,'Custo  Resumido por local'!$C$1),0)</f>
        <v>0</v>
      </c>
      <c r="K40" s="106">
        <f>ROUND(IF(A40&lt;='Indicadores Financeiros'!$F$14,SUMIFS('Relatório Custo'!$AA:$AA,'Relatório Custo'!$W:$W,"&lt;="&amp;'Custo  Resumido por local'!$A40,'Relatório Custo'!$C:$C,'Custo  Resumido por local'!$C$1),0),2)</f>
        <v>0</v>
      </c>
      <c r="L40" s="94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</row>
    <row r="41" spans="1:193" s="75" customFormat="1" ht="13.9" customHeight="1" x14ac:dyDescent="0.25">
      <c r="A41" s="173" t="s">
        <v>226</v>
      </c>
      <c r="B41" s="173"/>
      <c r="C41" s="453">
        <f>ROUND(SUM(C29:D40),2)</f>
        <v>0</v>
      </c>
      <c r="D41" s="454"/>
      <c r="E41" s="453">
        <f>ROUND(SUM(E29:F40),2)</f>
        <v>0</v>
      </c>
      <c r="F41" s="454"/>
      <c r="G41" s="453">
        <f>ROUND(SUM(G29:H40),2)</f>
        <v>0</v>
      </c>
      <c r="H41" s="454"/>
      <c r="I41" s="146">
        <f>ROUND(SUM(I29:I40),2)</f>
        <v>0</v>
      </c>
      <c r="J41" s="146">
        <f>ROUND(SUM(J29:J40),2)</f>
        <v>0</v>
      </c>
      <c r="K41" s="146">
        <f>ROUND(SUM(K29:K40),2)</f>
        <v>0</v>
      </c>
      <c r="L41" s="94"/>
      <c r="M41" s="78"/>
    </row>
    <row r="42" spans="1:193" s="75" customFormat="1" ht="11.25" x14ac:dyDescent="0.25">
      <c r="C42" s="95"/>
      <c r="D42" s="230"/>
      <c r="E42" s="95"/>
      <c r="F42" s="95"/>
      <c r="G42" s="95"/>
      <c r="H42" s="95"/>
      <c r="I42" s="144">
        <f>I41-K15</f>
        <v>0</v>
      </c>
      <c r="J42" s="95"/>
      <c r="K42" s="144"/>
    </row>
    <row r="43" spans="1:193" s="75" customFormat="1" ht="11.25" x14ac:dyDescent="0.25">
      <c r="D43" s="231"/>
      <c r="K43" s="78"/>
    </row>
    <row r="44" spans="1:193" s="75" customFormat="1" ht="11.25" x14ac:dyDescent="0.25">
      <c r="D44" s="231"/>
    </row>
    <row r="45" spans="1:193" s="75" customFormat="1" ht="11.25" x14ac:dyDescent="0.25">
      <c r="D45" s="231"/>
    </row>
    <row r="46" spans="1:193" s="75" customFormat="1" ht="11.25" x14ac:dyDescent="0.25">
      <c r="D46" s="231"/>
    </row>
    <row r="47" spans="1:193" s="75" customFormat="1" ht="11.25" x14ac:dyDescent="0.25">
      <c r="D47" s="231"/>
    </row>
    <row r="48" spans="1:193" s="75" customFormat="1" ht="11.25" x14ac:dyDescent="0.25">
      <c r="D48" s="231"/>
    </row>
    <row r="49" spans="4:4" s="75" customFormat="1" ht="11.25" x14ac:dyDescent="0.25">
      <c r="D49" s="231"/>
    </row>
    <row r="50" spans="4:4" s="75" customFormat="1" ht="11.25" x14ac:dyDescent="0.25">
      <c r="D50" s="231"/>
    </row>
    <row r="51" spans="4:4" s="75" customFormat="1" ht="11.25" x14ac:dyDescent="0.25">
      <c r="D51" s="231"/>
    </row>
    <row r="52" spans="4:4" s="75" customFormat="1" ht="11.25" x14ac:dyDescent="0.25">
      <c r="D52" s="231"/>
    </row>
    <row r="53" spans="4:4" s="75" customFormat="1" ht="11.25" x14ac:dyDescent="0.25">
      <c r="D53" s="231"/>
    </row>
    <row r="54" spans="4:4" s="75" customFormat="1" ht="11.25" x14ac:dyDescent="0.25">
      <c r="D54" s="231"/>
    </row>
    <row r="55" spans="4:4" s="75" customFormat="1" ht="11.25" x14ac:dyDescent="0.25">
      <c r="D55" s="231"/>
    </row>
    <row r="56" spans="4:4" s="75" customFormat="1" ht="11.25" x14ac:dyDescent="0.25">
      <c r="D56" s="231"/>
    </row>
    <row r="57" spans="4:4" s="75" customFormat="1" ht="11.25" x14ac:dyDescent="0.25">
      <c r="D57" s="231"/>
    </row>
    <row r="58" spans="4:4" s="75" customFormat="1" ht="11.25" x14ac:dyDescent="0.25">
      <c r="D58" s="231"/>
    </row>
    <row r="59" spans="4:4" s="75" customFormat="1" ht="11.25" x14ac:dyDescent="0.25">
      <c r="D59" s="231"/>
    </row>
    <row r="60" spans="4:4" s="75" customFormat="1" ht="11.25" x14ac:dyDescent="0.25">
      <c r="D60" s="231"/>
    </row>
    <row r="61" spans="4:4" s="75" customFormat="1" ht="11.25" x14ac:dyDescent="0.25">
      <c r="D61" s="231"/>
    </row>
    <row r="62" spans="4:4" s="75" customFormat="1" ht="11.25" x14ac:dyDescent="0.25">
      <c r="D62" s="231"/>
    </row>
    <row r="63" spans="4:4" s="75" customFormat="1" ht="11.25" x14ac:dyDescent="0.25">
      <c r="D63" s="231"/>
    </row>
    <row r="64" spans="4:4" s="75" customFormat="1" ht="11.25" x14ac:dyDescent="0.25">
      <c r="D64" s="231"/>
    </row>
    <row r="65" spans="4:4" s="75" customFormat="1" ht="11.25" x14ac:dyDescent="0.25">
      <c r="D65" s="231"/>
    </row>
    <row r="66" spans="4:4" s="75" customFormat="1" ht="11.25" x14ac:dyDescent="0.25">
      <c r="D66" s="231"/>
    </row>
    <row r="67" spans="4:4" s="75" customFormat="1" ht="11.25" x14ac:dyDescent="0.25">
      <c r="D67" s="231"/>
    </row>
    <row r="68" spans="4:4" s="75" customFormat="1" ht="11.25" x14ac:dyDescent="0.25">
      <c r="D68" s="231"/>
    </row>
    <row r="69" spans="4:4" s="75" customFormat="1" ht="11.25" x14ac:dyDescent="0.25">
      <c r="D69" s="231"/>
    </row>
    <row r="70" spans="4:4" s="75" customFormat="1" ht="11.25" x14ac:dyDescent="0.25">
      <c r="D70" s="231"/>
    </row>
    <row r="71" spans="4:4" s="75" customFormat="1" ht="11.25" x14ac:dyDescent="0.25">
      <c r="D71" s="231"/>
    </row>
    <row r="72" spans="4:4" s="75" customFormat="1" ht="11.25" x14ac:dyDescent="0.25">
      <c r="D72" s="231"/>
    </row>
    <row r="73" spans="4:4" s="75" customFormat="1" ht="11.25" x14ac:dyDescent="0.25">
      <c r="D73" s="231"/>
    </row>
    <row r="74" spans="4:4" s="75" customFormat="1" ht="11.25" x14ac:dyDescent="0.25">
      <c r="D74" s="231"/>
    </row>
    <row r="75" spans="4:4" s="75" customFormat="1" ht="11.25" x14ac:dyDescent="0.25">
      <c r="D75" s="231"/>
    </row>
    <row r="76" spans="4:4" s="75" customFormat="1" ht="11.25" x14ac:dyDescent="0.25">
      <c r="D76" s="231"/>
    </row>
    <row r="77" spans="4:4" s="75" customFormat="1" ht="11.25" x14ac:dyDescent="0.25">
      <c r="D77" s="231"/>
    </row>
    <row r="78" spans="4:4" s="75" customFormat="1" ht="11.25" x14ac:dyDescent="0.25">
      <c r="D78" s="231"/>
    </row>
    <row r="79" spans="4:4" s="75" customFormat="1" ht="11.25" x14ac:dyDescent="0.25">
      <c r="D79" s="231"/>
    </row>
    <row r="80" spans="4:4" s="75" customFormat="1" ht="11.25" x14ac:dyDescent="0.25">
      <c r="D80" s="231"/>
    </row>
    <row r="81" spans="4:4" s="75" customFormat="1" ht="11.25" x14ac:dyDescent="0.25">
      <c r="D81" s="231"/>
    </row>
    <row r="82" spans="4:4" s="75" customFormat="1" ht="11.25" x14ac:dyDescent="0.25">
      <c r="D82" s="231"/>
    </row>
    <row r="83" spans="4:4" s="75" customFormat="1" ht="11.25" x14ac:dyDescent="0.25">
      <c r="D83" s="231"/>
    </row>
    <row r="84" spans="4:4" s="75" customFormat="1" ht="11.25" x14ac:dyDescent="0.25">
      <c r="D84" s="231"/>
    </row>
    <row r="85" spans="4:4" s="75" customFormat="1" ht="11.25" x14ac:dyDescent="0.25">
      <c r="D85" s="231"/>
    </row>
    <row r="86" spans="4:4" s="75" customFormat="1" ht="11.25" x14ac:dyDescent="0.25">
      <c r="D86" s="231"/>
    </row>
    <row r="87" spans="4:4" s="75" customFormat="1" ht="11.25" x14ac:dyDescent="0.25">
      <c r="D87" s="231"/>
    </row>
    <row r="88" spans="4:4" s="75" customFormat="1" ht="11.25" x14ac:dyDescent="0.25">
      <c r="D88" s="231"/>
    </row>
    <row r="89" spans="4:4" s="75" customFormat="1" ht="11.25" x14ac:dyDescent="0.25">
      <c r="D89" s="231"/>
    </row>
    <row r="90" spans="4:4" s="75" customFormat="1" ht="11.25" x14ac:dyDescent="0.25">
      <c r="D90" s="231"/>
    </row>
    <row r="91" spans="4:4" s="75" customFormat="1" ht="11.25" x14ac:dyDescent="0.25">
      <c r="D91" s="231"/>
    </row>
    <row r="92" spans="4:4" s="75" customFormat="1" ht="11.25" x14ac:dyDescent="0.25">
      <c r="D92" s="231"/>
    </row>
    <row r="93" spans="4:4" s="75" customFormat="1" ht="11.25" x14ac:dyDescent="0.25">
      <c r="D93" s="231"/>
    </row>
    <row r="94" spans="4:4" s="75" customFormat="1" ht="11.25" x14ac:dyDescent="0.25">
      <c r="D94" s="231"/>
    </row>
    <row r="95" spans="4:4" s="75" customFormat="1" ht="11.25" x14ac:dyDescent="0.25">
      <c r="D95" s="231"/>
    </row>
    <row r="96" spans="4:4" s="75" customFormat="1" ht="11.25" x14ac:dyDescent="0.25">
      <c r="D96" s="231"/>
    </row>
    <row r="97" spans="4:4" s="75" customFormat="1" ht="11.25" x14ac:dyDescent="0.25">
      <c r="D97" s="231"/>
    </row>
    <row r="98" spans="4:4" s="75" customFormat="1" ht="11.25" x14ac:dyDescent="0.25">
      <c r="D98" s="231"/>
    </row>
    <row r="99" spans="4:4" s="75" customFormat="1" ht="11.25" x14ac:dyDescent="0.25">
      <c r="D99" s="231"/>
    </row>
    <row r="100" spans="4:4" s="75" customFormat="1" ht="11.25" x14ac:dyDescent="0.25">
      <c r="D100" s="231"/>
    </row>
    <row r="101" spans="4:4" s="75" customFormat="1" ht="11.25" x14ac:dyDescent="0.25">
      <c r="D101" s="231"/>
    </row>
    <row r="102" spans="4:4" s="75" customFormat="1" ht="11.25" x14ac:dyDescent="0.25">
      <c r="D102" s="231"/>
    </row>
    <row r="103" spans="4:4" s="75" customFormat="1" ht="11.25" x14ac:dyDescent="0.25">
      <c r="D103" s="231"/>
    </row>
    <row r="104" spans="4:4" s="75" customFormat="1" ht="11.25" x14ac:dyDescent="0.25">
      <c r="D104" s="231"/>
    </row>
    <row r="105" spans="4:4" s="75" customFormat="1" ht="11.25" x14ac:dyDescent="0.25">
      <c r="D105" s="231"/>
    </row>
    <row r="106" spans="4:4" s="75" customFormat="1" ht="11.25" x14ac:dyDescent="0.25">
      <c r="D106" s="231"/>
    </row>
    <row r="107" spans="4:4" s="75" customFormat="1" ht="11.25" x14ac:dyDescent="0.25">
      <c r="D107" s="231"/>
    </row>
    <row r="108" spans="4:4" s="75" customFormat="1" ht="11.25" x14ac:dyDescent="0.25">
      <c r="D108" s="231"/>
    </row>
    <row r="109" spans="4:4" s="75" customFormat="1" ht="11.25" x14ac:dyDescent="0.25">
      <c r="D109" s="231"/>
    </row>
    <row r="110" spans="4:4" s="75" customFormat="1" ht="11.25" x14ac:dyDescent="0.25">
      <c r="D110" s="231"/>
    </row>
    <row r="111" spans="4:4" s="75" customFormat="1" ht="11.25" x14ac:dyDescent="0.25">
      <c r="D111" s="231"/>
    </row>
    <row r="112" spans="4:4" s="75" customFormat="1" ht="11.25" x14ac:dyDescent="0.25">
      <c r="D112" s="231"/>
    </row>
    <row r="113" spans="4:4" s="75" customFormat="1" ht="11.25" x14ac:dyDescent="0.25">
      <c r="D113" s="231"/>
    </row>
    <row r="114" spans="4:4" s="75" customFormat="1" ht="11.25" x14ac:dyDescent="0.25">
      <c r="D114" s="231"/>
    </row>
    <row r="115" spans="4:4" s="75" customFormat="1" ht="11.25" x14ac:dyDescent="0.25">
      <c r="D115" s="231"/>
    </row>
    <row r="116" spans="4:4" s="75" customFormat="1" ht="11.25" x14ac:dyDescent="0.25">
      <c r="D116" s="231"/>
    </row>
    <row r="117" spans="4:4" s="75" customFormat="1" ht="11.25" x14ac:dyDescent="0.25">
      <c r="D117" s="231"/>
    </row>
    <row r="118" spans="4:4" s="75" customFormat="1" ht="11.25" x14ac:dyDescent="0.25">
      <c r="D118" s="231"/>
    </row>
    <row r="119" spans="4:4" s="75" customFormat="1" ht="11.25" x14ac:dyDescent="0.25">
      <c r="D119" s="231"/>
    </row>
    <row r="120" spans="4:4" s="75" customFormat="1" ht="11.25" x14ac:dyDescent="0.25">
      <c r="D120" s="231"/>
    </row>
    <row r="121" spans="4:4" s="75" customFormat="1" ht="11.25" x14ac:dyDescent="0.25">
      <c r="D121" s="231"/>
    </row>
    <row r="122" spans="4:4" s="75" customFormat="1" ht="11.25" x14ac:dyDescent="0.25">
      <c r="D122" s="231"/>
    </row>
    <row r="123" spans="4:4" s="75" customFormat="1" ht="11.25" x14ac:dyDescent="0.25">
      <c r="D123" s="231"/>
    </row>
    <row r="124" spans="4:4" s="75" customFormat="1" ht="11.25" x14ac:dyDescent="0.25">
      <c r="D124" s="231"/>
    </row>
    <row r="125" spans="4:4" s="75" customFormat="1" ht="11.25" x14ac:dyDescent="0.25">
      <c r="D125" s="231"/>
    </row>
    <row r="126" spans="4:4" s="75" customFormat="1" ht="11.25" x14ac:dyDescent="0.25">
      <c r="D126" s="231"/>
    </row>
    <row r="127" spans="4:4" s="75" customFormat="1" ht="11.25" x14ac:dyDescent="0.25">
      <c r="D127" s="231"/>
    </row>
    <row r="128" spans="4:4" s="75" customFormat="1" ht="11.25" x14ac:dyDescent="0.25">
      <c r="D128" s="231"/>
    </row>
    <row r="129" spans="4:4" s="75" customFormat="1" ht="11.25" x14ac:dyDescent="0.25">
      <c r="D129" s="231"/>
    </row>
    <row r="130" spans="4:4" s="75" customFormat="1" ht="11.25" x14ac:dyDescent="0.25">
      <c r="D130" s="231"/>
    </row>
    <row r="131" spans="4:4" s="75" customFormat="1" ht="11.25" x14ac:dyDescent="0.25">
      <c r="D131" s="231"/>
    </row>
    <row r="132" spans="4:4" s="75" customFormat="1" ht="11.25" x14ac:dyDescent="0.25">
      <c r="D132" s="231"/>
    </row>
    <row r="133" spans="4:4" s="75" customFormat="1" ht="11.25" x14ac:dyDescent="0.25">
      <c r="D133" s="231"/>
    </row>
    <row r="134" spans="4:4" s="75" customFormat="1" ht="11.25" x14ac:dyDescent="0.25">
      <c r="D134" s="231"/>
    </row>
    <row r="135" spans="4:4" s="75" customFormat="1" ht="11.25" x14ac:dyDescent="0.25">
      <c r="D135" s="231"/>
    </row>
    <row r="136" spans="4:4" s="75" customFormat="1" ht="11.25" x14ac:dyDescent="0.25">
      <c r="D136" s="231"/>
    </row>
    <row r="137" spans="4:4" s="75" customFormat="1" ht="11.25" x14ac:dyDescent="0.25">
      <c r="D137" s="231"/>
    </row>
    <row r="138" spans="4:4" s="75" customFormat="1" ht="11.25" x14ac:dyDescent="0.25">
      <c r="D138" s="231"/>
    </row>
    <row r="139" spans="4:4" s="75" customFormat="1" ht="11.25" x14ac:dyDescent="0.25">
      <c r="D139" s="231"/>
    </row>
    <row r="140" spans="4:4" s="75" customFormat="1" ht="11.25" x14ac:dyDescent="0.25">
      <c r="D140" s="231"/>
    </row>
    <row r="141" spans="4:4" s="75" customFormat="1" ht="11.25" x14ac:dyDescent="0.25">
      <c r="D141" s="231"/>
    </row>
    <row r="142" spans="4:4" s="75" customFormat="1" ht="11.25" x14ac:dyDescent="0.25">
      <c r="D142" s="231"/>
    </row>
    <row r="143" spans="4:4" s="75" customFormat="1" ht="11.25" x14ac:dyDescent="0.25">
      <c r="D143" s="231"/>
    </row>
    <row r="144" spans="4:4" s="75" customFormat="1" ht="11.25" x14ac:dyDescent="0.25">
      <c r="D144" s="231"/>
    </row>
    <row r="145" spans="4:4" s="75" customFormat="1" ht="11.25" x14ac:dyDescent="0.25">
      <c r="D145" s="231"/>
    </row>
    <row r="146" spans="4:4" s="75" customFormat="1" ht="11.25" x14ac:dyDescent="0.25">
      <c r="D146" s="231"/>
    </row>
    <row r="147" spans="4:4" s="75" customFormat="1" ht="11.25" x14ac:dyDescent="0.25">
      <c r="D147" s="231"/>
    </row>
    <row r="148" spans="4:4" s="75" customFormat="1" ht="11.25" x14ac:dyDescent="0.25">
      <c r="D148" s="231"/>
    </row>
    <row r="149" spans="4:4" s="75" customFormat="1" ht="11.25" x14ac:dyDescent="0.25">
      <c r="D149" s="231"/>
    </row>
    <row r="150" spans="4:4" s="75" customFormat="1" ht="11.25" x14ac:dyDescent="0.25">
      <c r="D150" s="231"/>
    </row>
    <row r="151" spans="4:4" s="75" customFormat="1" ht="11.25" x14ac:dyDescent="0.25">
      <c r="D151" s="231"/>
    </row>
    <row r="152" spans="4:4" s="75" customFormat="1" ht="11.25" x14ac:dyDescent="0.25">
      <c r="D152" s="231"/>
    </row>
    <row r="153" spans="4:4" s="75" customFormat="1" ht="11.25" x14ac:dyDescent="0.25">
      <c r="D153" s="231"/>
    </row>
    <row r="154" spans="4:4" s="75" customFormat="1" ht="11.25" x14ac:dyDescent="0.25">
      <c r="D154" s="231"/>
    </row>
    <row r="155" spans="4:4" s="75" customFormat="1" ht="11.25" x14ac:dyDescent="0.25">
      <c r="D155" s="231"/>
    </row>
    <row r="156" spans="4:4" s="75" customFormat="1" ht="11.25" x14ac:dyDescent="0.25">
      <c r="D156" s="231"/>
    </row>
    <row r="157" spans="4:4" s="75" customFormat="1" ht="11.25" x14ac:dyDescent="0.25">
      <c r="D157" s="231"/>
    </row>
    <row r="158" spans="4:4" s="75" customFormat="1" ht="11.25" x14ac:dyDescent="0.25">
      <c r="D158" s="231"/>
    </row>
    <row r="159" spans="4:4" s="75" customFormat="1" ht="11.25" x14ac:dyDescent="0.25">
      <c r="D159" s="231"/>
    </row>
    <row r="160" spans="4:4" s="75" customFormat="1" ht="11.25" x14ac:dyDescent="0.25">
      <c r="D160" s="231"/>
    </row>
    <row r="161" spans="4:4" s="75" customFormat="1" ht="11.25" x14ac:dyDescent="0.25">
      <c r="D161" s="231"/>
    </row>
    <row r="162" spans="4:4" s="75" customFormat="1" ht="11.25" x14ac:dyDescent="0.25">
      <c r="D162" s="231"/>
    </row>
    <row r="163" spans="4:4" s="75" customFormat="1" ht="11.25" x14ac:dyDescent="0.25">
      <c r="D163" s="231"/>
    </row>
    <row r="164" spans="4:4" s="75" customFormat="1" ht="11.25" x14ac:dyDescent="0.25">
      <c r="D164" s="231"/>
    </row>
    <row r="165" spans="4:4" s="75" customFormat="1" ht="11.25" x14ac:dyDescent="0.25">
      <c r="D165" s="231"/>
    </row>
    <row r="166" spans="4:4" s="75" customFormat="1" ht="11.25" x14ac:dyDescent="0.25">
      <c r="D166" s="231"/>
    </row>
    <row r="167" spans="4:4" s="75" customFormat="1" ht="11.25" x14ac:dyDescent="0.25">
      <c r="D167" s="231"/>
    </row>
    <row r="168" spans="4:4" s="75" customFormat="1" ht="11.25" x14ac:dyDescent="0.25">
      <c r="D168" s="231"/>
    </row>
    <row r="169" spans="4:4" s="75" customFormat="1" ht="11.25" x14ac:dyDescent="0.25">
      <c r="D169" s="231"/>
    </row>
    <row r="170" spans="4:4" s="75" customFormat="1" ht="11.25" x14ac:dyDescent="0.25">
      <c r="D170" s="231"/>
    </row>
    <row r="171" spans="4:4" s="75" customFormat="1" ht="11.25" x14ac:dyDescent="0.25">
      <c r="D171" s="231"/>
    </row>
    <row r="172" spans="4:4" s="75" customFormat="1" ht="11.25" x14ac:dyDescent="0.25">
      <c r="D172" s="231"/>
    </row>
    <row r="173" spans="4:4" s="75" customFormat="1" ht="11.25" x14ac:dyDescent="0.25">
      <c r="D173" s="231"/>
    </row>
    <row r="174" spans="4:4" s="75" customFormat="1" ht="11.25" x14ac:dyDescent="0.25">
      <c r="D174" s="231"/>
    </row>
    <row r="175" spans="4:4" s="75" customFormat="1" ht="11.25" x14ac:dyDescent="0.25">
      <c r="D175" s="231"/>
    </row>
    <row r="176" spans="4:4" s="75" customFormat="1" ht="11.25" x14ac:dyDescent="0.25">
      <c r="D176" s="231"/>
    </row>
    <row r="177" spans="4:4" s="75" customFormat="1" ht="11.25" x14ac:dyDescent="0.25">
      <c r="D177" s="231"/>
    </row>
    <row r="178" spans="4:4" s="75" customFormat="1" ht="11.25" x14ac:dyDescent="0.25">
      <c r="D178" s="231"/>
    </row>
    <row r="179" spans="4:4" s="75" customFormat="1" ht="11.25" x14ac:dyDescent="0.25">
      <c r="D179" s="231"/>
    </row>
    <row r="180" spans="4:4" s="75" customFormat="1" ht="11.25" x14ac:dyDescent="0.25">
      <c r="D180" s="231"/>
    </row>
    <row r="181" spans="4:4" s="75" customFormat="1" ht="11.25" x14ac:dyDescent="0.25">
      <c r="D181" s="231"/>
    </row>
    <row r="182" spans="4:4" s="75" customFormat="1" ht="11.25" x14ac:dyDescent="0.25">
      <c r="D182" s="231"/>
    </row>
    <row r="183" spans="4:4" s="75" customFormat="1" ht="11.25" x14ac:dyDescent="0.25">
      <c r="D183" s="231"/>
    </row>
    <row r="184" spans="4:4" s="75" customFormat="1" ht="11.25" x14ac:dyDescent="0.25">
      <c r="D184" s="231"/>
    </row>
    <row r="185" spans="4:4" s="75" customFormat="1" ht="11.25" x14ac:dyDescent="0.25">
      <c r="D185" s="231"/>
    </row>
    <row r="186" spans="4:4" s="75" customFormat="1" ht="11.25" x14ac:dyDescent="0.25">
      <c r="D186" s="231"/>
    </row>
    <row r="187" spans="4:4" s="75" customFormat="1" ht="11.25" x14ac:dyDescent="0.25">
      <c r="D187" s="231"/>
    </row>
    <row r="188" spans="4:4" s="75" customFormat="1" ht="11.25" x14ac:dyDescent="0.25">
      <c r="D188" s="231"/>
    </row>
    <row r="189" spans="4:4" s="75" customFormat="1" ht="11.25" x14ac:dyDescent="0.25">
      <c r="D189" s="231"/>
    </row>
    <row r="190" spans="4:4" s="75" customFormat="1" ht="11.25" x14ac:dyDescent="0.25">
      <c r="D190" s="231"/>
    </row>
    <row r="191" spans="4:4" s="75" customFormat="1" ht="11.25" x14ac:dyDescent="0.25">
      <c r="D191" s="231"/>
    </row>
    <row r="192" spans="4:4" s="75" customFormat="1" ht="11.25" x14ac:dyDescent="0.25">
      <c r="D192" s="231"/>
    </row>
    <row r="193" spans="4:4" s="75" customFormat="1" ht="11.25" x14ac:dyDescent="0.25">
      <c r="D193" s="231"/>
    </row>
    <row r="194" spans="4:4" s="75" customFormat="1" ht="11.25" x14ac:dyDescent="0.25">
      <c r="D194" s="231"/>
    </row>
    <row r="195" spans="4:4" s="75" customFormat="1" ht="11.25" x14ac:dyDescent="0.25">
      <c r="D195" s="231"/>
    </row>
    <row r="196" spans="4:4" s="75" customFormat="1" ht="11.25" x14ac:dyDescent="0.25">
      <c r="D196" s="231"/>
    </row>
    <row r="197" spans="4:4" s="75" customFormat="1" ht="11.25" x14ac:dyDescent="0.25">
      <c r="D197" s="231"/>
    </row>
    <row r="198" spans="4:4" s="75" customFormat="1" ht="11.25" x14ac:dyDescent="0.25">
      <c r="D198" s="231"/>
    </row>
    <row r="199" spans="4:4" s="75" customFormat="1" ht="11.25" x14ac:dyDescent="0.25">
      <c r="D199" s="231"/>
    </row>
    <row r="200" spans="4:4" s="75" customFormat="1" ht="11.25" x14ac:dyDescent="0.25">
      <c r="D200" s="231"/>
    </row>
    <row r="201" spans="4:4" s="75" customFormat="1" ht="11.25" x14ac:dyDescent="0.25">
      <c r="D201" s="231"/>
    </row>
    <row r="202" spans="4:4" s="75" customFormat="1" ht="11.25" x14ac:dyDescent="0.25">
      <c r="D202" s="231"/>
    </row>
    <row r="203" spans="4:4" s="75" customFormat="1" ht="11.25" x14ac:dyDescent="0.25">
      <c r="D203" s="231"/>
    </row>
    <row r="204" spans="4:4" s="75" customFormat="1" ht="11.25" x14ac:dyDescent="0.25">
      <c r="D204" s="231"/>
    </row>
    <row r="205" spans="4:4" s="75" customFormat="1" ht="11.25" x14ac:dyDescent="0.25">
      <c r="D205" s="231"/>
    </row>
    <row r="206" spans="4:4" s="75" customFormat="1" ht="11.25" x14ac:dyDescent="0.25">
      <c r="D206" s="231"/>
    </row>
    <row r="207" spans="4:4" s="75" customFormat="1" ht="11.25" x14ac:dyDescent="0.25">
      <c r="D207" s="231"/>
    </row>
    <row r="208" spans="4:4" s="75" customFormat="1" ht="11.25" x14ac:dyDescent="0.25">
      <c r="D208" s="231"/>
    </row>
    <row r="209" spans="4:4" s="75" customFormat="1" ht="11.25" x14ac:dyDescent="0.25">
      <c r="D209" s="231"/>
    </row>
    <row r="210" spans="4:4" s="75" customFormat="1" ht="11.25" x14ac:dyDescent="0.25">
      <c r="D210" s="231"/>
    </row>
    <row r="211" spans="4:4" s="75" customFormat="1" ht="11.25" x14ac:dyDescent="0.25">
      <c r="D211" s="231"/>
    </row>
    <row r="212" spans="4:4" s="75" customFormat="1" ht="11.25" x14ac:dyDescent="0.25">
      <c r="D212" s="231"/>
    </row>
    <row r="213" spans="4:4" s="75" customFormat="1" ht="11.25" x14ac:dyDescent="0.25">
      <c r="D213" s="231"/>
    </row>
    <row r="214" spans="4:4" s="75" customFormat="1" ht="11.25" x14ac:dyDescent="0.25">
      <c r="D214" s="231"/>
    </row>
    <row r="215" spans="4:4" s="75" customFormat="1" ht="11.25" x14ac:dyDescent="0.25">
      <c r="D215" s="231"/>
    </row>
    <row r="216" spans="4:4" s="75" customFormat="1" ht="11.25" x14ac:dyDescent="0.25">
      <c r="D216" s="231"/>
    </row>
    <row r="217" spans="4:4" s="75" customFormat="1" ht="11.25" x14ac:dyDescent="0.25">
      <c r="D217" s="231"/>
    </row>
    <row r="218" spans="4:4" s="75" customFormat="1" ht="11.25" x14ac:dyDescent="0.25">
      <c r="D218" s="231"/>
    </row>
    <row r="219" spans="4:4" s="75" customFormat="1" ht="11.25" x14ac:dyDescent="0.25">
      <c r="D219" s="231"/>
    </row>
    <row r="220" spans="4:4" s="75" customFormat="1" ht="11.25" x14ac:dyDescent="0.25">
      <c r="D220" s="231"/>
    </row>
    <row r="221" spans="4:4" s="75" customFormat="1" ht="11.25" x14ac:dyDescent="0.25">
      <c r="D221" s="231"/>
    </row>
    <row r="222" spans="4:4" s="75" customFormat="1" ht="11.25" x14ac:dyDescent="0.25">
      <c r="D222" s="231"/>
    </row>
    <row r="223" spans="4:4" s="75" customFormat="1" ht="11.25" x14ac:dyDescent="0.25">
      <c r="D223" s="231"/>
    </row>
    <row r="224" spans="4:4" s="75" customFormat="1" ht="11.25" x14ac:dyDescent="0.25">
      <c r="D224" s="231"/>
    </row>
    <row r="225" spans="4:4" s="75" customFormat="1" ht="11.25" x14ac:dyDescent="0.25">
      <c r="D225" s="231"/>
    </row>
    <row r="226" spans="4:4" s="75" customFormat="1" ht="11.25" x14ac:dyDescent="0.25">
      <c r="D226" s="231"/>
    </row>
    <row r="227" spans="4:4" s="75" customFormat="1" ht="11.25" x14ac:dyDescent="0.25">
      <c r="D227" s="231"/>
    </row>
    <row r="228" spans="4:4" s="75" customFormat="1" ht="11.25" x14ac:dyDescent="0.25">
      <c r="D228" s="231"/>
    </row>
    <row r="229" spans="4:4" s="75" customFormat="1" ht="11.25" x14ac:dyDescent="0.25">
      <c r="D229" s="231"/>
    </row>
    <row r="230" spans="4:4" s="75" customFormat="1" ht="11.25" x14ac:dyDescent="0.25">
      <c r="D230" s="231"/>
    </row>
    <row r="231" spans="4:4" s="75" customFormat="1" ht="11.25" x14ac:dyDescent="0.25">
      <c r="D231" s="231"/>
    </row>
    <row r="232" spans="4:4" s="75" customFormat="1" ht="11.25" x14ac:dyDescent="0.25">
      <c r="D232" s="231"/>
    </row>
    <row r="233" spans="4:4" s="75" customFormat="1" ht="11.25" x14ac:dyDescent="0.25">
      <c r="D233" s="231"/>
    </row>
    <row r="234" spans="4:4" s="75" customFormat="1" ht="11.25" x14ac:dyDescent="0.25">
      <c r="D234" s="231"/>
    </row>
    <row r="235" spans="4:4" s="75" customFormat="1" ht="11.25" x14ac:dyDescent="0.25">
      <c r="D235" s="231"/>
    </row>
    <row r="236" spans="4:4" s="75" customFormat="1" ht="11.25" x14ac:dyDescent="0.25">
      <c r="D236" s="231"/>
    </row>
    <row r="237" spans="4:4" s="75" customFormat="1" ht="11.25" x14ac:dyDescent="0.25">
      <c r="D237" s="231"/>
    </row>
    <row r="238" spans="4:4" s="75" customFormat="1" ht="11.25" x14ac:dyDescent="0.25">
      <c r="D238" s="231"/>
    </row>
    <row r="239" spans="4:4" s="75" customFormat="1" ht="11.25" x14ac:dyDescent="0.25">
      <c r="D239" s="231"/>
    </row>
    <row r="240" spans="4:4" s="75" customFormat="1" ht="11.25" x14ac:dyDescent="0.25">
      <c r="D240" s="231"/>
    </row>
    <row r="241" spans="4:4" s="75" customFormat="1" ht="11.25" x14ac:dyDescent="0.25">
      <c r="D241" s="231"/>
    </row>
    <row r="242" spans="4:4" s="75" customFormat="1" ht="11.25" x14ac:dyDescent="0.25">
      <c r="D242" s="231"/>
    </row>
    <row r="243" spans="4:4" s="75" customFormat="1" ht="11.25" x14ac:dyDescent="0.25">
      <c r="D243" s="231"/>
    </row>
    <row r="244" spans="4:4" s="75" customFormat="1" ht="11.25" x14ac:dyDescent="0.25">
      <c r="D244" s="231"/>
    </row>
    <row r="245" spans="4:4" s="75" customFormat="1" ht="11.25" x14ac:dyDescent="0.25">
      <c r="D245" s="231"/>
    </row>
    <row r="246" spans="4:4" s="75" customFormat="1" ht="11.25" x14ac:dyDescent="0.25">
      <c r="D246" s="231"/>
    </row>
    <row r="247" spans="4:4" s="75" customFormat="1" ht="11.25" x14ac:dyDescent="0.25">
      <c r="D247" s="231"/>
    </row>
    <row r="248" spans="4:4" s="75" customFormat="1" ht="11.25" x14ac:dyDescent="0.25">
      <c r="D248" s="231"/>
    </row>
    <row r="249" spans="4:4" s="75" customFormat="1" ht="11.25" x14ac:dyDescent="0.25">
      <c r="D249" s="231"/>
    </row>
    <row r="250" spans="4:4" s="75" customFormat="1" ht="11.25" x14ac:dyDescent="0.25">
      <c r="D250" s="231"/>
    </row>
    <row r="251" spans="4:4" s="75" customFormat="1" ht="11.25" x14ac:dyDescent="0.25">
      <c r="D251" s="231"/>
    </row>
    <row r="252" spans="4:4" s="75" customFormat="1" ht="11.25" x14ac:dyDescent="0.25">
      <c r="D252" s="231"/>
    </row>
    <row r="253" spans="4:4" s="75" customFormat="1" ht="11.25" x14ac:dyDescent="0.25">
      <c r="D253" s="231"/>
    </row>
    <row r="254" spans="4:4" s="75" customFormat="1" ht="11.25" x14ac:dyDescent="0.25">
      <c r="D254" s="231"/>
    </row>
    <row r="255" spans="4:4" s="75" customFormat="1" ht="11.25" x14ac:dyDescent="0.25">
      <c r="D255" s="231"/>
    </row>
    <row r="256" spans="4:4" s="75" customFormat="1" ht="11.25" x14ac:dyDescent="0.25">
      <c r="D256" s="231"/>
    </row>
    <row r="257" spans="4:4" s="75" customFormat="1" ht="11.25" x14ac:dyDescent="0.25">
      <c r="D257" s="231"/>
    </row>
    <row r="258" spans="4:4" s="75" customFormat="1" ht="11.25" x14ac:dyDescent="0.25">
      <c r="D258" s="231"/>
    </row>
    <row r="259" spans="4:4" s="75" customFormat="1" ht="11.25" x14ac:dyDescent="0.25">
      <c r="D259" s="231"/>
    </row>
    <row r="260" spans="4:4" s="75" customFormat="1" ht="11.25" x14ac:dyDescent="0.25">
      <c r="D260" s="231"/>
    </row>
    <row r="261" spans="4:4" s="75" customFormat="1" ht="11.25" x14ac:dyDescent="0.25">
      <c r="D261" s="231"/>
    </row>
    <row r="262" spans="4:4" s="75" customFormat="1" ht="11.25" x14ac:dyDescent="0.25">
      <c r="D262" s="231"/>
    </row>
    <row r="263" spans="4:4" s="75" customFormat="1" ht="11.25" x14ac:dyDescent="0.25">
      <c r="D263" s="231"/>
    </row>
    <row r="264" spans="4:4" s="75" customFormat="1" ht="11.25" x14ac:dyDescent="0.25">
      <c r="D264" s="231"/>
    </row>
    <row r="265" spans="4:4" s="75" customFormat="1" ht="11.25" x14ac:dyDescent="0.25">
      <c r="D265" s="231"/>
    </row>
    <row r="266" spans="4:4" s="75" customFormat="1" ht="11.25" x14ac:dyDescent="0.25">
      <c r="D266" s="231"/>
    </row>
    <row r="267" spans="4:4" s="75" customFormat="1" ht="11.25" x14ac:dyDescent="0.25">
      <c r="D267" s="231"/>
    </row>
    <row r="268" spans="4:4" s="75" customFormat="1" ht="11.25" x14ac:dyDescent="0.25">
      <c r="D268" s="231"/>
    </row>
    <row r="269" spans="4:4" s="75" customFormat="1" ht="11.25" x14ac:dyDescent="0.25">
      <c r="D269" s="231"/>
    </row>
    <row r="270" spans="4:4" s="75" customFormat="1" ht="11.25" x14ac:dyDescent="0.25">
      <c r="D270" s="231"/>
    </row>
    <row r="271" spans="4:4" s="75" customFormat="1" ht="11.25" x14ac:dyDescent="0.25">
      <c r="D271" s="231"/>
    </row>
    <row r="272" spans="4:4" s="75" customFormat="1" ht="11.25" x14ac:dyDescent="0.25">
      <c r="D272" s="231"/>
    </row>
    <row r="273" spans="4:4" s="75" customFormat="1" ht="11.25" x14ac:dyDescent="0.25">
      <c r="D273" s="231"/>
    </row>
    <row r="274" spans="4:4" s="75" customFormat="1" ht="11.25" x14ac:dyDescent="0.25">
      <c r="D274" s="231"/>
    </row>
    <row r="275" spans="4:4" s="75" customFormat="1" ht="11.25" x14ac:dyDescent="0.25">
      <c r="D275" s="231"/>
    </row>
    <row r="276" spans="4:4" s="75" customFormat="1" ht="11.25" x14ac:dyDescent="0.25">
      <c r="D276" s="231"/>
    </row>
    <row r="277" spans="4:4" s="75" customFormat="1" ht="11.25" x14ac:dyDescent="0.25">
      <c r="D277" s="231"/>
    </row>
    <row r="278" spans="4:4" s="75" customFormat="1" ht="11.25" x14ac:dyDescent="0.25">
      <c r="D278" s="231"/>
    </row>
    <row r="279" spans="4:4" s="75" customFormat="1" ht="11.25" x14ac:dyDescent="0.25">
      <c r="D279" s="231"/>
    </row>
    <row r="280" spans="4:4" s="75" customFormat="1" ht="11.25" x14ac:dyDescent="0.25">
      <c r="D280" s="231"/>
    </row>
    <row r="281" spans="4:4" s="75" customFormat="1" ht="11.25" x14ac:dyDescent="0.25">
      <c r="D281" s="231"/>
    </row>
    <row r="282" spans="4:4" s="75" customFormat="1" ht="11.25" x14ac:dyDescent="0.25">
      <c r="D282" s="231"/>
    </row>
    <row r="283" spans="4:4" s="75" customFormat="1" ht="11.25" x14ac:dyDescent="0.25">
      <c r="D283" s="231"/>
    </row>
    <row r="284" spans="4:4" s="75" customFormat="1" ht="11.25" x14ac:dyDescent="0.25">
      <c r="D284" s="231"/>
    </row>
    <row r="285" spans="4:4" s="75" customFormat="1" ht="11.25" x14ac:dyDescent="0.25">
      <c r="D285" s="231"/>
    </row>
    <row r="286" spans="4:4" s="75" customFormat="1" ht="11.25" x14ac:dyDescent="0.25">
      <c r="D286" s="231"/>
    </row>
    <row r="287" spans="4:4" s="75" customFormat="1" ht="11.25" x14ac:dyDescent="0.25">
      <c r="D287" s="231"/>
    </row>
    <row r="288" spans="4:4" s="75" customFormat="1" ht="11.25" x14ac:dyDescent="0.25">
      <c r="D288" s="231"/>
    </row>
    <row r="289" spans="4:4" s="75" customFormat="1" ht="11.25" x14ac:dyDescent="0.25">
      <c r="D289" s="231"/>
    </row>
    <row r="290" spans="4:4" s="75" customFormat="1" ht="11.25" x14ac:dyDescent="0.25">
      <c r="D290" s="231"/>
    </row>
    <row r="291" spans="4:4" s="75" customFormat="1" ht="11.25" x14ac:dyDescent="0.25">
      <c r="D291" s="231"/>
    </row>
    <row r="292" spans="4:4" s="75" customFormat="1" ht="11.25" x14ac:dyDescent="0.25">
      <c r="D292" s="231"/>
    </row>
    <row r="293" spans="4:4" s="75" customFormat="1" ht="11.25" x14ac:dyDescent="0.25">
      <c r="D293" s="231"/>
    </row>
    <row r="294" spans="4:4" s="75" customFormat="1" ht="11.25" x14ac:dyDescent="0.25">
      <c r="D294" s="231"/>
    </row>
    <row r="295" spans="4:4" s="75" customFormat="1" ht="11.25" x14ac:dyDescent="0.25">
      <c r="D295" s="231"/>
    </row>
    <row r="296" spans="4:4" s="75" customFormat="1" ht="11.25" x14ac:dyDescent="0.25">
      <c r="D296" s="231"/>
    </row>
    <row r="297" spans="4:4" s="75" customFormat="1" ht="11.25" x14ac:dyDescent="0.25">
      <c r="D297" s="231"/>
    </row>
    <row r="298" spans="4:4" s="75" customFormat="1" ht="11.25" x14ac:dyDescent="0.25">
      <c r="D298" s="231"/>
    </row>
    <row r="299" spans="4:4" s="75" customFormat="1" ht="11.25" x14ac:dyDescent="0.25">
      <c r="D299" s="231"/>
    </row>
    <row r="300" spans="4:4" s="75" customFormat="1" ht="11.25" x14ac:dyDescent="0.25">
      <c r="D300" s="231"/>
    </row>
    <row r="301" spans="4:4" s="75" customFormat="1" ht="11.25" x14ac:dyDescent="0.25">
      <c r="D301" s="231"/>
    </row>
    <row r="302" spans="4:4" s="75" customFormat="1" ht="11.25" x14ac:dyDescent="0.25">
      <c r="D302" s="231"/>
    </row>
    <row r="303" spans="4:4" s="75" customFormat="1" ht="11.25" x14ac:dyDescent="0.25">
      <c r="D303" s="231"/>
    </row>
    <row r="304" spans="4:4" s="75" customFormat="1" ht="11.25" x14ac:dyDescent="0.25">
      <c r="D304" s="231"/>
    </row>
    <row r="305" spans="4:4" s="75" customFormat="1" ht="11.25" x14ac:dyDescent="0.25">
      <c r="D305" s="231"/>
    </row>
    <row r="306" spans="4:4" s="75" customFormat="1" ht="11.25" x14ac:dyDescent="0.25">
      <c r="D306" s="231"/>
    </row>
    <row r="307" spans="4:4" s="75" customFormat="1" ht="11.25" x14ac:dyDescent="0.25">
      <c r="D307" s="231"/>
    </row>
    <row r="308" spans="4:4" s="75" customFormat="1" ht="11.25" x14ac:dyDescent="0.25">
      <c r="D308" s="231"/>
    </row>
    <row r="309" spans="4:4" s="75" customFormat="1" ht="11.25" x14ac:dyDescent="0.25">
      <c r="D309" s="231"/>
    </row>
    <row r="310" spans="4:4" s="75" customFormat="1" ht="11.25" x14ac:dyDescent="0.25">
      <c r="D310" s="231"/>
    </row>
    <row r="311" spans="4:4" s="75" customFormat="1" ht="11.25" x14ac:dyDescent="0.25">
      <c r="D311" s="231"/>
    </row>
    <row r="312" spans="4:4" s="75" customFormat="1" ht="11.25" x14ac:dyDescent="0.25">
      <c r="D312" s="231"/>
    </row>
    <row r="313" spans="4:4" s="75" customFormat="1" ht="11.25" x14ac:dyDescent="0.25">
      <c r="D313" s="231"/>
    </row>
    <row r="314" spans="4:4" s="75" customFormat="1" ht="11.25" x14ac:dyDescent="0.25">
      <c r="D314" s="231"/>
    </row>
    <row r="315" spans="4:4" s="75" customFormat="1" ht="11.25" x14ac:dyDescent="0.25">
      <c r="D315" s="231"/>
    </row>
    <row r="316" spans="4:4" s="75" customFormat="1" ht="11.25" x14ac:dyDescent="0.25">
      <c r="D316" s="231"/>
    </row>
    <row r="317" spans="4:4" s="75" customFormat="1" ht="11.25" x14ac:dyDescent="0.25">
      <c r="D317" s="231"/>
    </row>
    <row r="318" spans="4:4" s="75" customFormat="1" ht="11.25" x14ac:dyDescent="0.25">
      <c r="D318" s="231"/>
    </row>
    <row r="319" spans="4:4" s="75" customFormat="1" ht="11.25" x14ac:dyDescent="0.25">
      <c r="D319" s="231"/>
    </row>
    <row r="320" spans="4:4" s="75" customFormat="1" ht="11.25" x14ac:dyDescent="0.25">
      <c r="D320" s="231"/>
    </row>
    <row r="321" spans="4:4" s="75" customFormat="1" ht="11.25" x14ac:dyDescent="0.25">
      <c r="D321" s="231"/>
    </row>
    <row r="322" spans="4:4" s="75" customFormat="1" ht="11.25" x14ac:dyDescent="0.25">
      <c r="D322" s="231"/>
    </row>
    <row r="323" spans="4:4" s="75" customFormat="1" ht="11.25" x14ac:dyDescent="0.25">
      <c r="D323" s="231"/>
    </row>
    <row r="324" spans="4:4" s="75" customFormat="1" ht="11.25" x14ac:dyDescent="0.25">
      <c r="D324" s="231"/>
    </row>
    <row r="325" spans="4:4" s="75" customFormat="1" ht="11.25" x14ac:dyDescent="0.25">
      <c r="D325" s="231"/>
    </row>
    <row r="326" spans="4:4" s="75" customFormat="1" ht="11.25" x14ac:dyDescent="0.25">
      <c r="D326" s="231"/>
    </row>
    <row r="327" spans="4:4" s="75" customFormat="1" ht="11.25" x14ac:dyDescent="0.25">
      <c r="D327" s="231"/>
    </row>
    <row r="328" spans="4:4" s="75" customFormat="1" ht="11.25" x14ac:dyDescent="0.25">
      <c r="D328" s="231"/>
    </row>
    <row r="329" spans="4:4" s="75" customFormat="1" ht="11.25" x14ac:dyDescent="0.25">
      <c r="D329" s="231"/>
    </row>
    <row r="330" spans="4:4" s="75" customFormat="1" ht="11.25" x14ac:dyDescent="0.25">
      <c r="D330" s="231"/>
    </row>
    <row r="331" spans="4:4" s="75" customFormat="1" ht="11.25" x14ac:dyDescent="0.25">
      <c r="D331" s="231"/>
    </row>
    <row r="332" spans="4:4" s="75" customFormat="1" ht="11.25" x14ac:dyDescent="0.25">
      <c r="D332" s="231"/>
    </row>
    <row r="333" spans="4:4" s="75" customFormat="1" ht="11.25" x14ac:dyDescent="0.25">
      <c r="D333" s="231"/>
    </row>
    <row r="334" spans="4:4" s="75" customFormat="1" ht="11.25" x14ac:dyDescent="0.25">
      <c r="D334" s="231"/>
    </row>
    <row r="335" spans="4:4" s="75" customFormat="1" ht="11.25" x14ac:dyDescent="0.25">
      <c r="D335" s="231"/>
    </row>
    <row r="336" spans="4:4" s="75" customFormat="1" ht="11.25" x14ac:dyDescent="0.25">
      <c r="D336" s="231"/>
    </row>
    <row r="337" spans="4:4" s="75" customFormat="1" ht="11.25" x14ac:dyDescent="0.25">
      <c r="D337" s="231"/>
    </row>
    <row r="338" spans="4:4" s="75" customFormat="1" ht="11.25" x14ac:dyDescent="0.25">
      <c r="D338" s="231"/>
    </row>
    <row r="339" spans="4:4" s="75" customFormat="1" ht="11.25" x14ac:dyDescent="0.25">
      <c r="D339" s="231"/>
    </row>
    <row r="340" spans="4:4" s="75" customFormat="1" ht="11.25" x14ac:dyDescent="0.25">
      <c r="D340" s="231"/>
    </row>
    <row r="341" spans="4:4" s="75" customFormat="1" ht="11.25" x14ac:dyDescent="0.25">
      <c r="D341" s="231"/>
    </row>
    <row r="342" spans="4:4" s="75" customFormat="1" ht="11.25" x14ac:dyDescent="0.25">
      <c r="D342" s="231"/>
    </row>
    <row r="343" spans="4:4" s="75" customFormat="1" ht="11.25" x14ac:dyDescent="0.25">
      <c r="D343" s="231"/>
    </row>
    <row r="344" spans="4:4" s="75" customFormat="1" ht="11.25" x14ac:dyDescent="0.25">
      <c r="D344" s="231"/>
    </row>
    <row r="345" spans="4:4" s="75" customFormat="1" ht="11.25" x14ac:dyDescent="0.25">
      <c r="D345" s="231"/>
    </row>
    <row r="346" spans="4:4" s="75" customFormat="1" ht="11.25" x14ac:dyDescent="0.25">
      <c r="D346" s="231"/>
    </row>
    <row r="347" spans="4:4" s="75" customFormat="1" ht="11.25" x14ac:dyDescent="0.25">
      <c r="D347" s="231"/>
    </row>
    <row r="348" spans="4:4" s="75" customFormat="1" ht="11.25" x14ac:dyDescent="0.25">
      <c r="D348" s="231"/>
    </row>
    <row r="349" spans="4:4" s="75" customFormat="1" ht="11.25" x14ac:dyDescent="0.25">
      <c r="D349" s="231"/>
    </row>
    <row r="350" spans="4:4" s="75" customFormat="1" ht="11.25" x14ac:dyDescent="0.25">
      <c r="D350" s="231"/>
    </row>
    <row r="351" spans="4:4" s="75" customFormat="1" ht="11.25" x14ac:dyDescent="0.25">
      <c r="D351" s="231"/>
    </row>
    <row r="352" spans="4:4" s="75" customFormat="1" ht="11.25" x14ac:dyDescent="0.25">
      <c r="D352" s="231"/>
    </row>
    <row r="353" spans="4:4" s="75" customFormat="1" ht="11.25" x14ac:dyDescent="0.25">
      <c r="D353" s="231"/>
    </row>
    <row r="354" spans="4:4" s="75" customFormat="1" ht="11.25" x14ac:dyDescent="0.25">
      <c r="D354" s="231"/>
    </row>
    <row r="355" spans="4:4" s="75" customFormat="1" ht="11.25" x14ac:dyDescent="0.25">
      <c r="D355" s="231"/>
    </row>
    <row r="356" spans="4:4" s="75" customFormat="1" ht="11.25" x14ac:dyDescent="0.25">
      <c r="D356" s="231"/>
    </row>
    <row r="357" spans="4:4" s="75" customFormat="1" ht="11.25" x14ac:dyDescent="0.25">
      <c r="D357" s="231"/>
    </row>
    <row r="358" spans="4:4" s="75" customFormat="1" ht="11.25" x14ac:dyDescent="0.25">
      <c r="D358" s="231"/>
    </row>
    <row r="359" spans="4:4" s="75" customFormat="1" ht="11.25" x14ac:dyDescent="0.25">
      <c r="D359" s="231"/>
    </row>
    <row r="360" spans="4:4" s="75" customFormat="1" ht="11.25" x14ac:dyDescent="0.25">
      <c r="D360" s="231"/>
    </row>
    <row r="361" spans="4:4" s="75" customFormat="1" ht="11.25" x14ac:dyDescent="0.25">
      <c r="D361" s="231"/>
    </row>
    <row r="362" spans="4:4" s="75" customFormat="1" ht="11.25" x14ac:dyDescent="0.25">
      <c r="D362" s="231"/>
    </row>
    <row r="363" spans="4:4" s="75" customFormat="1" ht="11.25" x14ac:dyDescent="0.25">
      <c r="D363" s="231"/>
    </row>
    <row r="364" spans="4:4" s="75" customFormat="1" ht="11.25" x14ac:dyDescent="0.25">
      <c r="D364" s="231"/>
    </row>
    <row r="365" spans="4:4" s="75" customFormat="1" ht="11.25" x14ac:dyDescent="0.25">
      <c r="D365" s="231"/>
    </row>
    <row r="366" spans="4:4" s="75" customFormat="1" ht="11.25" x14ac:dyDescent="0.25">
      <c r="D366" s="231"/>
    </row>
    <row r="367" spans="4:4" s="75" customFormat="1" ht="11.25" x14ac:dyDescent="0.25">
      <c r="D367" s="231"/>
    </row>
    <row r="368" spans="4:4" s="75" customFormat="1" ht="11.25" x14ac:dyDescent="0.25">
      <c r="D368" s="231"/>
    </row>
    <row r="369" spans="4:4" s="75" customFormat="1" ht="11.25" x14ac:dyDescent="0.25">
      <c r="D369" s="231"/>
    </row>
    <row r="370" spans="4:4" s="75" customFormat="1" ht="11.25" x14ac:dyDescent="0.25">
      <c r="D370" s="231"/>
    </row>
    <row r="371" spans="4:4" s="75" customFormat="1" ht="11.25" x14ac:dyDescent="0.25">
      <c r="D371" s="231"/>
    </row>
    <row r="372" spans="4:4" s="75" customFormat="1" ht="11.25" x14ac:dyDescent="0.25">
      <c r="D372" s="231"/>
    </row>
    <row r="373" spans="4:4" s="75" customFormat="1" ht="11.25" x14ac:dyDescent="0.25">
      <c r="D373" s="231"/>
    </row>
    <row r="374" spans="4:4" s="75" customFormat="1" ht="11.25" x14ac:dyDescent="0.25">
      <c r="D374" s="231"/>
    </row>
    <row r="375" spans="4:4" s="75" customFormat="1" ht="11.25" x14ac:dyDescent="0.25">
      <c r="D375" s="231"/>
    </row>
    <row r="376" spans="4:4" s="75" customFormat="1" ht="11.25" x14ac:dyDescent="0.25">
      <c r="D376" s="231"/>
    </row>
    <row r="377" spans="4:4" s="75" customFormat="1" ht="11.25" x14ac:dyDescent="0.25">
      <c r="D377" s="231"/>
    </row>
    <row r="378" spans="4:4" s="75" customFormat="1" ht="11.25" x14ac:dyDescent="0.25">
      <c r="D378" s="231"/>
    </row>
    <row r="379" spans="4:4" s="75" customFormat="1" ht="11.25" x14ac:dyDescent="0.25">
      <c r="D379" s="231"/>
    </row>
    <row r="380" spans="4:4" s="75" customFormat="1" ht="11.25" x14ac:dyDescent="0.25">
      <c r="D380" s="231"/>
    </row>
    <row r="381" spans="4:4" s="75" customFormat="1" ht="11.25" x14ac:dyDescent="0.25">
      <c r="D381" s="231"/>
    </row>
    <row r="382" spans="4:4" s="75" customFormat="1" ht="11.25" x14ac:dyDescent="0.25">
      <c r="D382" s="231"/>
    </row>
    <row r="383" spans="4:4" s="75" customFormat="1" ht="11.25" x14ac:dyDescent="0.25">
      <c r="D383" s="231"/>
    </row>
    <row r="384" spans="4:4" s="75" customFormat="1" ht="11.25" x14ac:dyDescent="0.25">
      <c r="D384" s="231"/>
    </row>
    <row r="385" spans="4:4" s="75" customFormat="1" ht="11.25" x14ac:dyDescent="0.25">
      <c r="D385" s="231"/>
    </row>
    <row r="386" spans="4:4" s="75" customFormat="1" ht="11.25" x14ac:dyDescent="0.25">
      <c r="D386" s="231"/>
    </row>
    <row r="387" spans="4:4" s="75" customFormat="1" ht="11.25" x14ac:dyDescent="0.25">
      <c r="D387" s="231"/>
    </row>
    <row r="388" spans="4:4" s="75" customFormat="1" ht="11.25" x14ac:dyDescent="0.25">
      <c r="D388" s="231"/>
    </row>
    <row r="389" spans="4:4" s="75" customFormat="1" ht="11.25" x14ac:dyDescent="0.25">
      <c r="D389" s="231"/>
    </row>
    <row r="390" spans="4:4" s="75" customFormat="1" ht="11.25" x14ac:dyDescent="0.25">
      <c r="D390" s="231"/>
    </row>
    <row r="391" spans="4:4" s="75" customFormat="1" ht="11.25" x14ac:dyDescent="0.25">
      <c r="D391" s="231"/>
    </row>
    <row r="392" spans="4:4" s="75" customFormat="1" ht="11.25" x14ac:dyDescent="0.25">
      <c r="D392" s="231"/>
    </row>
    <row r="393" spans="4:4" s="75" customFormat="1" ht="11.25" x14ac:dyDescent="0.25">
      <c r="D393" s="231"/>
    </row>
    <row r="394" spans="4:4" s="75" customFormat="1" ht="11.25" x14ac:dyDescent="0.25">
      <c r="D394" s="231"/>
    </row>
    <row r="395" spans="4:4" s="75" customFormat="1" ht="11.25" x14ac:dyDescent="0.25">
      <c r="D395" s="231"/>
    </row>
    <row r="396" spans="4:4" s="75" customFormat="1" ht="11.25" x14ac:dyDescent="0.25">
      <c r="D396" s="231"/>
    </row>
    <row r="397" spans="4:4" s="75" customFormat="1" ht="11.25" x14ac:dyDescent="0.25">
      <c r="D397" s="231"/>
    </row>
    <row r="398" spans="4:4" s="75" customFormat="1" ht="11.25" x14ac:dyDescent="0.25">
      <c r="D398" s="231"/>
    </row>
    <row r="399" spans="4:4" s="75" customFormat="1" ht="11.25" x14ac:dyDescent="0.25">
      <c r="D399" s="231"/>
    </row>
    <row r="400" spans="4:4" s="75" customFormat="1" ht="11.25" x14ac:dyDescent="0.25">
      <c r="D400" s="231"/>
    </row>
    <row r="401" spans="4:4" s="75" customFormat="1" ht="11.25" x14ac:dyDescent="0.25">
      <c r="D401" s="231"/>
    </row>
    <row r="402" spans="4:4" s="75" customFormat="1" ht="11.25" x14ac:dyDescent="0.25">
      <c r="D402" s="231"/>
    </row>
    <row r="403" spans="4:4" s="75" customFormat="1" ht="11.25" x14ac:dyDescent="0.25">
      <c r="D403" s="231"/>
    </row>
    <row r="404" spans="4:4" s="75" customFormat="1" ht="11.25" x14ac:dyDescent="0.25">
      <c r="D404" s="231"/>
    </row>
    <row r="405" spans="4:4" s="75" customFormat="1" ht="11.25" x14ac:dyDescent="0.25">
      <c r="D405" s="231"/>
    </row>
    <row r="406" spans="4:4" s="75" customFormat="1" ht="11.25" x14ac:dyDescent="0.25">
      <c r="D406" s="231"/>
    </row>
    <row r="407" spans="4:4" s="75" customFormat="1" ht="11.25" x14ac:dyDescent="0.25">
      <c r="D407" s="231"/>
    </row>
    <row r="408" spans="4:4" s="75" customFormat="1" ht="11.25" x14ac:dyDescent="0.25">
      <c r="D408" s="231"/>
    </row>
    <row r="409" spans="4:4" s="75" customFormat="1" ht="11.25" x14ac:dyDescent="0.25">
      <c r="D409" s="231"/>
    </row>
    <row r="410" spans="4:4" s="75" customFormat="1" ht="11.25" x14ac:dyDescent="0.25">
      <c r="D410" s="231"/>
    </row>
    <row r="411" spans="4:4" s="75" customFormat="1" ht="11.25" x14ac:dyDescent="0.25">
      <c r="D411" s="231"/>
    </row>
    <row r="412" spans="4:4" s="75" customFormat="1" ht="11.25" x14ac:dyDescent="0.25">
      <c r="D412" s="231"/>
    </row>
    <row r="413" spans="4:4" s="75" customFormat="1" ht="11.25" x14ac:dyDescent="0.25">
      <c r="D413" s="231"/>
    </row>
    <row r="414" spans="4:4" s="75" customFormat="1" ht="11.25" x14ac:dyDescent="0.25">
      <c r="D414" s="231"/>
    </row>
    <row r="415" spans="4:4" s="75" customFormat="1" ht="11.25" x14ac:dyDescent="0.25">
      <c r="D415" s="231"/>
    </row>
    <row r="416" spans="4:4" s="75" customFormat="1" ht="11.25" x14ac:dyDescent="0.25">
      <c r="D416" s="231"/>
    </row>
    <row r="417" spans="4:4" s="75" customFormat="1" ht="11.25" x14ac:dyDescent="0.25">
      <c r="D417" s="231"/>
    </row>
    <row r="418" spans="4:4" s="75" customFormat="1" ht="11.25" x14ac:dyDescent="0.25">
      <c r="D418" s="231"/>
    </row>
    <row r="419" spans="4:4" s="75" customFormat="1" ht="11.25" x14ac:dyDescent="0.25">
      <c r="D419" s="231"/>
    </row>
    <row r="420" spans="4:4" s="75" customFormat="1" ht="11.25" x14ac:dyDescent="0.25">
      <c r="D420" s="231"/>
    </row>
    <row r="421" spans="4:4" s="75" customFormat="1" ht="11.25" x14ac:dyDescent="0.25">
      <c r="D421" s="231"/>
    </row>
    <row r="422" spans="4:4" s="75" customFormat="1" ht="11.25" x14ac:dyDescent="0.25">
      <c r="D422" s="231"/>
    </row>
    <row r="423" spans="4:4" s="75" customFormat="1" ht="11.25" x14ac:dyDescent="0.25">
      <c r="D423" s="231"/>
    </row>
    <row r="424" spans="4:4" s="75" customFormat="1" ht="11.25" x14ac:dyDescent="0.25">
      <c r="D424" s="231"/>
    </row>
    <row r="425" spans="4:4" s="75" customFormat="1" ht="11.25" x14ac:dyDescent="0.25">
      <c r="D425" s="231"/>
    </row>
    <row r="426" spans="4:4" s="75" customFormat="1" ht="11.25" x14ac:dyDescent="0.25">
      <c r="D426" s="231"/>
    </row>
    <row r="427" spans="4:4" s="75" customFormat="1" ht="11.25" x14ac:dyDescent="0.25">
      <c r="D427" s="231"/>
    </row>
    <row r="428" spans="4:4" s="75" customFormat="1" ht="11.25" x14ac:dyDescent="0.25">
      <c r="D428" s="231"/>
    </row>
    <row r="429" spans="4:4" s="75" customFormat="1" ht="11.25" x14ac:dyDescent="0.25">
      <c r="D429" s="231"/>
    </row>
    <row r="430" spans="4:4" s="75" customFormat="1" ht="11.25" x14ac:dyDescent="0.25">
      <c r="D430" s="231"/>
    </row>
    <row r="431" spans="4:4" s="75" customFormat="1" ht="11.25" x14ac:dyDescent="0.25">
      <c r="D431" s="231"/>
    </row>
    <row r="432" spans="4:4" s="75" customFormat="1" ht="11.25" x14ac:dyDescent="0.25">
      <c r="D432" s="231"/>
    </row>
    <row r="433" spans="1:193" s="75" customFormat="1" ht="11.25" x14ac:dyDescent="0.25">
      <c r="D433" s="231"/>
    </row>
    <row r="434" spans="1:193" s="75" customFormat="1" ht="11.25" x14ac:dyDescent="0.25">
      <c r="D434" s="231"/>
    </row>
    <row r="435" spans="1:193" s="75" customFormat="1" ht="11.25" x14ac:dyDescent="0.25">
      <c r="D435" s="231"/>
    </row>
    <row r="436" spans="1:193" s="75" customFormat="1" ht="11.25" x14ac:dyDescent="0.25">
      <c r="D436" s="231"/>
    </row>
    <row r="437" spans="1:193" s="75" customFormat="1" ht="11.25" x14ac:dyDescent="0.25">
      <c r="D437" s="231"/>
    </row>
    <row r="438" spans="1:193" s="75" customFormat="1" ht="11.25" x14ac:dyDescent="0.25">
      <c r="D438" s="231"/>
    </row>
    <row r="439" spans="1:193" s="75" customFormat="1" ht="11.25" x14ac:dyDescent="0.25">
      <c r="D439" s="231"/>
    </row>
    <row r="440" spans="1:193" s="75" customFormat="1" ht="11.25" x14ac:dyDescent="0.25">
      <c r="D440" s="231"/>
    </row>
    <row r="441" spans="1:193" s="75" customFormat="1" ht="11.25" x14ac:dyDescent="0.25">
      <c r="D441" s="231"/>
    </row>
    <row r="442" spans="1:193" s="75" customFormat="1" ht="11.25" x14ac:dyDescent="0.25">
      <c r="D442" s="231"/>
    </row>
    <row r="443" spans="1:193" s="75" customFormat="1" ht="11.25" x14ac:dyDescent="0.25">
      <c r="D443" s="231"/>
    </row>
    <row r="444" spans="1:193" x14ac:dyDescent="0.25">
      <c r="A444" s="75"/>
      <c r="B444" s="75"/>
      <c r="C444" s="75"/>
      <c r="D444" s="231"/>
      <c r="E444" s="75"/>
      <c r="F444" s="75"/>
      <c r="G444" s="75"/>
      <c r="H444" s="75"/>
      <c r="I444" s="75"/>
      <c r="J444" s="75"/>
      <c r="K444" s="75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  <c r="EZ444"/>
      <c r="FA444"/>
      <c r="FB444"/>
      <c r="FC444"/>
      <c r="FD444"/>
      <c r="FE444"/>
      <c r="FF444"/>
      <c r="FG444"/>
      <c r="FH444"/>
      <c r="FI444"/>
      <c r="FJ444"/>
      <c r="FK444"/>
      <c r="FL444"/>
      <c r="FM444"/>
      <c r="FN444"/>
      <c r="FO444"/>
      <c r="FP444"/>
      <c r="FQ444"/>
      <c r="FR444"/>
      <c r="FS444"/>
      <c r="FT444"/>
      <c r="FU444"/>
      <c r="FV444"/>
      <c r="FW444"/>
      <c r="FX444"/>
      <c r="FY444"/>
      <c r="FZ444"/>
      <c r="GA444"/>
      <c r="GB444"/>
      <c r="GC444"/>
      <c r="GD444"/>
      <c r="GE444"/>
      <c r="GF444"/>
      <c r="GG444"/>
      <c r="GH444"/>
      <c r="GI444"/>
      <c r="GJ444"/>
      <c r="GK444"/>
    </row>
    <row r="445" spans="1:193" x14ac:dyDescent="0.25">
      <c r="A445" s="75"/>
      <c r="B445" s="75"/>
      <c r="C445" s="75"/>
      <c r="D445" s="231"/>
      <c r="E445" s="75"/>
      <c r="F445" s="75"/>
      <c r="G445" s="75"/>
      <c r="H445" s="75"/>
      <c r="I445" s="75"/>
      <c r="J445" s="75"/>
      <c r="K445" s="7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  <c r="FC445"/>
      <c r="FD445"/>
      <c r="FE445"/>
      <c r="FF445"/>
      <c r="FG445"/>
      <c r="FH445"/>
      <c r="FI445"/>
      <c r="FJ445"/>
      <c r="FK445"/>
      <c r="FL445"/>
      <c r="FM445"/>
      <c r="FN445"/>
      <c r="FO445"/>
      <c r="FP445"/>
      <c r="FQ445"/>
      <c r="FR445"/>
      <c r="FS445"/>
      <c r="FT445"/>
      <c r="FU445"/>
      <c r="FV445"/>
      <c r="FW445"/>
      <c r="FX445"/>
      <c r="FY445"/>
      <c r="FZ445"/>
      <c r="GA445"/>
      <c r="GB445"/>
      <c r="GC445"/>
      <c r="GD445"/>
      <c r="GE445"/>
      <c r="GF445"/>
      <c r="GG445"/>
      <c r="GH445"/>
      <c r="GI445"/>
      <c r="GJ445"/>
      <c r="GK445"/>
    </row>
    <row r="446" spans="1:193" x14ac:dyDescent="0.25">
      <c r="A446" s="75"/>
      <c r="B446" s="75"/>
      <c r="C446" s="75"/>
      <c r="D446" s="231"/>
      <c r="E446" s="75"/>
      <c r="F446" s="75"/>
      <c r="G446" s="75"/>
      <c r="H446" s="75"/>
      <c r="I446" s="75"/>
      <c r="J446" s="75"/>
      <c r="K446" s="75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  <c r="EZ446"/>
      <c r="FA446"/>
      <c r="FB446"/>
      <c r="FC446"/>
      <c r="FD446"/>
      <c r="FE446"/>
      <c r="FF446"/>
      <c r="FG446"/>
      <c r="FH446"/>
      <c r="FI446"/>
      <c r="FJ446"/>
      <c r="FK446"/>
      <c r="FL446"/>
      <c r="FM446"/>
      <c r="FN446"/>
      <c r="FO446"/>
      <c r="FP446"/>
      <c r="FQ446"/>
      <c r="FR446"/>
      <c r="FS446"/>
      <c r="FT446"/>
      <c r="FU446"/>
      <c r="FV446"/>
      <c r="FW446"/>
      <c r="FX446"/>
      <c r="FY446"/>
      <c r="FZ446"/>
      <c r="GA446"/>
      <c r="GB446"/>
      <c r="GC446"/>
      <c r="GD446"/>
      <c r="GE446"/>
      <c r="GF446"/>
      <c r="GG446"/>
      <c r="GH446"/>
      <c r="GI446"/>
      <c r="GJ446"/>
      <c r="GK446"/>
    </row>
    <row r="447" spans="1:193" x14ac:dyDescent="0.25">
      <c r="A447" s="75"/>
      <c r="B447" s="75"/>
      <c r="C447" s="75"/>
      <c r="D447" s="231"/>
      <c r="E447" s="75"/>
      <c r="F447" s="75"/>
      <c r="G447" s="75"/>
      <c r="H447" s="75"/>
      <c r="I447" s="75"/>
      <c r="J447" s="75"/>
      <c r="K447" s="75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</row>
    <row r="448" spans="1:193" x14ac:dyDescent="0.25">
      <c r="A448" s="75"/>
      <c r="B448" s="75"/>
      <c r="C448" s="75"/>
      <c r="D448" s="231"/>
      <c r="E448" s="75"/>
      <c r="F448" s="75"/>
      <c r="G448" s="75"/>
      <c r="H448" s="75"/>
      <c r="I448" s="75"/>
      <c r="J448" s="75"/>
      <c r="K448" s="75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</row>
  </sheetData>
  <sheetProtection algorithmName="SHA-512" hashValue="Oe4YwmY3tY0pY1OPNXtmMePdch6r+/s2wCgGwABmHM6/8BHqDQ+Tvi8Q1Dut13SqHjIS3sZlkjx9Cyg0X0MVTA==" saltValue="ye/kCXN1GnHfw0sZxm04iw==" spinCount="100000" sheet="1" objects="1" scenarios="1"/>
  <autoFilter ref="A4:K16" xr:uid="{00000000-0009-0000-0000-000005000000}">
    <filterColumn colId="1" showButton="0"/>
    <filterColumn colId="2" showButton="0"/>
    <filterColumn colId="3" showButton="0"/>
  </autoFilter>
  <mergeCells count="65">
    <mergeCell ref="C41:D41"/>
    <mergeCell ref="E41:F41"/>
    <mergeCell ref="G41:H41"/>
    <mergeCell ref="C1:H1"/>
    <mergeCell ref="A39:B39"/>
    <mergeCell ref="E39:F39"/>
    <mergeCell ref="G39:H39"/>
    <mergeCell ref="A40:B40"/>
    <mergeCell ref="E40:F40"/>
    <mergeCell ref="G40:H40"/>
    <mergeCell ref="A37:B37"/>
    <mergeCell ref="E37:F37"/>
    <mergeCell ref="G37:H37"/>
    <mergeCell ref="A38:B38"/>
    <mergeCell ref="E38:F38"/>
    <mergeCell ref="G38:H38"/>
    <mergeCell ref="A35:B35"/>
    <mergeCell ref="E35:F35"/>
    <mergeCell ref="G35:H35"/>
    <mergeCell ref="A36:B36"/>
    <mergeCell ref="E36:F36"/>
    <mergeCell ref="G36:H36"/>
    <mergeCell ref="A33:B33"/>
    <mergeCell ref="E33:F33"/>
    <mergeCell ref="G33:H33"/>
    <mergeCell ref="A34:B34"/>
    <mergeCell ref="E34:F34"/>
    <mergeCell ref="G34:H34"/>
    <mergeCell ref="A31:B31"/>
    <mergeCell ref="E31:F31"/>
    <mergeCell ref="G31:H31"/>
    <mergeCell ref="A32:B32"/>
    <mergeCell ref="E32:F32"/>
    <mergeCell ref="G32:H32"/>
    <mergeCell ref="A29:B29"/>
    <mergeCell ref="E29:F29"/>
    <mergeCell ref="G29:H29"/>
    <mergeCell ref="A30:B30"/>
    <mergeCell ref="E30:F30"/>
    <mergeCell ref="G30:H30"/>
    <mergeCell ref="A24:I24"/>
    <mergeCell ref="A26:K26"/>
    <mergeCell ref="A27:B28"/>
    <mergeCell ref="C27:H27"/>
    <mergeCell ref="I27:I28"/>
    <mergeCell ref="J27:J28"/>
    <mergeCell ref="K27:K28"/>
    <mergeCell ref="C28:D28"/>
    <mergeCell ref="E28:F28"/>
    <mergeCell ref="G28:H28"/>
    <mergeCell ref="A17:K17"/>
    <mergeCell ref="B13:E13"/>
    <mergeCell ref="B14:E14"/>
    <mergeCell ref="A15:H15"/>
    <mergeCell ref="K19:K23"/>
    <mergeCell ref="A3:K3"/>
    <mergeCell ref="B4:E4"/>
    <mergeCell ref="B5:E5"/>
    <mergeCell ref="B6:E6"/>
    <mergeCell ref="B7:E7"/>
    <mergeCell ref="B11:E11"/>
    <mergeCell ref="B12:E12"/>
    <mergeCell ref="B8:E8"/>
    <mergeCell ref="B9:E9"/>
    <mergeCell ref="B10:E10"/>
  </mergeCells>
  <dataValidations count="1">
    <dataValidation type="decimal" operator="greaterThanOrEqual" allowBlank="1" showInputMessage="1" showErrorMessage="1" sqref="J22" xr:uid="{00000000-0002-0000-0500-000000000000}">
      <formula1>0</formula1>
    </dataValidation>
  </dataValidations>
  <pageMargins left="0.39370078740157483" right="0.15748031496062992" top="0.39370078740157483" bottom="0.27559055118110237" header="0.19685039370078741" footer="0.15748031496062992"/>
  <pageSetup paperSize="9" scale="70" fitToHeight="4" orientation="portrait" r:id="rId1"/>
  <headerFooter>
    <oddHeader>&amp;C&amp;"-,Negrito"PLANILHA DE COMPOSIÇÃO DE CUSTOS CUSTO RESUMIDO POR LOCALIDADE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1362B3D-8EE4-46C4-992B-FB25ED39DDA1}">
          <x14:formula1>
            <xm:f>'Indicadores Financeiros'!$C$127:$C$131</xm:f>
          </x14:formula1>
          <xm:sqref>C1:H1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BY199"/>
  <sheetViews>
    <sheetView showGridLines="0" zoomScaleNormal="100" workbookViewId="0">
      <selection activeCell="C8" sqref="C8:D8"/>
    </sheetView>
  </sheetViews>
  <sheetFormatPr defaultColWidth="9.140625" defaultRowHeight="15" x14ac:dyDescent="0.25"/>
  <cols>
    <col min="1" max="1" width="10.140625" customWidth="1"/>
    <col min="2" max="2" width="18" customWidth="1"/>
    <col min="3" max="3" width="19.140625" customWidth="1"/>
    <col min="4" max="4" width="20.85546875" customWidth="1"/>
    <col min="5" max="5" width="10.140625" customWidth="1"/>
    <col min="6" max="6" width="11.28515625" customWidth="1"/>
    <col min="7" max="7" width="7" bestFit="1" customWidth="1"/>
    <col min="8" max="8" width="11.42578125" customWidth="1"/>
    <col min="9" max="9" width="9.5703125" style="1" bestFit="1" customWidth="1"/>
    <col min="10" max="10" width="9.28515625" style="1" bestFit="1" customWidth="1"/>
    <col min="11" max="11" width="9.5703125" style="1" bestFit="1" customWidth="1"/>
    <col min="12" max="14" width="9.140625" style="1"/>
    <col min="15" max="15" width="9.140625" style="96"/>
    <col min="16" max="16" width="9.140625" style="155"/>
    <col min="17" max="16384" width="9.140625" style="1"/>
  </cols>
  <sheetData>
    <row r="1" spans="1:11" x14ac:dyDescent="0.25">
      <c r="A1" s="500" t="s">
        <v>24</v>
      </c>
      <c r="B1" s="500"/>
      <c r="C1" s="500"/>
      <c r="D1" s="500"/>
      <c r="E1" s="500"/>
      <c r="F1" s="500"/>
      <c r="G1" s="500"/>
      <c r="H1" s="500"/>
    </row>
    <row r="2" spans="1:11" x14ac:dyDescent="0.25">
      <c r="A2" s="564" t="s">
        <v>6</v>
      </c>
      <c r="B2" s="564"/>
      <c r="C2" s="488"/>
      <c r="D2" s="488"/>
      <c r="E2" s="488"/>
      <c r="F2" s="488"/>
      <c r="G2" s="488"/>
      <c r="H2" s="488"/>
    </row>
    <row r="3" spans="1:11" x14ac:dyDescent="0.25">
      <c r="A3" s="564" t="s">
        <v>7</v>
      </c>
      <c r="B3" s="564"/>
      <c r="C3" s="488" t="s">
        <v>229</v>
      </c>
      <c r="D3" s="488"/>
      <c r="E3" s="488"/>
      <c r="F3" s="488"/>
      <c r="G3" s="488"/>
      <c r="H3" s="488"/>
    </row>
    <row r="4" spans="1:11" x14ac:dyDescent="0.25">
      <c r="A4" s="564" t="s">
        <v>31</v>
      </c>
      <c r="B4" s="564"/>
      <c r="C4" s="517" t="str">
        <f>'Indicadores Financeiros'!$F$7</f>
        <v>Incidência cumulativa de PIS e de COFINS</v>
      </c>
      <c r="D4" s="518"/>
      <c r="E4" s="518"/>
      <c r="F4" s="518"/>
      <c r="G4" s="518"/>
      <c r="H4" s="519"/>
    </row>
    <row r="5" spans="1:11" x14ac:dyDescent="0.25">
      <c r="A5" s="564" t="s">
        <v>33</v>
      </c>
      <c r="B5" s="564"/>
      <c r="C5" s="561">
        <f>'Indicadores Financeiros'!$F$9</f>
        <v>0</v>
      </c>
      <c r="D5" s="562"/>
      <c r="E5" s="562"/>
      <c r="F5" s="562"/>
      <c r="G5" s="562"/>
      <c r="H5" s="563"/>
    </row>
    <row r="6" spans="1:11" x14ac:dyDescent="0.25">
      <c r="A6" s="564" t="s">
        <v>34</v>
      </c>
      <c r="B6" s="564"/>
      <c r="C6" s="561">
        <f>'Indicadores Financeiros'!$F$10</f>
        <v>0</v>
      </c>
      <c r="D6" s="562"/>
      <c r="E6" s="562"/>
      <c r="F6" s="562"/>
      <c r="G6" s="562"/>
      <c r="H6" s="563"/>
    </row>
    <row r="7" spans="1:11" x14ac:dyDescent="0.25">
      <c r="A7" s="564" t="s">
        <v>32</v>
      </c>
      <c r="B7" s="564"/>
      <c r="C7" s="561">
        <f>'Indicadores Financeiros'!$F$8</f>
        <v>0</v>
      </c>
      <c r="D7" s="562"/>
      <c r="E7" s="562"/>
      <c r="F7" s="562"/>
      <c r="G7" s="562"/>
      <c r="H7" s="563"/>
    </row>
    <row r="8" spans="1:11" x14ac:dyDescent="0.25">
      <c r="A8" s="556" t="s">
        <v>230</v>
      </c>
      <c r="B8" s="557"/>
      <c r="C8" s="565" t="s">
        <v>898</v>
      </c>
      <c r="D8" s="566"/>
      <c r="E8" s="157" t="s">
        <v>143</v>
      </c>
      <c r="F8" s="567">
        <f>VLOOKUP($C$8,'Indicadores Financeiros'!$C$127:$G$131,5,FALSE)</f>
        <v>0.02</v>
      </c>
      <c r="G8" s="568"/>
      <c r="H8" s="569"/>
      <c r="I8" s="97"/>
      <c r="J8" s="98"/>
      <c r="K8" s="99"/>
    </row>
    <row r="9" spans="1:11" x14ac:dyDescent="0.25">
      <c r="A9" s="556" t="str">
        <f>IF(OR($A$15=690004,$A$15=690025,$A$15=690030,$A$15=690031,$A$15=690033),"Nº de dias estimado p/ mês plantão","Nº de dias úteis estimado por mês")</f>
        <v>Nº de dias úteis estimado por mês</v>
      </c>
      <c r="B9" s="557"/>
      <c r="C9" s="558">
        <f>VLOOKUP($A$15,'Tabela de Códigos e Valores'!A:G,7,FALSE)</f>
        <v>21</v>
      </c>
      <c r="D9" s="559"/>
      <c r="E9" s="559"/>
      <c r="F9" s="559"/>
      <c r="G9" s="559"/>
      <c r="H9" s="560"/>
      <c r="I9" s="97"/>
      <c r="K9" s="99"/>
    </row>
    <row r="10" spans="1:11" x14ac:dyDescent="0.25">
      <c r="A10" s="556" t="s">
        <v>232</v>
      </c>
      <c r="B10" s="557"/>
      <c r="C10" s="561">
        <f>'Indicadores Financeiros'!$F$13</f>
        <v>0</v>
      </c>
      <c r="D10" s="562"/>
      <c r="E10" s="562"/>
      <c r="F10" s="562"/>
      <c r="G10" s="562"/>
      <c r="H10" s="563"/>
      <c r="I10" s="97"/>
      <c r="K10" s="99"/>
    </row>
    <row r="11" spans="1:11" x14ac:dyDescent="0.25">
      <c r="A11" s="556" t="s">
        <v>165</v>
      </c>
      <c r="B11" s="557"/>
      <c r="C11" s="561">
        <f>VLOOKUP($C$8,'Indicadores Financeiros'!C127:H132,6,FALSE)</f>
        <v>2.0400000000000001E-2</v>
      </c>
      <c r="D11" s="562"/>
      <c r="E11" s="562"/>
      <c r="F11" s="562"/>
      <c r="G11" s="562"/>
      <c r="H11" s="563"/>
      <c r="I11" s="97"/>
      <c r="K11" s="99"/>
    </row>
    <row r="12" spans="1:11" ht="9" customHeight="1" x14ac:dyDescent="0.25">
      <c r="A12" s="499"/>
      <c r="B12" s="499"/>
      <c r="C12" s="499"/>
      <c r="D12" s="499"/>
      <c r="E12" s="499"/>
      <c r="F12" s="499"/>
      <c r="G12" s="499"/>
      <c r="H12" s="499"/>
    </row>
    <row r="13" spans="1:11" x14ac:dyDescent="0.25">
      <c r="A13" s="500" t="s">
        <v>233</v>
      </c>
      <c r="B13" s="500"/>
      <c r="C13" s="500"/>
      <c r="D13" s="500"/>
      <c r="E13" s="500"/>
      <c r="F13" s="500"/>
      <c r="G13" s="500"/>
      <c r="H13" s="500"/>
      <c r="I13" s="97"/>
      <c r="K13" s="100"/>
    </row>
    <row r="14" spans="1:11" x14ac:dyDescent="0.25">
      <c r="A14" s="101" t="s">
        <v>97</v>
      </c>
      <c r="B14" s="552" t="s">
        <v>152</v>
      </c>
      <c r="C14" s="552"/>
      <c r="D14" s="552"/>
      <c r="E14" s="552"/>
      <c r="F14" s="101" t="s">
        <v>154</v>
      </c>
      <c r="G14" s="101" t="s">
        <v>153</v>
      </c>
      <c r="H14" s="101" t="s">
        <v>234</v>
      </c>
      <c r="I14" s="97"/>
    </row>
    <row r="15" spans="1:11" ht="36" customHeight="1" x14ac:dyDescent="0.25">
      <c r="A15" s="102">
        <v>690001</v>
      </c>
      <c r="B15" s="553" t="str">
        <f>IFERROR(VLOOKUP(A15,'Tabela de Códigos e Valores'!A:J,2,FALSE),0)</f>
        <v>Auxiliar de limpeza - diurno - 44 horas semanais (segunda a sexta-feira)</v>
      </c>
      <c r="C15" s="554"/>
      <c r="D15" s="554"/>
      <c r="E15" s="555"/>
      <c r="F15" s="103" t="str">
        <f>IFERROR(VLOOKUP(A15,'Relatório Custo'!$E:$K,4,FALSE),"")</f>
        <v>Mensal</v>
      </c>
      <c r="G15" s="236" t="str">
        <f>IFERROR(VLOOKUP(A15,'Relatório Custo'!$E:$K,3,FALSE),"")</f>
        <v>Posto</v>
      </c>
      <c r="H15" s="174">
        <f>SUMIFS('Relatório Custo'!$K$3:$K$35,'Relatório Custo'!$E$3:$E$35,'Custo por Função'!$A$15,'Relatório Custo'!$C$3:$C$35,'Custo por Função'!$C$8)</f>
        <v>27</v>
      </c>
      <c r="I15" s="97"/>
      <c r="J15" s="238">
        <f>ROUND(SUMIFS('Relatório Custo'!$V:$V,'Relatório Custo'!$E:$E,'Custo por Função'!A15,'Relatório Custo'!C:C,'Custo por Função'!$C$8)-F114,2)</f>
        <v>0</v>
      </c>
      <c r="K15" s="239"/>
    </row>
    <row r="16" spans="1:11" ht="9" customHeight="1" x14ac:dyDescent="0.25">
      <c r="A16" s="499"/>
      <c r="B16" s="499"/>
      <c r="C16" s="499"/>
      <c r="D16" s="499"/>
      <c r="E16" s="499"/>
      <c r="F16" s="499"/>
      <c r="G16" s="499"/>
      <c r="H16" s="499"/>
    </row>
    <row r="17" spans="1:13" ht="15" customHeight="1" x14ac:dyDescent="0.25">
      <c r="A17" s="549" t="s">
        <v>235</v>
      </c>
      <c r="B17" s="550"/>
      <c r="C17" s="550"/>
      <c r="D17" s="550"/>
      <c r="E17" s="550"/>
      <c r="F17" s="550"/>
      <c r="G17" s="550"/>
      <c r="H17" s="551"/>
      <c r="I17" s="97"/>
    </row>
    <row r="18" spans="1:13" x14ac:dyDescent="0.25">
      <c r="A18" s="543" t="s">
        <v>236</v>
      </c>
      <c r="B18" s="543"/>
      <c r="C18" s="543"/>
      <c r="D18" s="543"/>
      <c r="E18" s="543"/>
      <c r="F18" s="543"/>
      <c r="G18" s="543"/>
      <c r="H18" s="105" t="s">
        <v>237</v>
      </c>
      <c r="I18" s="97"/>
      <c r="K18" s="100"/>
      <c r="L18" s="155"/>
      <c r="M18" s="155"/>
    </row>
    <row r="19" spans="1:13" x14ac:dyDescent="0.25">
      <c r="A19" s="517" t="s">
        <v>238</v>
      </c>
      <c r="B19" s="518"/>
      <c r="C19" s="518"/>
      <c r="D19" s="518"/>
      <c r="E19" s="518"/>
      <c r="F19" s="518"/>
      <c r="G19" s="519"/>
      <c r="H19" s="106">
        <f>VLOOKUP($A$15,'Tabela de Códigos e Valores'!$A:$AJ,10)</f>
        <v>0</v>
      </c>
      <c r="I19" s="97"/>
      <c r="L19" s="155"/>
      <c r="M19" s="155"/>
    </row>
    <row r="20" spans="1:13" ht="15" customHeight="1" x14ac:dyDescent="0.25">
      <c r="A20" s="517" t="s">
        <v>239</v>
      </c>
      <c r="B20" s="518"/>
      <c r="C20" s="518"/>
      <c r="D20" s="518"/>
      <c r="E20" s="518"/>
      <c r="F20" s="518"/>
      <c r="G20" s="519"/>
      <c r="H20" s="106">
        <f>VLOOKUP($A$15,'Tabela de Códigos e Valores'!$A:$AJ,11)</f>
        <v>0</v>
      </c>
      <c r="I20" s="97"/>
      <c r="L20" s="155"/>
      <c r="M20" s="155"/>
    </row>
    <row r="21" spans="1:13" ht="15" customHeight="1" x14ac:dyDescent="0.25">
      <c r="A21" s="517" t="s">
        <v>240</v>
      </c>
      <c r="B21" s="518"/>
      <c r="C21" s="518"/>
      <c r="D21" s="518"/>
      <c r="E21" s="518"/>
      <c r="F21" s="518"/>
      <c r="G21" s="519"/>
      <c r="H21" s="106">
        <f>VLOOKUP($A$15,'Tabela de Códigos e Valores'!$A:$AJ,12)</f>
        <v>0</v>
      </c>
      <c r="I21" s="97"/>
      <c r="L21" s="155"/>
      <c r="M21" s="155"/>
    </row>
    <row r="22" spans="1:13" ht="15" customHeight="1" x14ac:dyDescent="0.25">
      <c r="A22" s="517" t="s">
        <v>241</v>
      </c>
      <c r="B22" s="518"/>
      <c r="C22" s="518"/>
      <c r="D22" s="518"/>
      <c r="E22" s="518"/>
      <c r="F22" s="518"/>
      <c r="G22" s="519"/>
      <c r="H22" s="106">
        <f>VLOOKUP($A$15,'Tabela de Códigos e Valores'!$A:$AJ,13)</f>
        <v>0</v>
      </c>
      <c r="I22" s="97"/>
      <c r="L22" s="155"/>
      <c r="M22" s="155"/>
    </row>
    <row r="23" spans="1:13" ht="15" customHeight="1" x14ac:dyDescent="0.25">
      <c r="A23" s="517" t="s">
        <v>242</v>
      </c>
      <c r="B23" s="518"/>
      <c r="C23" s="518"/>
      <c r="D23" s="518"/>
      <c r="E23" s="518"/>
      <c r="F23" s="518"/>
      <c r="G23" s="519"/>
      <c r="H23" s="106">
        <f>VLOOKUP($A$15,'Tabela de Códigos e Valores'!$A:$AJ,14)</f>
        <v>0</v>
      </c>
      <c r="I23" s="97"/>
      <c r="L23" s="155"/>
      <c r="M23" s="155"/>
    </row>
    <row r="24" spans="1:13" ht="15" customHeight="1" x14ac:dyDescent="0.25">
      <c r="A24" s="517" t="s">
        <v>243</v>
      </c>
      <c r="B24" s="518"/>
      <c r="C24" s="518"/>
      <c r="D24" s="518"/>
      <c r="E24" s="518"/>
      <c r="F24" s="518"/>
      <c r="G24" s="519"/>
      <c r="H24" s="106">
        <f>VLOOKUP($A$15,'Tabela de Códigos e Valores'!$A:$AJ,15)*VLOOKUP($A$15,'Tabela de Códigos e Valores'!$A:$AJ,8)</f>
        <v>0</v>
      </c>
      <c r="I24" s="97"/>
      <c r="J24" s="119"/>
      <c r="L24" s="155"/>
      <c r="M24" s="155"/>
    </row>
    <row r="25" spans="1:13" x14ac:dyDescent="0.25">
      <c r="A25" s="496" t="s">
        <v>244</v>
      </c>
      <c r="B25" s="497"/>
      <c r="C25" s="497"/>
      <c r="D25" s="497"/>
      <c r="E25" s="497"/>
      <c r="F25" s="497"/>
      <c r="G25" s="498"/>
      <c r="H25" s="107">
        <f>SUM(H19:H24)</f>
        <v>0</v>
      </c>
      <c r="I25" s="97"/>
      <c r="L25" s="155"/>
      <c r="M25" s="155"/>
    </row>
    <row r="26" spans="1:13" ht="9" customHeight="1" x14ac:dyDescent="0.25">
      <c r="A26" s="499"/>
      <c r="B26" s="499"/>
      <c r="C26" s="499"/>
      <c r="D26" s="499"/>
      <c r="E26" s="499"/>
      <c r="F26" s="499"/>
      <c r="G26" s="499"/>
      <c r="H26" s="499"/>
      <c r="L26" s="155"/>
    </row>
    <row r="27" spans="1:13" ht="15" customHeight="1" x14ac:dyDescent="0.25">
      <c r="A27" s="442" t="s">
        <v>245</v>
      </c>
      <c r="B27" s="461"/>
      <c r="C27" s="461"/>
      <c r="D27" s="461"/>
      <c r="E27" s="461"/>
      <c r="F27" s="461"/>
      <c r="G27" s="461"/>
      <c r="H27" s="443"/>
      <c r="I27" s="97"/>
      <c r="L27" s="155"/>
    </row>
    <row r="28" spans="1:13" x14ac:dyDescent="0.25">
      <c r="A28" s="543" t="s">
        <v>246</v>
      </c>
      <c r="B28" s="543"/>
      <c r="C28" s="543"/>
      <c r="D28" s="543"/>
      <c r="E28" s="543"/>
      <c r="F28" s="543"/>
      <c r="G28" s="543"/>
      <c r="H28" s="543"/>
      <c r="I28" s="97"/>
      <c r="L28" s="155"/>
    </row>
    <row r="29" spans="1:13" x14ac:dyDescent="0.25">
      <c r="A29" s="104">
        <v>1</v>
      </c>
      <c r="B29" s="537" t="s">
        <v>42</v>
      </c>
      <c r="C29" s="538"/>
      <c r="D29" s="538"/>
      <c r="E29" s="539"/>
      <c r="F29" s="545">
        <f>'Indicadores Financeiros'!J17</f>
        <v>0.2</v>
      </c>
      <c r="G29" s="546"/>
      <c r="H29" s="540"/>
      <c r="I29" s="97"/>
      <c r="J29" s="100"/>
      <c r="L29" s="155"/>
    </row>
    <row r="30" spans="1:13" x14ac:dyDescent="0.25">
      <c r="A30" s="104">
        <v>2</v>
      </c>
      <c r="B30" s="537" t="s">
        <v>43</v>
      </c>
      <c r="C30" s="538"/>
      <c r="D30" s="538"/>
      <c r="E30" s="539"/>
      <c r="F30" s="545">
        <f>'Indicadores Financeiros'!J18</f>
        <v>1.4999999999999999E-2</v>
      </c>
      <c r="G30" s="546"/>
      <c r="H30" s="541"/>
      <c r="I30" s="97"/>
      <c r="J30" s="99"/>
      <c r="L30" s="155"/>
    </row>
    <row r="31" spans="1:13" x14ac:dyDescent="0.25">
      <c r="A31" s="104">
        <v>3</v>
      </c>
      <c r="B31" s="537" t="s">
        <v>44</v>
      </c>
      <c r="C31" s="538"/>
      <c r="D31" s="538"/>
      <c r="E31" s="539"/>
      <c r="F31" s="545">
        <f>'Indicadores Financeiros'!J19</f>
        <v>0.01</v>
      </c>
      <c r="G31" s="546"/>
      <c r="H31" s="541"/>
      <c r="I31" s="97"/>
      <c r="J31" s="99"/>
      <c r="L31" s="155"/>
    </row>
    <row r="32" spans="1:13" x14ac:dyDescent="0.25">
      <c r="A32" s="104">
        <v>4</v>
      </c>
      <c r="B32" s="537" t="s">
        <v>45</v>
      </c>
      <c r="C32" s="538"/>
      <c r="D32" s="538"/>
      <c r="E32" s="539"/>
      <c r="F32" s="545">
        <f>'Indicadores Financeiros'!J20</f>
        <v>2E-3</v>
      </c>
      <c r="G32" s="546"/>
      <c r="H32" s="541"/>
      <c r="I32" s="97"/>
      <c r="J32" s="99"/>
      <c r="L32" s="155"/>
    </row>
    <row r="33" spans="1:12" x14ac:dyDescent="0.25">
      <c r="A33" s="104">
        <v>5</v>
      </c>
      <c r="B33" s="537" t="s">
        <v>46</v>
      </c>
      <c r="C33" s="538"/>
      <c r="D33" s="538"/>
      <c r="E33" s="539"/>
      <c r="F33" s="545">
        <f>'Indicadores Financeiros'!J21</f>
        <v>2.5000000000000001E-2</v>
      </c>
      <c r="G33" s="546"/>
      <c r="H33" s="541"/>
      <c r="I33" s="97"/>
      <c r="J33" s="99"/>
      <c r="L33" s="155"/>
    </row>
    <row r="34" spans="1:12" x14ac:dyDescent="0.25">
      <c r="A34" s="104">
        <v>6</v>
      </c>
      <c r="B34" s="537" t="s">
        <v>47</v>
      </c>
      <c r="C34" s="538"/>
      <c r="D34" s="538"/>
      <c r="E34" s="539"/>
      <c r="F34" s="545">
        <f>'Indicadores Financeiros'!J22</f>
        <v>0.08</v>
      </c>
      <c r="G34" s="546"/>
      <c r="H34" s="541"/>
      <c r="I34" s="97"/>
      <c r="J34" s="99"/>
    </row>
    <row r="35" spans="1:12" x14ac:dyDescent="0.25">
      <c r="A35" s="104">
        <v>7</v>
      </c>
      <c r="B35" s="537" t="s">
        <v>48</v>
      </c>
      <c r="C35" s="538"/>
      <c r="D35" s="538"/>
      <c r="E35" s="539"/>
      <c r="F35" s="545" t="str">
        <f>'Indicadores Financeiros'!J23</f>
        <v>Informar SAT</v>
      </c>
      <c r="G35" s="546"/>
      <c r="H35" s="541"/>
      <c r="I35" s="97"/>
      <c r="J35" s="99"/>
    </row>
    <row r="36" spans="1:12" x14ac:dyDescent="0.25">
      <c r="A36" s="108">
        <v>8</v>
      </c>
      <c r="B36" s="537" t="s">
        <v>49</v>
      </c>
      <c r="C36" s="538"/>
      <c r="D36" s="538"/>
      <c r="E36" s="539"/>
      <c r="F36" s="545">
        <f>'Indicadores Financeiros'!J24</f>
        <v>6.0000000000000001E-3</v>
      </c>
      <c r="G36" s="546"/>
      <c r="H36" s="542"/>
      <c r="I36" s="97"/>
      <c r="J36" s="99"/>
    </row>
    <row r="37" spans="1:12" x14ac:dyDescent="0.25">
      <c r="A37" s="496" t="s">
        <v>55</v>
      </c>
      <c r="B37" s="497"/>
      <c r="C37" s="497"/>
      <c r="D37" s="497"/>
      <c r="E37" s="498"/>
      <c r="F37" s="547">
        <f>SUM(F29:G36)</f>
        <v>0.33800000000000008</v>
      </c>
      <c r="G37" s="548"/>
      <c r="H37" s="107"/>
      <c r="I37" s="97"/>
      <c r="J37" s="100"/>
    </row>
    <row r="38" spans="1:12" ht="9" customHeight="1" x14ac:dyDescent="0.25">
      <c r="A38" s="499"/>
      <c r="B38" s="499"/>
      <c r="C38" s="499"/>
      <c r="D38" s="499"/>
      <c r="E38" s="499"/>
      <c r="F38" s="499"/>
      <c r="G38" s="499"/>
      <c r="H38" s="499"/>
    </row>
    <row r="39" spans="1:12" x14ac:dyDescent="0.25">
      <c r="A39" s="543" t="s">
        <v>247</v>
      </c>
      <c r="B39" s="543"/>
      <c r="C39" s="543"/>
      <c r="D39" s="543"/>
      <c r="E39" s="543"/>
      <c r="F39" s="543"/>
      <c r="G39" s="543"/>
      <c r="H39" s="543"/>
      <c r="I39" s="97"/>
    </row>
    <row r="40" spans="1:12" x14ac:dyDescent="0.25">
      <c r="A40" s="104">
        <v>1</v>
      </c>
      <c r="B40" s="537" t="s">
        <v>52</v>
      </c>
      <c r="C40" s="538"/>
      <c r="D40" s="538"/>
      <c r="E40" s="539"/>
      <c r="F40" s="535">
        <f>'Indicadores Financeiros'!J28</f>
        <v>8.9300000000000004E-2</v>
      </c>
      <c r="G40" s="536"/>
      <c r="H40" s="544"/>
      <c r="I40" s="97"/>
      <c r="J40" s="100"/>
    </row>
    <row r="41" spans="1:12" x14ac:dyDescent="0.25">
      <c r="A41" s="104">
        <v>2</v>
      </c>
      <c r="B41" s="537" t="s">
        <v>53</v>
      </c>
      <c r="C41" s="538"/>
      <c r="D41" s="538"/>
      <c r="E41" s="539"/>
      <c r="F41" s="535">
        <f>'Indicadores Financeiros'!J29</f>
        <v>2.98E-2</v>
      </c>
      <c r="G41" s="536"/>
      <c r="H41" s="544"/>
      <c r="I41" s="97"/>
      <c r="J41" s="100"/>
    </row>
    <row r="42" spans="1:12" x14ac:dyDescent="0.25">
      <c r="A42" s="108">
        <v>3</v>
      </c>
      <c r="B42" s="537" t="s">
        <v>54</v>
      </c>
      <c r="C42" s="538"/>
      <c r="D42" s="538"/>
      <c r="E42" s="539"/>
      <c r="F42" s="535">
        <f>'Indicadores Financeiros'!J30</f>
        <v>4.0300000000000002E-2</v>
      </c>
      <c r="G42" s="536"/>
      <c r="H42" s="544"/>
      <c r="I42" s="97"/>
      <c r="J42" s="100"/>
    </row>
    <row r="43" spans="1:12" x14ac:dyDescent="0.25">
      <c r="A43" s="496" t="s">
        <v>57</v>
      </c>
      <c r="B43" s="497"/>
      <c r="C43" s="497"/>
      <c r="D43" s="497"/>
      <c r="E43" s="498"/>
      <c r="F43" s="531">
        <f>SUM(F40:G42)</f>
        <v>0.15940000000000001</v>
      </c>
      <c r="G43" s="532"/>
      <c r="H43" s="107"/>
      <c r="I43" s="97"/>
      <c r="J43" s="100"/>
    </row>
    <row r="44" spans="1:12" ht="9" customHeight="1" x14ac:dyDescent="0.25">
      <c r="A44" s="499"/>
      <c r="B44" s="499"/>
      <c r="C44" s="499"/>
      <c r="D44" s="499"/>
      <c r="E44" s="499"/>
      <c r="F44" s="499"/>
      <c r="G44" s="499"/>
      <c r="H44" s="499"/>
    </row>
    <row r="45" spans="1:12" x14ac:dyDescent="0.25">
      <c r="A45" s="543" t="s">
        <v>248</v>
      </c>
      <c r="B45" s="543"/>
      <c r="C45" s="543"/>
      <c r="D45" s="543"/>
      <c r="E45" s="543"/>
      <c r="F45" s="543"/>
      <c r="G45" s="543"/>
      <c r="H45" s="543"/>
      <c r="I45" s="97"/>
    </row>
    <row r="46" spans="1:12" x14ac:dyDescent="0.25">
      <c r="A46" s="108">
        <v>1</v>
      </c>
      <c r="B46" s="537" t="s">
        <v>54</v>
      </c>
      <c r="C46" s="538"/>
      <c r="D46" s="538"/>
      <c r="E46" s="539"/>
      <c r="F46" s="535">
        <f>'Indicadores Financeiros'!J34</f>
        <v>7.5554163675678747E-4</v>
      </c>
      <c r="G46" s="536"/>
      <c r="H46" s="292"/>
      <c r="I46" s="97"/>
      <c r="J46" s="100"/>
    </row>
    <row r="47" spans="1:12" x14ac:dyDescent="0.25">
      <c r="A47" s="496" t="s">
        <v>67</v>
      </c>
      <c r="B47" s="497"/>
      <c r="C47" s="497"/>
      <c r="D47" s="497"/>
      <c r="E47" s="498"/>
      <c r="F47" s="531">
        <f>SUM(F46:G46)</f>
        <v>7.5554163675678747E-4</v>
      </c>
      <c r="G47" s="532"/>
      <c r="H47" s="107"/>
      <c r="I47" s="97"/>
      <c r="J47" s="100"/>
    </row>
    <row r="48" spans="1:12" ht="6" customHeight="1" x14ac:dyDescent="0.25">
      <c r="A48" s="499"/>
      <c r="B48" s="499"/>
      <c r="C48" s="499"/>
      <c r="D48" s="499"/>
      <c r="E48" s="499"/>
      <c r="F48" s="499"/>
      <c r="G48" s="499"/>
      <c r="H48" s="499"/>
    </row>
    <row r="49" spans="1:77" x14ac:dyDescent="0.25">
      <c r="A49" s="543" t="s">
        <v>249</v>
      </c>
      <c r="B49" s="543"/>
      <c r="C49" s="543"/>
      <c r="D49" s="543"/>
      <c r="E49" s="543"/>
      <c r="F49" s="543"/>
      <c r="G49" s="543"/>
      <c r="H49" s="543"/>
      <c r="I49" s="97"/>
    </row>
    <row r="50" spans="1:77" x14ac:dyDescent="0.25">
      <c r="A50" s="104">
        <v>1</v>
      </c>
      <c r="B50" s="471" t="s">
        <v>59</v>
      </c>
      <c r="C50" s="472"/>
      <c r="D50" s="472"/>
      <c r="E50" s="473"/>
      <c r="F50" s="535">
        <f>'Indicadores Financeiros'!J38</f>
        <v>4.0800000000000003E-2</v>
      </c>
      <c r="G50" s="536"/>
      <c r="H50" s="540"/>
      <c r="I50" s="97"/>
      <c r="J50" s="100"/>
    </row>
    <row r="51" spans="1:77" x14ac:dyDescent="0.25">
      <c r="A51" s="104">
        <v>2</v>
      </c>
      <c r="B51" s="471" t="s">
        <v>60</v>
      </c>
      <c r="C51" s="472"/>
      <c r="D51" s="472"/>
      <c r="E51" s="473"/>
      <c r="F51" s="535">
        <f>'Indicadores Financeiros'!J39</f>
        <v>3.3E-3</v>
      </c>
      <c r="G51" s="536"/>
      <c r="H51" s="541"/>
      <c r="I51" s="97"/>
      <c r="J51" s="100"/>
    </row>
    <row r="52" spans="1:77" x14ac:dyDescent="0.25">
      <c r="A52" s="104">
        <v>3</v>
      </c>
      <c r="B52" s="471" t="s">
        <v>61</v>
      </c>
      <c r="C52" s="472"/>
      <c r="D52" s="472"/>
      <c r="E52" s="473"/>
      <c r="F52" s="535">
        <f>'Indicadores Financeiros'!J40</f>
        <v>1.2999999999999999E-3</v>
      </c>
      <c r="G52" s="536"/>
      <c r="H52" s="541"/>
      <c r="I52" s="97"/>
      <c r="J52" s="100"/>
    </row>
    <row r="53" spans="1:77" x14ac:dyDescent="0.25">
      <c r="A53" s="104">
        <v>4</v>
      </c>
      <c r="B53" s="471" t="s">
        <v>62</v>
      </c>
      <c r="C53" s="472"/>
      <c r="D53" s="472"/>
      <c r="E53" s="473"/>
      <c r="F53" s="535">
        <f>'Indicadores Financeiros'!J41</f>
        <v>1E-4</v>
      </c>
      <c r="G53" s="536"/>
      <c r="H53" s="541"/>
      <c r="I53" s="97"/>
      <c r="J53" s="100"/>
    </row>
    <row r="54" spans="1:77" x14ac:dyDescent="0.25">
      <c r="A54" s="104">
        <v>5</v>
      </c>
      <c r="B54" s="471" t="s">
        <v>63</v>
      </c>
      <c r="C54" s="472"/>
      <c r="D54" s="472"/>
      <c r="E54" s="473"/>
      <c r="F54" s="535">
        <f>'Indicadores Financeiros'!J42</f>
        <v>0</v>
      </c>
      <c r="G54" s="536"/>
      <c r="H54" s="541"/>
      <c r="I54" s="97"/>
      <c r="J54" s="100"/>
    </row>
    <row r="55" spans="1:77" x14ac:dyDescent="0.25">
      <c r="A55" s="104">
        <v>6</v>
      </c>
      <c r="B55" s="471" t="s">
        <v>64</v>
      </c>
      <c r="C55" s="472"/>
      <c r="D55" s="472"/>
      <c r="E55" s="473"/>
      <c r="F55" s="535">
        <f>'Indicadores Financeiros'!J43</f>
        <v>0</v>
      </c>
      <c r="G55" s="536"/>
      <c r="H55" s="541"/>
      <c r="I55" s="97"/>
      <c r="J55" s="100"/>
    </row>
    <row r="56" spans="1:77" s="114" customFormat="1" ht="15" customHeight="1" x14ac:dyDescent="0.25">
      <c r="A56" s="108">
        <v>7</v>
      </c>
      <c r="B56" s="471" t="s">
        <v>65</v>
      </c>
      <c r="C56" s="472"/>
      <c r="D56" s="472"/>
      <c r="E56" s="473"/>
      <c r="F56" s="535">
        <f>'Indicadores Financeiros'!J44</f>
        <v>8.0000000000000004E-4</v>
      </c>
      <c r="G56" s="536"/>
      <c r="H56" s="541"/>
      <c r="I56" s="109"/>
      <c r="J56" s="110"/>
      <c r="K56" s="111"/>
      <c r="L56" s="112"/>
      <c r="M56" s="110"/>
      <c r="N56" s="110"/>
      <c r="O56" s="113"/>
      <c r="P56" s="156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  <c r="AQ56" s="110"/>
      <c r="AR56" s="110"/>
      <c r="AS56" s="110"/>
      <c r="AT56" s="110"/>
      <c r="AU56" s="110"/>
      <c r="AV56" s="110"/>
      <c r="AW56" s="110"/>
      <c r="AX56" s="110"/>
      <c r="AY56" s="110"/>
      <c r="AZ56" s="110"/>
      <c r="BA56" s="110"/>
      <c r="BB56" s="110"/>
      <c r="BC56" s="110"/>
      <c r="BD56" s="110"/>
      <c r="BE56" s="110"/>
      <c r="BF56" s="110"/>
      <c r="BG56" s="110"/>
      <c r="BH56" s="110"/>
      <c r="BI56" s="110"/>
      <c r="BJ56" s="110"/>
      <c r="BK56" s="110"/>
      <c r="BL56" s="110"/>
      <c r="BM56" s="110"/>
      <c r="BN56" s="110"/>
      <c r="BO56" s="110"/>
      <c r="BP56" s="110"/>
      <c r="BQ56" s="110"/>
      <c r="BR56" s="110"/>
      <c r="BS56" s="110"/>
      <c r="BT56" s="110"/>
      <c r="BU56" s="110"/>
      <c r="BV56" s="110"/>
      <c r="BW56" s="110"/>
      <c r="BX56" s="110"/>
      <c r="BY56" s="110"/>
    </row>
    <row r="57" spans="1:77" s="114" customFormat="1" ht="15" customHeight="1" x14ac:dyDescent="0.25">
      <c r="A57" s="108">
        <v>8</v>
      </c>
      <c r="B57" s="471" t="s">
        <v>66</v>
      </c>
      <c r="C57" s="472"/>
      <c r="D57" s="472"/>
      <c r="E57" s="473"/>
      <c r="F57" s="535">
        <f>'Indicadores Financeiros'!J45</f>
        <v>9.2099999999999994E-3</v>
      </c>
      <c r="G57" s="536"/>
      <c r="H57" s="542"/>
      <c r="I57" s="109"/>
      <c r="J57" s="110"/>
      <c r="K57" s="111"/>
      <c r="L57" s="112"/>
      <c r="M57" s="110"/>
      <c r="N57" s="110"/>
      <c r="O57" s="113"/>
      <c r="P57" s="156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  <c r="AQ57" s="110"/>
      <c r="AR57" s="110"/>
      <c r="AS57" s="110"/>
      <c r="AT57" s="110"/>
      <c r="AU57" s="110"/>
      <c r="AV57" s="110"/>
      <c r="AW57" s="110"/>
      <c r="AX57" s="110"/>
      <c r="AY57" s="110"/>
      <c r="AZ57" s="110"/>
      <c r="BA57" s="110"/>
      <c r="BB57" s="110"/>
      <c r="BC57" s="110"/>
      <c r="BD57" s="110"/>
      <c r="BE57" s="110"/>
      <c r="BF57" s="110"/>
      <c r="BG57" s="110"/>
      <c r="BH57" s="110"/>
      <c r="BI57" s="110"/>
      <c r="BJ57" s="110"/>
      <c r="BK57" s="110"/>
      <c r="BL57" s="110"/>
      <c r="BM57" s="110"/>
      <c r="BN57" s="110"/>
      <c r="BO57" s="110"/>
      <c r="BP57" s="110"/>
      <c r="BQ57" s="110"/>
      <c r="BR57" s="110"/>
      <c r="BS57" s="110"/>
      <c r="BT57" s="110"/>
      <c r="BU57" s="110"/>
      <c r="BV57" s="110"/>
      <c r="BW57" s="110"/>
      <c r="BX57" s="110"/>
      <c r="BY57" s="110"/>
    </row>
    <row r="58" spans="1:77" x14ac:dyDescent="0.25">
      <c r="A58" s="496" t="s">
        <v>72</v>
      </c>
      <c r="B58" s="497"/>
      <c r="C58" s="497"/>
      <c r="D58" s="497"/>
      <c r="E58" s="498"/>
      <c r="F58" s="531">
        <f>SUM(F50:G57)</f>
        <v>5.5510000000000004E-2</v>
      </c>
      <c r="G58" s="532"/>
      <c r="H58" s="107"/>
      <c r="I58" s="97"/>
      <c r="J58" s="100"/>
    </row>
    <row r="59" spans="1:77" ht="6.6" customHeight="1" x14ac:dyDescent="0.25">
      <c r="A59" s="499"/>
      <c r="B59" s="499"/>
      <c r="C59" s="499"/>
      <c r="D59" s="499"/>
      <c r="E59" s="499"/>
      <c r="F59" s="499"/>
      <c r="G59" s="499"/>
      <c r="H59" s="499"/>
    </row>
    <row r="60" spans="1:77" x14ac:dyDescent="0.25">
      <c r="A60" s="514" t="s">
        <v>250</v>
      </c>
      <c r="B60" s="515"/>
      <c r="C60" s="515"/>
      <c r="D60" s="515"/>
      <c r="E60" s="515"/>
      <c r="F60" s="515"/>
      <c r="G60" s="515"/>
      <c r="H60" s="516"/>
    </row>
    <row r="61" spans="1:77" x14ac:dyDescent="0.25">
      <c r="A61" s="104">
        <v>1</v>
      </c>
      <c r="B61" s="537" t="s">
        <v>69</v>
      </c>
      <c r="C61" s="538"/>
      <c r="D61" s="538"/>
      <c r="E61" s="539"/>
      <c r="F61" s="535">
        <f>'Indicadores Financeiros'!J49</f>
        <v>2.8799999999999999E-2</v>
      </c>
      <c r="G61" s="536"/>
      <c r="H61" s="540"/>
      <c r="I61" s="97"/>
      <c r="J61" s="100"/>
    </row>
    <row r="62" spans="1:77" x14ac:dyDescent="0.25">
      <c r="A62" s="104">
        <v>2</v>
      </c>
      <c r="B62" s="537" t="s">
        <v>70</v>
      </c>
      <c r="C62" s="538"/>
      <c r="D62" s="538"/>
      <c r="E62" s="539"/>
      <c r="F62" s="535">
        <f>'Indicadores Financeiros'!J50</f>
        <v>3.3999999999999998E-3</v>
      </c>
      <c r="G62" s="536"/>
      <c r="H62" s="541"/>
      <c r="I62" s="97"/>
      <c r="J62" s="100"/>
    </row>
    <row r="63" spans="1:77" x14ac:dyDescent="0.25">
      <c r="A63" s="115">
        <v>3</v>
      </c>
      <c r="B63" s="537" t="s">
        <v>71</v>
      </c>
      <c r="C63" s="538"/>
      <c r="D63" s="538"/>
      <c r="E63" s="539"/>
      <c r="F63" s="535">
        <f>'Indicadores Financeiros'!J51</f>
        <v>2.5999999999999999E-3</v>
      </c>
      <c r="G63" s="536"/>
      <c r="H63" s="542"/>
      <c r="I63" s="97"/>
      <c r="J63" s="100"/>
    </row>
    <row r="64" spans="1:77" x14ac:dyDescent="0.25">
      <c r="A64" s="496" t="s">
        <v>79</v>
      </c>
      <c r="B64" s="497"/>
      <c r="C64" s="497"/>
      <c r="D64" s="497"/>
      <c r="E64" s="498"/>
      <c r="F64" s="531">
        <f>SUM(F61:G63)</f>
        <v>3.4799999999999998E-2</v>
      </c>
      <c r="G64" s="532"/>
      <c r="H64" s="107"/>
      <c r="I64" s="97"/>
      <c r="J64" s="100"/>
    </row>
    <row r="65" spans="1:15" ht="9" customHeight="1" x14ac:dyDescent="0.25">
      <c r="A65" s="499"/>
      <c r="B65" s="499"/>
      <c r="C65" s="499"/>
      <c r="D65" s="499"/>
      <c r="E65" s="499"/>
      <c r="F65" s="499"/>
      <c r="G65" s="499"/>
      <c r="H65" s="499"/>
    </row>
    <row r="66" spans="1:15" x14ac:dyDescent="0.25">
      <c r="A66" s="514" t="s">
        <v>251</v>
      </c>
      <c r="B66" s="515"/>
      <c r="C66" s="515"/>
      <c r="D66" s="515"/>
      <c r="E66" s="515"/>
      <c r="F66" s="515"/>
      <c r="G66" s="515"/>
      <c r="H66" s="516"/>
    </row>
    <row r="67" spans="1:15" x14ac:dyDescent="0.25">
      <c r="A67" s="104">
        <v>1</v>
      </c>
      <c r="B67" s="537" t="s">
        <v>74</v>
      </c>
      <c r="C67" s="538"/>
      <c r="D67" s="538"/>
      <c r="E67" s="539"/>
      <c r="F67" s="535">
        <f>'Indicadores Financeiros'!J55</f>
        <v>8.9300000000000004E-2</v>
      </c>
      <c r="G67" s="536"/>
      <c r="H67" s="540"/>
      <c r="I67" s="97"/>
      <c r="J67" s="100"/>
    </row>
    <row r="68" spans="1:15" x14ac:dyDescent="0.25">
      <c r="A68" s="104">
        <v>2</v>
      </c>
      <c r="B68" s="537" t="s">
        <v>75</v>
      </c>
      <c r="C68" s="538"/>
      <c r="D68" s="538"/>
      <c r="E68" s="539"/>
      <c r="F68" s="535">
        <f>'Indicadores Financeiros'!J56</f>
        <v>1.54E-2</v>
      </c>
      <c r="G68" s="536"/>
      <c r="H68" s="541"/>
      <c r="I68" s="97"/>
      <c r="J68" s="100"/>
    </row>
    <row r="69" spans="1:15" x14ac:dyDescent="0.25">
      <c r="A69" s="104">
        <v>3</v>
      </c>
      <c r="B69" s="537" t="s">
        <v>76</v>
      </c>
      <c r="C69" s="538"/>
      <c r="D69" s="538"/>
      <c r="E69" s="539"/>
      <c r="F69" s="535">
        <f>'Indicadores Financeiros'!J57</f>
        <v>2.9999999999999997E-4</v>
      </c>
      <c r="G69" s="536"/>
      <c r="H69" s="541"/>
      <c r="I69" s="97"/>
      <c r="J69" s="100"/>
    </row>
    <row r="70" spans="1:15" x14ac:dyDescent="0.25">
      <c r="A70" s="104">
        <v>4</v>
      </c>
      <c r="B70" s="537" t="s">
        <v>77</v>
      </c>
      <c r="C70" s="538"/>
      <c r="D70" s="538"/>
      <c r="E70" s="539"/>
      <c r="F70" s="535">
        <f>'Indicadores Financeiros'!J58</f>
        <v>9.1000000000000004E-3</v>
      </c>
      <c r="G70" s="536"/>
      <c r="H70" s="541"/>
      <c r="I70" s="97"/>
      <c r="J70" s="100"/>
      <c r="O70" s="1"/>
    </row>
    <row r="71" spans="1:15" x14ac:dyDescent="0.25">
      <c r="A71" s="104">
        <v>5</v>
      </c>
      <c r="B71" s="537" t="s">
        <v>78</v>
      </c>
      <c r="C71" s="538"/>
      <c r="D71" s="538"/>
      <c r="E71" s="539"/>
      <c r="F71" s="535">
        <f>'Indicadores Financeiros'!J59</f>
        <v>8.0000000000000004E-4</v>
      </c>
      <c r="G71" s="536"/>
      <c r="H71" s="541"/>
      <c r="I71" s="97"/>
      <c r="J71" s="100"/>
      <c r="O71" s="1"/>
    </row>
    <row r="72" spans="1:15" x14ac:dyDescent="0.25">
      <c r="A72" s="165">
        <v>6</v>
      </c>
      <c r="B72" s="537" t="s">
        <v>54</v>
      </c>
      <c r="C72" s="538"/>
      <c r="D72" s="538"/>
      <c r="E72" s="539"/>
      <c r="F72" s="535">
        <f>'Indicadores Financeiros'!J60</f>
        <v>3.8800000000000001E-2</v>
      </c>
      <c r="G72" s="536"/>
      <c r="H72" s="542"/>
      <c r="I72" s="97"/>
      <c r="J72" s="100"/>
      <c r="O72" s="1"/>
    </row>
    <row r="73" spans="1:15" x14ac:dyDescent="0.25">
      <c r="A73" s="496" t="s">
        <v>252</v>
      </c>
      <c r="B73" s="497"/>
      <c r="C73" s="497"/>
      <c r="D73" s="497"/>
      <c r="E73" s="498"/>
      <c r="F73" s="531">
        <f>SUM(F67:G72)</f>
        <v>0.1537</v>
      </c>
      <c r="G73" s="532"/>
      <c r="H73" s="107"/>
      <c r="I73" s="97"/>
      <c r="J73" s="100"/>
      <c r="L73" s="100"/>
      <c r="O73" s="1"/>
    </row>
    <row r="74" spans="1:15" ht="4.9000000000000004" customHeight="1" x14ac:dyDescent="0.25">
      <c r="A74" s="499"/>
      <c r="B74" s="499"/>
      <c r="C74" s="499"/>
      <c r="D74" s="499"/>
      <c r="E74" s="499"/>
      <c r="F74" s="499"/>
      <c r="G74" s="499"/>
      <c r="H74" s="499"/>
      <c r="O74" s="1"/>
    </row>
    <row r="75" spans="1:15" x14ac:dyDescent="0.25">
      <c r="A75" s="502" t="s">
        <v>80</v>
      </c>
      <c r="B75" s="503"/>
      <c r="C75" s="503"/>
      <c r="D75" s="503"/>
      <c r="E75" s="504"/>
      <c r="F75" s="533">
        <f>F73+F64+F58+F47+F43+F37</f>
        <v>0.74216554163675685</v>
      </c>
      <c r="G75" s="534"/>
      <c r="H75" s="116">
        <f>IF(G15&lt;&gt;"M2",IF(G15="Posto",ROUND(F75*H25,2),ROUND(VLOOKUP($A$15,'Tabela de Códigos e Valores'!$A:$AJ,15)*$F$75,2)*VLOOKUP($A$15,'Tabela de Códigos e Valores'!$A:$AJ,8)),0)</f>
        <v>0</v>
      </c>
      <c r="I75" s="97"/>
      <c r="J75" s="100"/>
      <c r="O75" s="1"/>
    </row>
    <row r="76" spans="1:15" ht="9" customHeight="1" x14ac:dyDescent="0.25">
      <c r="A76" s="499"/>
      <c r="B76" s="499"/>
      <c r="C76" s="499"/>
      <c r="D76" s="499"/>
      <c r="E76" s="499"/>
      <c r="F76" s="499"/>
      <c r="G76" s="499"/>
      <c r="H76" s="499"/>
      <c r="O76" s="1"/>
    </row>
    <row r="77" spans="1:15" x14ac:dyDescent="0.25">
      <c r="A77" s="514" t="s">
        <v>253</v>
      </c>
      <c r="B77" s="515"/>
      <c r="C77" s="515"/>
      <c r="D77" s="515"/>
      <c r="E77" s="515"/>
      <c r="F77" s="463" t="s">
        <v>237</v>
      </c>
      <c r="G77" s="463"/>
      <c r="H77" s="464"/>
      <c r="O77" s="1"/>
    </row>
    <row r="78" spans="1:15" x14ac:dyDescent="0.25">
      <c r="A78" s="526" t="s">
        <v>254</v>
      </c>
      <c r="B78" s="527"/>
      <c r="C78" s="527"/>
      <c r="D78" s="527"/>
      <c r="E78" s="527"/>
      <c r="F78" s="527"/>
      <c r="G78" s="527"/>
      <c r="H78" s="528"/>
      <c r="O78" s="1"/>
    </row>
    <row r="79" spans="1:15" x14ac:dyDescent="0.25">
      <c r="A79" s="104"/>
      <c r="B79" s="431" t="s">
        <v>255</v>
      </c>
      <c r="C79" s="529"/>
      <c r="D79" s="104" t="s">
        <v>132</v>
      </c>
      <c r="E79" s="104" t="s">
        <v>256</v>
      </c>
      <c r="F79" s="431"/>
      <c r="G79" s="499"/>
      <c r="H79" s="529"/>
      <c r="O79" s="1"/>
    </row>
    <row r="80" spans="1:15" x14ac:dyDescent="0.25">
      <c r="A80" s="104">
        <v>1</v>
      </c>
      <c r="B80" s="117" t="s">
        <v>257</v>
      </c>
      <c r="C80" s="465">
        <f>$C$9</f>
        <v>21</v>
      </c>
      <c r="D80" s="106">
        <f>IF(OR(A15=690002,A15=690016,A15=690035,A15=690038,A15=690064),0,IF(OR(A15=690018,A15=690019),'Indicadores Financeiros'!H113,'Indicadores Financeiros'!E113))</f>
        <v>0</v>
      </c>
      <c r="E80" s="106">
        <f>IF(OR(A15=690002,A15=690016,A15=690035,A15=690038,A15=690064),0,IF(OR(A15=690018,A15=690019),'Indicadores Financeiros'!I113,'Indicadores Financeiros'!F113))</f>
        <v>0</v>
      </c>
      <c r="F80" s="433">
        <f>ROUND(ROUND(D80-E80,2)*$C$80,2)</f>
        <v>0</v>
      </c>
      <c r="G80" s="530"/>
      <c r="H80" s="434"/>
      <c r="I80" s="100"/>
      <c r="J80" s="100"/>
      <c r="O80" s="1"/>
    </row>
    <row r="81" spans="1:15" x14ac:dyDescent="0.25">
      <c r="A81" s="104">
        <v>2</v>
      </c>
      <c r="B81" s="117" t="s">
        <v>162</v>
      </c>
      <c r="C81" s="467"/>
      <c r="D81" s="106">
        <f>VLOOKUP($C$8,'Indicadores Financeiros'!$C$127:$J$131,7,FALSE)</f>
        <v>0</v>
      </c>
      <c r="E81" s="106">
        <f>ROUND(H19*6%,2)</f>
        <v>0</v>
      </c>
      <c r="F81" s="433">
        <f>IF(E81&gt;=D81*C80,0,ROUND(D81*C80,2)-E81)</f>
        <v>0</v>
      </c>
      <c r="G81" s="530"/>
      <c r="H81" s="434"/>
      <c r="J81" s="100"/>
      <c r="O81" s="1"/>
    </row>
    <row r="82" spans="1:15" x14ac:dyDescent="0.25">
      <c r="A82" s="526" t="s">
        <v>223</v>
      </c>
      <c r="B82" s="527"/>
      <c r="C82" s="527"/>
      <c r="D82" s="527"/>
      <c r="E82" s="527"/>
      <c r="F82" s="527"/>
      <c r="G82" s="527"/>
      <c r="H82" s="528"/>
      <c r="O82" s="1"/>
    </row>
    <row r="83" spans="1:15" x14ac:dyDescent="0.25">
      <c r="A83" s="171">
        <v>3</v>
      </c>
      <c r="B83" s="517" t="s">
        <v>258</v>
      </c>
      <c r="C83" s="518"/>
      <c r="D83" s="518"/>
      <c r="E83" s="519"/>
      <c r="F83" s="523">
        <f>VLOOKUP($A$15,'Tabela de Códigos e Valores'!$A:$AJ,18)</f>
        <v>0</v>
      </c>
      <c r="G83" s="524"/>
      <c r="H83" s="525"/>
      <c r="I83" s="118"/>
      <c r="J83" s="119"/>
      <c r="K83" s="120"/>
      <c r="L83" s="100"/>
      <c r="O83" s="1"/>
    </row>
    <row r="84" spans="1:15" x14ac:dyDescent="0.25">
      <c r="A84" s="104">
        <v>4</v>
      </c>
      <c r="B84" s="517" t="s">
        <v>124</v>
      </c>
      <c r="C84" s="518"/>
      <c r="D84" s="518"/>
      <c r="E84" s="519"/>
      <c r="F84" s="523">
        <f>VLOOKUP($A$15,'Tabela de Códigos e Valores'!$A:$AJ,19)</f>
        <v>0</v>
      </c>
      <c r="G84" s="524"/>
      <c r="H84" s="525"/>
      <c r="I84" s="97"/>
      <c r="O84" s="1"/>
    </row>
    <row r="85" spans="1:15" x14ac:dyDescent="0.25">
      <c r="A85" s="171">
        <v>5</v>
      </c>
      <c r="B85" s="517" t="s">
        <v>125</v>
      </c>
      <c r="C85" s="518"/>
      <c r="D85" s="518"/>
      <c r="E85" s="519"/>
      <c r="F85" s="523">
        <f>VLOOKUP($A$15,'Tabela de Códigos e Valores'!$A:$AJ,20)</f>
        <v>0</v>
      </c>
      <c r="G85" s="524"/>
      <c r="H85" s="525"/>
      <c r="I85" s="97"/>
      <c r="J85" s="119"/>
      <c r="K85" s="120"/>
      <c r="L85" s="100"/>
      <c r="O85" s="1"/>
    </row>
    <row r="86" spans="1:15" x14ac:dyDescent="0.25">
      <c r="A86" s="104">
        <v>6</v>
      </c>
      <c r="B86" s="517" t="s">
        <v>126</v>
      </c>
      <c r="C86" s="518"/>
      <c r="D86" s="518"/>
      <c r="E86" s="519"/>
      <c r="F86" s="523">
        <f>VLOOKUP($A$15,'Tabela de Códigos e Valores'!$A:$AJ,21)</f>
        <v>0</v>
      </c>
      <c r="G86" s="524"/>
      <c r="H86" s="525"/>
      <c r="I86" s="97"/>
      <c r="J86" s="118"/>
      <c r="L86" s="121"/>
      <c r="O86" s="1"/>
    </row>
    <row r="87" spans="1:15" x14ac:dyDescent="0.25">
      <c r="A87" s="171">
        <v>7</v>
      </c>
      <c r="B87" s="517" t="s">
        <v>127</v>
      </c>
      <c r="C87" s="518"/>
      <c r="D87" s="518"/>
      <c r="E87" s="519"/>
      <c r="F87" s="523">
        <f>VLOOKUP($A$15,'Tabela de Códigos e Valores'!$A:$AJ,22)</f>
        <v>0</v>
      </c>
      <c r="G87" s="524"/>
      <c r="H87" s="525"/>
      <c r="I87" s="122"/>
      <c r="J87" s="100"/>
      <c r="O87" s="1"/>
    </row>
    <row r="88" spans="1:15" x14ac:dyDescent="0.25">
      <c r="A88" s="104">
        <v>8</v>
      </c>
      <c r="B88" s="517" t="s">
        <v>128</v>
      </c>
      <c r="C88" s="518"/>
      <c r="D88" s="518"/>
      <c r="E88" s="519"/>
      <c r="F88" s="523">
        <f>VLOOKUP($A$15,'Tabela de Códigos e Valores'!$A:$AJ,23)</f>
        <v>0</v>
      </c>
      <c r="G88" s="524"/>
      <c r="H88" s="525"/>
      <c r="I88" s="122"/>
      <c r="J88" s="123"/>
      <c r="O88" s="1"/>
    </row>
    <row r="89" spans="1:15" x14ac:dyDescent="0.25">
      <c r="A89" s="171">
        <v>9</v>
      </c>
      <c r="B89" s="517" t="s">
        <v>259</v>
      </c>
      <c r="C89" s="518"/>
      <c r="D89" s="518"/>
      <c r="E89" s="519"/>
      <c r="F89" s="523">
        <f>VLOOKUP($A$15,'Tabela de Códigos e Valores'!$A:$AJ,24)</f>
        <v>0</v>
      </c>
      <c r="G89" s="524"/>
      <c r="H89" s="525"/>
      <c r="I89" s="97"/>
      <c r="J89" s="123"/>
      <c r="O89" s="1"/>
    </row>
    <row r="90" spans="1:15" x14ac:dyDescent="0.25">
      <c r="A90" s="104">
        <v>10</v>
      </c>
      <c r="B90" s="517" t="s">
        <v>260</v>
      </c>
      <c r="C90" s="518"/>
      <c r="D90" s="518"/>
      <c r="E90" s="519"/>
      <c r="F90" s="523">
        <f>VLOOKUP($A$15,'Tabela de Códigos e Valores'!$A:$AJ,25)</f>
        <v>0</v>
      </c>
      <c r="G90" s="524"/>
      <c r="H90" s="525"/>
      <c r="I90" s="97"/>
      <c r="J90" s="123"/>
      <c r="O90" s="1"/>
    </row>
    <row r="91" spans="1:15" x14ac:dyDescent="0.25">
      <c r="A91" s="104">
        <v>11</v>
      </c>
      <c r="B91" s="517" t="s">
        <v>261</v>
      </c>
      <c r="C91" s="518"/>
      <c r="D91" s="518"/>
      <c r="E91" s="519"/>
      <c r="F91" s="523">
        <f>VLOOKUP($A$15,'Tabela de Códigos e Valores'!$A:$AJ,30)</f>
        <v>0</v>
      </c>
      <c r="G91" s="524"/>
      <c r="H91" s="525"/>
      <c r="I91" s="97"/>
      <c r="J91" s="123"/>
      <c r="O91" s="1"/>
    </row>
    <row r="92" spans="1:15" x14ac:dyDescent="0.25">
      <c r="A92" s="104">
        <v>12</v>
      </c>
      <c r="B92" s="517" t="s">
        <v>262</v>
      </c>
      <c r="C92" s="518"/>
      <c r="D92" s="518"/>
      <c r="E92" s="519"/>
      <c r="F92" s="523">
        <f>VLOOKUP($A$15,'Tabela de Códigos e Valores'!$A:$AJ,27)</f>
        <v>0</v>
      </c>
      <c r="G92" s="524"/>
      <c r="H92" s="525"/>
      <c r="I92" s="97"/>
      <c r="J92" s="123"/>
      <c r="O92" s="1"/>
    </row>
    <row r="93" spans="1:15" x14ac:dyDescent="0.25">
      <c r="A93" s="496" t="s">
        <v>263</v>
      </c>
      <c r="B93" s="497"/>
      <c r="C93" s="497"/>
      <c r="D93" s="497"/>
      <c r="E93" s="498"/>
      <c r="F93" s="484">
        <f>SUM(F83:H92)+F80+F81</f>
        <v>0</v>
      </c>
      <c r="G93" s="485"/>
      <c r="H93" s="486"/>
      <c r="I93" s="122"/>
      <c r="J93" s="100"/>
      <c r="K93" s="100"/>
      <c r="O93" s="1"/>
    </row>
    <row r="94" spans="1:15" ht="4.9000000000000004" customHeight="1" x14ac:dyDescent="0.25">
      <c r="A94" s="499"/>
      <c r="B94" s="499"/>
      <c r="C94" s="499"/>
      <c r="D94" s="499"/>
      <c r="E94" s="499"/>
      <c r="F94" s="499"/>
      <c r="G94" s="499"/>
      <c r="H94" s="499"/>
      <c r="O94" s="1"/>
    </row>
    <row r="95" spans="1:15" x14ac:dyDescent="0.25">
      <c r="A95" s="514" t="s">
        <v>264</v>
      </c>
      <c r="B95" s="515"/>
      <c r="C95" s="515"/>
      <c r="D95" s="516"/>
      <c r="E95" s="124" t="s">
        <v>41</v>
      </c>
      <c r="F95" s="502" t="s">
        <v>237</v>
      </c>
      <c r="G95" s="503"/>
      <c r="H95" s="504"/>
      <c r="O95" s="1"/>
    </row>
    <row r="96" spans="1:15" x14ac:dyDescent="0.25">
      <c r="A96" s="104">
        <v>1</v>
      </c>
      <c r="B96" s="517" t="s">
        <v>265</v>
      </c>
      <c r="C96" s="518"/>
      <c r="D96" s="519"/>
      <c r="E96" s="125">
        <f>VLOOKUP($A$15,'Tabela de Códigos e Valores'!$A:$AJ,31)</f>
        <v>0.12</v>
      </c>
      <c r="F96" s="520">
        <f>IFERROR(ROUND(($H$25+$H$75+$F$93)*$E$96/(1-$E$96),2),0)</f>
        <v>0</v>
      </c>
      <c r="G96" s="521"/>
      <c r="H96" s="522"/>
      <c r="I96" s="126"/>
      <c r="J96" s="127"/>
      <c r="K96" s="128"/>
      <c r="L96" s="128"/>
      <c r="M96" s="128"/>
      <c r="N96" s="128"/>
      <c r="O96" s="1"/>
    </row>
    <row r="97" spans="1:15" x14ac:dyDescent="0.25">
      <c r="A97" s="496" t="s">
        <v>266</v>
      </c>
      <c r="B97" s="497"/>
      <c r="C97" s="497"/>
      <c r="D97" s="497"/>
      <c r="E97" s="498"/>
      <c r="F97" s="462">
        <f>F96</f>
        <v>0</v>
      </c>
      <c r="G97" s="463"/>
      <c r="H97" s="464"/>
      <c r="O97" s="1"/>
    </row>
    <row r="98" spans="1:15" ht="9" customHeight="1" x14ac:dyDescent="0.25">
      <c r="A98" s="499"/>
      <c r="B98" s="499"/>
      <c r="C98" s="499"/>
      <c r="D98" s="499"/>
      <c r="E98" s="499"/>
      <c r="F98" s="499"/>
      <c r="G98" s="499"/>
      <c r="H98" s="499"/>
      <c r="O98" s="1"/>
    </row>
    <row r="99" spans="1:15" x14ac:dyDescent="0.25">
      <c r="A99" s="496" t="s">
        <v>267</v>
      </c>
      <c r="B99" s="497"/>
      <c r="C99" s="497"/>
      <c r="D99" s="497"/>
      <c r="E99" s="498"/>
      <c r="F99" s="462">
        <f>ROUND($H$25+$F$97+$F$93+$H$75,2)</f>
        <v>0</v>
      </c>
      <c r="G99" s="463"/>
      <c r="H99" s="464"/>
      <c r="O99" s="1"/>
    </row>
    <row r="100" spans="1:15" ht="4.9000000000000004" customHeight="1" x14ac:dyDescent="0.25">
      <c r="A100" s="499"/>
      <c r="B100" s="499"/>
      <c r="C100" s="499"/>
      <c r="D100" s="499"/>
      <c r="E100" s="499"/>
      <c r="F100" s="499"/>
      <c r="G100" s="499"/>
      <c r="H100" s="499"/>
      <c r="O100" s="1"/>
    </row>
    <row r="101" spans="1:15" x14ac:dyDescent="0.25">
      <c r="A101" s="511" t="s">
        <v>268</v>
      </c>
      <c r="B101" s="512"/>
      <c r="C101" s="512"/>
      <c r="D101" s="513"/>
      <c r="E101" s="124" t="s">
        <v>41</v>
      </c>
      <c r="F101" s="502" t="s">
        <v>269</v>
      </c>
      <c r="G101" s="503"/>
      <c r="H101" s="504"/>
      <c r="O101" s="1"/>
    </row>
    <row r="102" spans="1:15" x14ac:dyDescent="0.25">
      <c r="A102" s="104">
        <v>1</v>
      </c>
      <c r="B102" s="471" t="s">
        <v>270</v>
      </c>
      <c r="C102" s="472"/>
      <c r="D102" s="473"/>
      <c r="E102" s="129">
        <f>$C$5</f>
        <v>0</v>
      </c>
      <c r="F102" s="474"/>
      <c r="G102" s="475"/>
      <c r="H102" s="476"/>
      <c r="O102" s="1"/>
    </row>
    <row r="103" spans="1:15" x14ac:dyDescent="0.25">
      <c r="A103" s="104">
        <v>2</v>
      </c>
      <c r="B103" s="471" t="s">
        <v>271</v>
      </c>
      <c r="C103" s="472"/>
      <c r="D103" s="473"/>
      <c r="E103" s="129">
        <f>$C$6</f>
        <v>0</v>
      </c>
      <c r="F103" s="477"/>
      <c r="G103" s="478"/>
      <c r="H103" s="479"/>
      <c r="O103" s="1"/>
    </row>
    <row r="104" spans="1:15" x14ac:dyDescent="0.25">
      <c r="A104" s="104">
        <v>3</v>
      </c>
      <c r="B104" s="471" t="s">
        <v>36</v>
      </c>
      <c r="C104" s="472"/>
      <c r="D104" s="473"/>
      <c r="E104" s="129">
        <f>'Indicadores Financeiros'!$F$12</f>
        <v>0</v>
      </c>
      <c r="F104" s="477"/>
      <c r="G104" s="478"/>
      <c r="H104" s="479"/>
      <c r="O104" s="1"/>
    </row>
    <row r="105" spans="1:15" x14ac:dyDescent="0.25">
      <c r="A105" s="104">
        <v>4</v>
      </c>
      <c r="B105" s="471" t="s">
        <v>35</v>
      </c>
      <c r="C105" s="472"/>
      <c r="D105" s="473"/>
      <c r="E105" s="129">
        <f>'Indicadores Financeiros'!$F$11</f>
        <v>0</v>
      </c>
      <c r="F105" s="477"/>
      <c r="G105" s="478"/>
      <c r="H105" s="479"/>
      <c r="O105" s="1"/>
    </row>
    <row r="106" spans="1:15" x14ac:dyDescent="0.25">
      <c r="A106" s="104">
        <v>5</v>
      </c>
      <c r="B106" s="471" t="s">
        <v>143</v>
      </c>
      <c r="C106" s="472"/>
      <c r="D106" s="473"/>
      <c r="E106" s="129">
        <f>$F$8</f>
        <v>0.02</v>
      </c>
      <c r="F106" s="477"/>
      <c r="G106" s="478"/>
      <c r="H106" s="479"/>
      <c r="O106" s="1"/>
    </row>
    <row r="107" spans="1:15" x14ac:dyDescent="0.25">
      <c r="A107" s="104">
        <v>6</v>
      </c>
      <c r="B107" s="471" t="s">
        <v>272</v>
      </c>
      <c r="C107" s="472"/>
      <c r="D107" s="473"/>
      <c r="E107" s="129">
        <f>$C$10</f>
        <v>0</v>
      </c>
      <c r="F107" s="480"/>
      <c r="G107" s="481"/>
      <c r="H107" s="482"/>
      <c r="O107" s="1"/>
    </row>
    <row r="108" spans="1:15" x14ac:dyDescent="0.25">
      <c r="A108" s="496" t="s">
        <v>273</v>
      </c>
      <c r="B108" s="497"/>
      <c r="C108" s="497"/>
      <c r="D108" s="498"/>
      <c r="E108" s="130">
        <f>ROUND((1+E102)*(1+E103)/(1-E106-E105-E104-E107)-1,4)</f>
        <v>2.0400000000000001E-2</v>
      </c>
      <c r="F108" s="484">
        <f>ROUND($E$108*$F$99,2)</f>
        <v>0</v>
      </c>
      <c r="G108" s="485"/>
      <c r="H108" s="486"/>
      <c r="O108" s="1"/>
    </row>
    <row r="109" spans="1:15" ht="4.9000000000000004" customHeight="1" x14ac:dyDescent="0.25">
      <c r="A109" s="499"/>
      <c r="B109" s="499"/>
      <c r="C109" s="499"/>
      <c r="D109" s="499"/>
      <c r="E109" s="499"/>
      <c r="F109" s="499"/>
      <c r="G109" s="499"/>
      <c r="H109" s="499"/>
      <c r="O109" s="1"/>
    </row>
    <row r="110" spans="1:15" x14ac:dyDescent="0.25">
      <c r="A110" s="505" t="str">
        <f>CONCATENATE("Preço total mensal")</f>
        <v>Preço total mensal</v>
      </c>
      <c r="B110" s="506"/>
      <c r="C110" s="506"/>
      <c r="D110" s="506"/>
      <c r="E110" s="507"/>
      <c r="F110" s="508">
        <f>IF($G$15="M2",SUMIFS('Relatório Custo'!U:U,'Relatório Custo'!$E:$E,'Custo por Função'!$A$15,'Relatório Custo'!C:C,'Custo por Função'!$C$8),ROUND(F99+F108,2))</f>
        <v>0</v>
      </c>
      <c r="G110" s="509"/>
      <c r="H110" s="510"/>
      <c r="I110" s="131"/>
      <c r="J110" s="240"/>
      <c r="K110" s="100"/>
      <c r="O110" s="1"/>
    </row>
    <row r="111" spans="1:15" ht="4.9000000000000004" customHeight="1" x14ac:dyDescent="0.25">
      <c r="A111" s="499"/>
      <c r="B111" s="499"/>
      <c r="C111" s="499"/>
      <c r="D111" s="499"/>
      <c r="E111" s="499"/>
      <c r="F111" s="499"/>
      <c r="G111" s="499"/>
      <c r="H111" s="499"/>
      <c r="O111" s="1"/>
    </row>
    <row r="112" spans="1:15" x14ac:dyDescent="0.25">
      <c r="A112" s="505" t="s">
        <v>274</v>
      </c>
      <c r="B112" s="506"/>
      <c r="C112" s="506"/>
      <c r="D112" s="506"/>
      <c r="E112" s="507"/>
      <c r="F112" s="508">
        <f>IF(OR($G$15="Hora"),ROUND($F$110/220,2),0)</f>
        <v>0</v>
      </c>
      <c r="G112" s="509"/>
      <c r="H112" s="510"/>
      <c r="O112" s="1"/>
    </row>
    <row r="113" spans="1:15" ht="9" customHeight="1" x14ac:dyDescent="0.25">
      <c r="A113" s="499"/>
      <c r="B113" s="499"/>
      <c r="C113" s="499"/>
      <c r="D113" s="499"/>
      <c r="E113" s="499"/>
      <c r="F113" s="499"/>
      <c r="G113" s="499"/>
      <c r="H113" s="499"/>
      <c r="O113" s="1"/>
    </row>
    <row r="114" spans="1:15" x14ac:dyDescent="0.25">
      <c r="A114" s="505" t="str">
        <f>CONCATENATE("PREÇO TOTAL MENSAL (preço total mensal individual X Qtde de ",$G$15,"s)")</f>
        <v>PREÇO TOTAL MENSAL (preço total mensal individual X Qtde de Postos)</v>
      </c>
      <c r="B114" s="506"/>
      <c r="C114" s="506"/>
      <c r="D114" s="506"/>
      <c r="E114" s="507"/>
      <c r="F114" s="508">
        <f>ROUND(F110*H15,2)</f>
        <v>0</v>
      </c>
      <c r="G114" s="509"/>
      <c r="H114" s="510"/>
      <c r="J114" s="100"/>
      <c r="O114" s="1"/>
    </row>
    <row r="115" spans="1:15" ht="4.9000000000000004" customHeight="1" x14ac:dyDescent="0.25">
      <c r="A115" s="499"/>
      <c r="B115" s="499"/>
      <c r="C115" s="499"/>
      <c r="D115" s="499"/>
      <c r="E115" s="499"/>
      <c r="F115" s="499"/>
      <c r="G115" s="499"/>
      <c r="H115" s="499"/>
      <c r="O115" s="1"/>
    </row>
    <row r="116" spans="1:15" x14ac:dyDescent="0.25">
      <c r="A116" s="496" t="s">
        <v>275</v>
      </c>
      <c r="B116" s="497"/>
      <c r="C116" s="497"/>
      <c r="D116" s="497"/>
      <c r="E116" s="498"/>
      <c r="F116" s="484">
        <f>IF(OR($G$15="Hora",$G$15="M2"),0,ROUND($F$110/$C$9,2))</f>
        <v>0</v>
      </c>
      <c r="G116" s="485"/>
      <c r="H116" s="486"/>
      <c r="I116" s="100"/>
      <c r="O116" s="1"/>
    </row>
    <row r="117" spans="1:15" ht="9" customHeight="1" x14ac:dyDescent="0.25">
      <c r="A117" s="499"/>
      <c r="B117" s="499"/>
      <c r="C117" s="499"/>
      <c r="D117" s="499"/>
      <c r="E117" s="499"/>
      <c r="F117" s="499"/>
      <c r="G117" s="499"/>
      <c r="H117" s="499"/>
      <c r="O117" s="1"/>
    </row>
    <row r="118" spans="1:15" x14ac:dyDescent="0.25">
      <c r="A118" s="500" t="s">
        <v>276</v>
      </c>
      <c r="B118" s="500"/>
      <c r="C118" s="500"/>
      <c r="D118" s="500"/>
      <c r="E118" s="500"/>
      <c r="F118" s="500"/>
      <c r="G118" s="500"/>
      <c r="H118" s="500"/>
      <c r="O118" s="1"/>
    </row>
    <row r="119" spans="1:15" x14ac:dyDescent="0.25">
      <c r="A119" s="132" t="s">
        <v>277</v>
      </c>
      <c r="B119" s="501" t="s">
        <v>104</v>
      </c>
      <c r="C119" s="501"/>
      <c r="D119" s="501"/>
      <c r="E119" s="501"/>
      <c r="F119" s="502" t="s">
        <v>278</v>
      </c>
      <c r="G119" s="503"/>
      <c r="H119" s="504"/>
      <c r="O119" s="1"/>
    </row>
    <row r="120" spans="1:15" x14ac:dyDescent="0.25">
      <c r="A120" s="104">
        <v>1</v>
      </c>
      <c r="B120" s="488" t="s">
        <v>279</v>
      </c>
      <c r="C120" s="488"/>
      <c r="D120" s="488"/>
      <c r="E120" s="488"/>
      <c r="F120" s="489">
        <f>IF(G15="Posto",D80-E80,0)</f>
        <v>0</v>
      </c>
      <c r="G120" s="490"/>
      <c r="H120" s="491"/>
      <c r="O120" s="1"/>
    </row>
    <row r="121" spans="1:15" x14ac:dyDescent="0.25">
      <c r="A121" s="104">
        <v>2</v>
      </c>
      <c r="B121" s="488" t="s">
        <v>280</v>
      </c>
      <c r="C121" s="488"/>
      <c r="D121" s="488"/>
      <c r="E121" s="488"/>
      <c r="F121" s="489">
        <f>IF(G15="Posto",ROUND(F81/C80,2),0)</f>
        <v>0</v>
      </c>
      <c r="G121" s="490"/>
      <c r="H121" s="491"/>
      <c r="J121" s="100"/>
      <c r="O121" s="1"/>
    </row>
    <row r="122" spans="1:15" x14ac:dyDescent="0.25">
      <c r="A122" s="104">
        <v>3</v>
      </c>
      <c r="B122" s="488" t="s">
        <v>281</v>
      </c>
      <c r="C122" s="488"/>
      <c r="D122" s="488"/>
      <c r="E122" s="488"/>
      <c r="F122" s="489">
        <f>IFERROR(ROUND(F96/$C$80,2),"")</f>
        <v>0</v>
      </c>
      <c r="G122" s="490"/>
      <c r="H122" s="491"/>
      <c r="O122" s="1"/>
    </row>
    <row r="123" spans="1:15" x14ac:dyDescent="0.25">
      <c r="A123" s="104">
        <v>4</v>
      </c>
      <c r="B123" s="488" t="s">
        <v>282</v>
      </c>
      <c r="C123" s="488"/>
      <c r="D123" s="488"/>
      <c r="E123" s="488"/>
      <c r="F123" s="489">
        <f>IF(G15="Posto",ROUND(H25*$F$73/$C$80,2),0)</f>
        <v>0</v>
      </c>
      <c r="G123" s="490"/>
      <c r="H123" s="491"/>
      <c r="I123" s="100"/>
      <c r="O123" s="1"/>
    </row>
    <row r="124" spans="1:15" x14ac:dyDescent="0.25">
      <c r="A124" s="492" t="s">
        <v>283</v>
      </c>
      <c r="B124" s="492"/>
      <c r="C124" s="492"/>
      <c r="D124" s="492"/>
      <c r="E124" s="492"/>
      <c r="F124" s="493">
        <f>SUM(F120:H123)</f>
        <v>0</v>
      </c>
      <c r="G124" s="494"/>
      <c r="H124" s="495"/>
      <c r="O124" s="1"/>
    </row>
    <row r="125" spans="1:15" x14ac:dyDescent="0.25">
      <c r="A125" s="104">
        <v>5</v>
      </c>
      <c r="B125" s="488" t="s">
        <v>284</v>
      </c>
      <c r="C125" s="488"/>
      <c r="D125" s="90" t="s">
        <v>41</v>
      </c>
      <c r="E125" s="133">
        <f>$C$11</f>
        <v>2.0400000000000001E-2</v>
      </c>
      <c r="F125" s="489">
        <f>ROUND($E$125*$F$124,2)</f>
        <v>0</v>
      </c>
      <c r="G125" s="490"/>
      <c r="H125" s="491"/>
      <c r="O125" s="1"/>
    </row>
    <row r="126" spans="1:15" x14ac:dyDescent="0.25">
      <c r="A126" s="483" t="s">
        <v>285</v>
      </c>
      <c r="B126" s="483"/>
      <c r="C126" s="483"/>
      <c r="D126" s="483"/>
      <c r="E126" s="483"/>
      <c r="F126" s="484">
        <f>F124+F125</f>
        <v>0</v>
      </c>
      <c r="G126" s="485"/>
      <c r="H126" s="486"/>
      <c r="I126" s="100"/>
      <c r="J126" s="238">
        <f>IF(H15=0,0,ROUND(SUMIFS('Relatório Custo'!$AD:$AD,'Relatório Custo'!$E:$E,'Custo por Função'!A15,'Relatório Custo'!C:C,'Custo por Função'!$C$8)-F126,2))</f>
        <v>0</v>
      </c>
      <c r="O126" s="1"/>
    </row>
    <row r="127" spans="1:15" ht="9" customHeight="1" x14ac:dyDescent="0.25">
      <c r="A127" s="487"/>
      <c r="B127" s="487"/>
      <c r="C127" s="487"/>
      <c r="D127" s="487"/>
      <c r="E127" s="487"/>
      <c r="F127" s="487"/>
      <c r="G127" s="487"/>
      <c r="H127" s="487"/>
      <c r="O127" s="1"/>
    </row>
    <row r="128" spans="1:15" x14ac:dyDescent="0.25">
      <c r="I128" s="97"/>
      <c r="O128" s="1"/>
    </row>
    <row r="129" spans="1:15" x14ac:dyDescent="0.25">
      <c r="A129" s="134"/>
      <c r="B129" s="134"/>
      <c r="C129" s="134"/>
      <c r="D129" s="134"/>
      <c r="E129" s="134"/>
      <c r="F129" s="134"/>
      <c r="G129" s="134"/>
      <c r="H129" s="237"/>
      <c r="O129" s="1"/>
    </row>
    <row r="130" spans="1:15" x14ac:dyDescent="0.25">
      <c r="A130" s="1"/>
      <c r="B130" s="1"/>
      <c r="C130" s="1"/>
      <c r="D130" s="1"/>
      <c r="E130" s="1"/>
      <c r="F130" s="1"/>
      <c r="G130" s="1"/>
      <c r="H130" s="1"/>
      <c r="O130" s="1"/>
    </row>
    <row r="131" spans="1:15" x14ac:dyDescent="0.25">
      <c r="A131" s="1"/>
      <c r="B131" s="1"/>
      <c r="C131" s="1"/>
      <c r="D131" s="1"/>
      <c r="E131" s="1"/>
      <c r="F131" s="1"/>
      <c r="G131" s="1"/>
      <c r="H131" s="1"/>
      <c r="O131" s="1"/>
    </row>
    <row r="132" spans="1:15" x14ac:dyDescent="0.25">
      <c r="A132" s="1"/>
      <c r="B132" s="1"/>
      <c r="C132" s="1"/>
      <c r="D132" s="1"/>
      <c r="E132" s="1"/>
      <c r="F132" s="1"/>
      <c r="G132" s="1"/>
      <c r="H132" s="1"/>
      <c r="O132" s="1"/>
    </row>
    <row r="133" spans="1:15" x14ac:dyDescent="0.25">
      <c r="A133" s="1"/>
      <c r="B133" s="1"/>
      <c r="C133" s="1"/>
      <c r="D133" s="1"/>
      <c r="E133" s="1"/>
      <c r="F133" s="1"/>
      <c r="G133" s="1"/>
      <c r="H133" s="1"/>
      <c r="O133" s="1"/>
    </row>
    <row r="134" spans="1:15" x14ac:dyDescent="0.25">
      <c r="A134" s="1"/>
      <c r="B134" s="1"/>
      <c r="C134" s="1"/>
      <c r="D134" s="1"/>
      <c r="E134" s="1"/>
      <c r="F134" s="1"/>
      <c r="G134" s="1"/>
      <c r="H134" s="1"/>
      <c r="O134" s="1"/>
    </row>
    <row r="135" spans="1:15" x14ac:dyDescent="0.25">
      <c r="A135" s="1"/>
      <c r="B135" s="1"/>
      <c r="C135" s="1"/>
      <c r="D135" s="1"/>
      <c r="E135" s="1"/>
      <c r="F135" s="1"/>
      <c r="G135" s="1"/>
      <c r="H135" s="1"/>
      <c r="O135" s="1"/>
    </row>
    <row r="136" spans="1:15" x14ac:dyDescent="0.25">
      <c r="A136" s="1"/>
      <c r="B136" s="1"/>
      <c r="C136" s="1"/>
      <c r="D136" s="1"/>
      <c r="E136" s="1"/>
      <c r="F136" s="1"/>
      <c r="G136" s="1"/>
      <c r="H136" s="1"/>
      <c r="O136" s="1"/>
    </row>
    <row r="137" spans="1:15" x14ac:dyDescent="0.25">
      <c r="A137" s="1"/>
      <c r="B137" s="1"/>
      <c r="C137" s="1"/>
      <c r="D137" s="1"/>
      <c r="E137" s="1"/>
      <c r="F137" s="1"/>
      <c r="G137" s="1"/>
      <c r="H137" s="1"/>
      <c r="O137" s="1"/>
    </row>
    <row r="138" spans="1:15" x14ac:dyDescent="0.25">
      <c r="A138" s="1"/>
      <c r="B138" s="1"/>
      <c r="C138" s="1"/>
      <c r="D138" s="1"/>
      <c r="E138" s="1"/>
      <c r="F138" s="1"/>
      <c r="G138" s="1"/>
      <c r="H138" s="1"/>
      <c r="O138" s="1"/>
    </row>
    <row r="139" spans="1:15" x14ac:dyDescent="0.25">
      <c r="A139" s="1"/>
      <c r="B139" s="1"/>
      <c r="C139" s="1"/>
      <c r="D139" s="1"/>
      <c r="E139" s="1"/>
      <c r="F139" s="1"/>
      <c r="G139" s="1"/>
      <c r="H139" s="1"/>
      <c r="O139" s="1"/>
    </row>
    <row r="140" spans="1:15" x14ac:dyDescent="0.25">
      <c r="A140" s="1"/>
      <c r="B140" s="1"/>
      <c r="C140" s="1"/>
      <c r="D140" s="1"/>
      <c r="E140" s="1"/>
      <c r="F140" s="1"/>
      <c r="G140" s="1"/>
      <c r="H140" s="1"/>
      <c r="O140" s="1"/>
    </row>
    <row r="141" spans="1:15" x14ac:dyDescent="0.25">
      <c r="A141" s="1"/>
      <c r="B141" s="1"/>
      <c r="C141" s="1"/>
      <c r="D141" s="1"/>
      <c r="E141" s="1"/>
      <c r="F141" s="1"/>
      <c r="G141" s="1"/>
      <c r="H141" s="1"/>
      <c r="O141" s="1"/>
    </row>
    <row r="142" spans="1:15" x14ac:dyDescent="0.25">
      <c r="A142" s="1"/>
      <c r="B142" s="1"/>
      <c r="C142" s="1"/>
      <c r="D142" s="1"/>
      <c r="E142" s="1"/>
      <c r="F142" s="1"/>
      <c r="G142" s="1"/>
      <c r="H142" s="1"/>
      <c r="O142" s="1"/>
    </row>
    <row r="143" spans="1:15" x14ac:dyDescent="0.25">
      <c r="A143" s="1"/>
      <c r="B143" s="1"/>
      <c r="C143" s="1"/>
      <c r="D143" s="1"/>
      <c r="E143" s="1"/>
      <c r="F143" s="1"/>
      <c r="G143" s="1"/>
      <c r="H143" s="1"/>
      <c r="O143" s="1"/>
    </row>
    <row r="144" spans="1:15" x14ac:dyDescent="0.25">
      <c r="A144" s="1"/>
      <c r="B144" s="1"/>
      <c r="C144" s="1"/>
      <c r="D144" s="1"/>
      <c r="E144" s="1"/>
      <c r="F144" s="1"/>
      <c r="G144" s="1"/>
      <c r="H144" s="1"/>
      <c r="O144" s="1"/>
    </row>
    <row r="145" spans="1:15" x14ac:dyDescent="0.25">
      <c r="A145" s="1"/>
      <c r="B145" s="1"/>
      <c r="C145" s="1"/>
      <c r="D145" s="1"/>
      <c r="E145" s="1"/>
      <c r="F145" s="1"/>
      <c r="G145" s="1"/>
      <c r="H145" s="1"/>
      <c r="O145" s="1"/>
    </row>
    <row r="146" spans="1:15" x14ac:dyDescent="0.25">
      <c r="A146" s="1"/>
      <c r="B146" s="1"/>
      <c r="C146" s="1"/>
      <c r="D146" s="1"/>
      <c r="E146" s="1"/>
      <c r="F146" s="1"/>
      <c r="G146" s="1"/>
      <c r="H146" s="1"/>
      <c r="O146" s="1"/>
    </row>
    <row r="147" spans="1:15" x14ac:dyDescent="0.25">
      <c r="A147" s="1"/>
      <c r="B147" s="1"/>
      <c r="C147" s="1"/>
      <c r="D147" s="1"/>
      <c r="E147" s="1"/>
      <c r="F147" s="1"/>
      <c r="G147" s="1"/>
      <c r="H147" s="1"/>
      <c r="O147" s="1"/>
    </row>
    <row r="148" spans="1:15" x14ac:dyDescent="0.25">
      <c r="A148" s="1"/>
      <c r="B148" s="1"/>
      <c r="C148" s="1"/>
      <c r="D148" s="1"/>
      <c r="E148" s="1"/>
      <c r="F148" s="1"/>
      <c r="G148" s="1"/>
      <c r="H148" s="1"/>
      <c r="O148" s="1"/>
    </row>
    <row r="149" spans="1:15" x14ac:dyDescent="0.25">
      <c r="A149" s="1"/>
      <c r="B149" s="1"/>
      <c r="C149" s="1"/>
      <c r="D149" s="1"/>
      <c r="E149" s="1"/>
      <c r="F149" s="1"/>
      <c r="G149" s="1"/>
      <c r="H149" s="1"/>
      <c r="O149" s="1"/>
    </row>
    <row r="150" spans="1:15" x14ac:dyDescent="0.25">
      <c r="A150" s="1"/>
      <c r="B150" s="1"/>
      <c r="C150" s="1"/>
      <c r="D150" s="1"/>
      <c r="E150" s="1"/>
      <c r="F150" s="1"/>
      <c r="G150" s="1"/>
      <c r="H150" s="1"/>
      <c r="O150" s="1"/>
    </row>
    <row r="151" spans="1:15" x14ac:dyDescent="0.25">
      <c r="A151" s="1"/>
      <c r="B151" s="1"/>
      <c r="C151" s="1"/>
      <c r="D151" s="1"/>
      <c r="E151" s="1"/>
      <c r="F151" s="1"/>
      <c r="G151" s="1"/>
      <c r="H151" s="1"/>
      <c r="O151" s="1"/>
    </row>
    <row r="152" spans="1:15" x14ac:dyDescent="0.25">
      <c r="A152" s="1"/>
      <c r="B152" s="1"/>
      <c r="C152" s="1"/>
      <c r="D152" s="1"/>
      <c r="E152" s="1"/>
      <c r="F152" s="1"/>
      <c r="G152" s="1"/>
      <c r="H152" s="1"/>
      <c r="O152" s="1"/>
    </row>
    <row r="153" spans="1:15" x14ac:dyDescent="0.25">
      <c r="A153" s="1"/>
      <c r="B153" s="1"/>
      <c r="C153" s="1"/>
      <c r="D153" s="1"/>
      <c r="E153" s="1"/>
      <c r="F153" s="1"/>
      <c r="G153" s="1"/>
      <c r="H153" s="1"/>
      <c r="O153" s="1"/>
    </row>
    <row r="154" spans="1:15" x14ac:dyDescent="0.25">
      <c r="A154" s="1"/>
      <c r="B154" s="1"/>
      <c r="C154" s="1"/>
      <c r="D154" s="1"/>
      <c r="E154" s="1"/>
      <c r="F154" s="1"/>
      <c r="G154" s="1"/>
      <c r="H154" s="1"/>
      <c r="O154" s="1"/>
    </row>
    <row r="155" spans="1:15" x14ac:dyDescent="0.25">
      <c r="A155" s="1"/>
      <c r="B155" s="1"/>
      <c r="C155" s="1"/>
      <c r="D155" s="1"/>
      <c r="E155" s="1"/>
      <c r="F155" s="1"/>
      <c r="G155" s="1"/>
      <c r="H155" s="1"/>
      <c r="O155" s="1"/>
    </row>
    <row r="156" spans="1:15" x14ac:dyDescent="0.25">
      <c r="A156" s="1"/>
      <c r="B156" s="1"/>
      <c r="C156" s="1"/>
      <c r="D156" s="1"/>
      <c r="E156" s="1"/>
      <c r="F156" s="1"/>
      <c r="G156" s="1"/>
      <c r="H156" s="1"/>
      <c r="O156" s="1"/>
    </row>
    <row r="157" spans="1:15" x14ac:dyDescent="0.25">
      <c r="A157" s="1"/>
      <c r="B157" s="1"/>
      <c r="C157" s="1"/>
      <c r="D157" s="1"/>
      <c r="E157" s="1"/>
      <c r="F157" s="1"/>
      <c r="G157" s="1"/>
      <c r="H157" s="1"/>
      <c r="O157" s="1"/>
    </row>
    <row r="158" spans="1:15" x14ac:dyDescent="0.25">
      <c r="A158" s="1"/>
      <c r="B158" s="1"/>
      <c r="C158" s="1"/>
      <c r="D158" s="1"/>
      <c r="E158" s="1"/>
      <c r="F158" s="1"/>
      <c r="G158" s="1"/>
      <c r="H158" s="1"/>
      <c r="O158" s="1"/>
    </row>
    <row r="159" spans="1:15" x14ac:dyDescent="0.25">
      <c r="A159" s="1"/>
      <c r="B159" s="1"/>
      <c r="C159" s="1"/>
      <c r="D159" s="1"/>
      <c r="E159" s="1"/>
      <c r="F159" s="1"/>
      <c r="G159" s="1"/>
      <c r="H159" s="1"/>
      <c r="O159" s="1"/>
    </row>
    <row r="160" spans="1:15" x14ac:dyDescent="0.25">
      <c r="A160" s="1"/>
      <c r="B160" s="1"/>
      <c r="C160" s="1"/>
      <c r="D160" s="1"/>
      <c r="E160" s="1"/>
      <c r="F160" s="1"/>
      <c r="G160" s="1"/>
      <c r="H160" s="1"/>
      <c r="O160" s="1"/>
    </row>
    <row r="161" spans="1:15" x14ac:dyDescent="0.25">
      <c r="A161" s="1"/>
      <c r="B161" s="1"/>
      <c r="C161" s="1"/>
      <c r="D161" s="1"/>
      <c r="E161" s="1"/>
      <c r="F161" s="1"/>
      <c r="G161" s="1"/>
      <c r="H161" s="1"/>
      <c r="O161" s="1"/>
    </row>
    <row r="162" spans="1:15" x14ac:dyDescent="0.25">
      <c r="A162" s="1"/>
      <c r="B162" s="1"/>
      <c r="C162" s="1"/>
      <c r="D162" s="1"/>
      <c r="E162" s="1"/>
      <c r="F162" s="1"/>
      <c r="G162" s="1"/>
      <c r="H162" s="1"/>
      <c r="O162" s="1"/>
    </row>
    <row r="163" spans="1:15" x14ac:dyDescent="0.25">
      <c r="A163" s="1"/>
      <c r="B163" s="1"/>
      <c r="C163" s="1"/>
      <c r="D163" s="1"/>
      <c r="E163" s="1"/>
      <c r="F163" s="1"/>
      <c r="G163" s="1"/>
      <c r="H163" s="1"/>
      <c r="O163" s="1"/>
    </row>
    <row r="164" spans="1:15" x14ac:dyDescent="0.25">
      <c r="A164" s="1"/>
      <c r="B164" s="1"/>
      <c r="C164" s="1"/>
      <c r="D164" s="1"/>
      <c r="E164" s="1"/>
      <c r="F164" s="1"/>
      <c r="G164" s="1"/>
      <c r="H164" s="1"/>
      <c r="O164" s="1"/>
    </row>
    <row r="165" spans="1:15" x14ac:dyDescent="0.25">
      <c r="A165" s="1"/>
      <c r="B165" s="1"/>
      <c r="C165" s="1"/>
      <c r="D165" s="1"/>
      <c r="E165" s="1"/>
      <c r="F165" s="1"/>
      <c r="G165" s="1"/>
      <c r="H165" s="1"/>
      <c r="O165" s="1"/>
    </row>
    <row r="166" spans="1:15" x14ac:dyDescent="0.25">
      <c r="A166" s="1"/>
      <c r="B166" s="1"/>
      <c r="C166" s="1"/>
      <c r="D166" s="1"/>
      <c r="E166" s="1"/>
      <c r="F166" s="1"/>
      <c r="G166" s="1"/>
      <c r="H166" s="1"/>
      <c r="O166" s="1"/>
    </row>
    <row r="167" spans="1:15" x14ac:dyDescent="0.25">
      <c r="A167" s="1"/>
      <c r="B167" s="1"/>
      <c r="C167" s="1"/>
      <c r="D167" s="1"/>
      <c r="E167" s="1"/>
      <c r="F167" s="1"/>
      <c r="G167" s="1"/>
      <c r="H167" s="1"/>
      <c r="O167" s="1"/>
    </row>
    <row r="168" spans="1:15" x14ac:dyDescent="0.25">
      <c r="A168" s="1"/>
      <c r="B168" s="1"/>
      <c r="C168" s="1"/>
      <c r="D168" s="1"/>
      <c r="E168" s="1"/>
      <c r="F168" s="1"/>
      <c r="G168" s="1"/>
      <c r="H168" s="1"/>
      <c r="O168" s="1"/>
    </row>
    <row r="169" spans="1:15" x14ac:dyDescent="0.25">
      <c r="A169" s="1"/>
      <c r="B169" s="1"/>
      <c r="C169" s="1"/>
      <c r="D169" s="1"/>
      <c r="E169" s="1"/>
      <c r="F169" s="1"/>
      <c r="G169" s="1"/>
      <c r="H169" s="1"/>
      <c r="O169" s="1"/>
    </row>
    <row r="170" spans="1:15" x14ac:dyDescent="0.25">
      <c r="A170" s="1"/>
      <c r="B170" s="1"/>
      <c r="C170" s="1"/>
      <c r="D170" s="1"/>
      <c r="E170" s="1"/>
      <c r="F170" s="1"/>
      <c r="G170" s="1"/>
      <c r="H170" s="1"/>
      <c r="O170" s="1"/>
    </row>
    <row r="171" spans="1:15" x14ac:dyDescent="0.25">
      <c r="A171" s="1"/>
      <c r="B171" s="1"/>
      <c r="C171" s="1"/>
      <c r="D171" s="1"/>
      <c r="E171" s="1"/>
      <c r="F171" s="1"/>
      <c r="G171" s="1"/>
      <c r="H171" s="1"/>
      <c r="O171" s="1"/>
    </row>
    <row r="172" spans="1:15" x14ac:dyDescent="0.25">
      <c r="A172" s="1"/>
      <c r="B172" s="1"/>
      <c r="C172" s="1"/>
      <c r="D172" s="1"/>
      <c r="E172" s="1"/>
      <c r="F172" s="1"/>
      <c r="G172" s="1"/>
      <c r="H172" s="1"/>
      <c r="O172" s="1"/>
    </row>
    <row r="173" spans="1:15" x14ac:dyDescent="0.25">
      <c r="A173" s="1"/>
      <c r="B173" s="1"/>
      <c r="C173" s="1"/>
      <c r="D173" s="1"/>
      <c r="E173" s="1"/>
      <c r="F173" s="1"/>
      <c r="G173" s="1"/>
      <c r="H173" s="1"/>
      <c r="O173" s="1"/>
    </row>
    <row r="174" spans="1:15" x14ac:dyDescent="0.25">
      <c r="A174" s="1"/>
      <c r="B174" s="1"/>
      <c r="C174" s="1"/>
      <c r="D174" s="1"/>
      <c r="E174" s="1"/>
      <c r="F174" s="1"/>
      <c r="G174" s="1"/>
      <c r="H174" s="1"/>
      <c r="O174" s="1"/>
    </row>
    <row r="175" spans="1:15" x14ac:dyDescent="0.25">
      <c r="A175" s="1"/>
      <c r="B175" s="1"/>
      <c r="C175" s="1"/>
      <c r="D175" s="1"/>
      <c r="E175" s="1"/>
      <c r="F175" s="1"/>
      <c r="G175" s="1"/>
      <c r="H175" s="1"/>
      <c r="O175" s="1"/>
    </row>
    <row r="176" spans="1:15" x14ac:dyDescent="0.25">
      <c r="A176" s="1"/>
      <c r="B176" s="1"/>
      <c r="C176" s="1"/>
      <c r="D176" s="1"/>
      <c r="E176" s="1"/>
      <c r="F176" s="1"/>
      <c r="G176" s="1"/>
      <c r="H176" s="1"/>
      <c r="O176" s="1"/>
    </row>
    <row r="177" spans="1:15" x14ac:dyDescent="0.25">
      <c r="A177" s="1"/>
      <c r="B177" s="1"/>
      <c r="C177" s="1"/>
      <c r="D177" s="1"/>
      <c r="E177" s="1"/>
      <c r="F177" s="1"/>
      <c r="G177" s="1"/>
      <c r="H177" s="1"/>
      <c r="O177" s="1"/>
    </row>
    <row r="178" spans="1:15" x14ac:dyDescent="0.25">
      <c r="A178" s="1"/>
      <c r="B178" s="1"/>
      <c r="C178" s="1"/>
      <c r="D178" s="1"/>
      <c r="E178" s="1"/>
      <c r="F178" s="1"/>
      <c r="G178" s="1"/>
      <c r="H178" s="1"/>
      <c r="O178" s="1"/>
    </row>
    <row r="179" spans="1:15" x14ac:dyDescent="0.25">
      <c r="A179" s="1"/>
      <c r="B179" s="1"/>
      <c r="C179" s="1"/>
      <c r="D179" s="1"/>
      <c r="E179" s="1"/>
      <c r="F179" s="1"/>
      <c r="G179" s="1"/>
      <c r="H179" s="1"/>
      <c r="O179" s="1"/>
    </row>
    <row r="180" spans="1:15" x14ac:dyDescent="0.25">
      <c r="A180" s="1"/>
      <c r="B180" s="1"/>
      <c r="C180" s="1"/>
      <c r="D180" s="1"/>
      <c r="E180" s="1"/>
      <c r="F180" s="1"/>
      <c r="G180" s="1"/>
      <c r="H180" s="1"/>
      <c r="O180" s="1"/>
    </row>
    <row r="181" spans="1:15" x14ac:dyDescent="0.25">
      <c r="A181" s="1"/>
      <c r="B181" s="1"/>
      <c r="C181" s="1"/>
      <c r="D181" s="1"/>
      <c r="E181" s="1"/>
      <c r="F181" s="1"/>
      <c r="G181" s="1"/>
      <c r="H181" s="1"/>
      <c r="O181" s="1"/>
    </row>
    <row r="182" spans="1:15" x14ac:dyDescent="0.25">
      <c r="A182" s="1"/>
      <c r="B182" s="1"/>
      <c r="C182" s="1"/>
      <c r="D182" s="1"/>
      <c r="E182" s="1"/>
      <c r="F182" s="1"/>
      <c r="G182" s="1"/>
      <c r="H182" s="1"/>
      <c r="O182" s="1"/>
    </row>
    <row r="183" spans="1:15" x14ac:dyDescent="0.25">
      <c r="A183" s="1"/>
      <c r="B183" s="1"/>
      <c r="C183" s="1"/>
      <c r="D183" s="1"/>
      <c r="E183" s="1"/>
      <c r="F183" s="1"/>
      <c r="G183" s="1"/>
      <c r="H183" s="1"/>
      <c r="O183" s="1"/>
    </row>
    <row r="184" spans="1:15" x14ac:dyDescent="0.25">
      <c r="A184" s="1"/>
      <c r="B184" s="1"/>
      <c r="C184" s="1"/>
      <c r="D184" s="1"/>
      <c r="E184" s="1"/>
      <c r="F184" s="1"/>
      <c r="G184" s="1"/>
      <c r="H184" s="1"/>
      <c r="O184" s="1"/>
    </row>
    <row r="185" spans="1:15" x14ac:dyDescent="0.25">
      <c r="A185" s="1"/>
      <c r="B185" s="1"/>
      <c r="C185" s="1"/>
      <c r="D185" s="1"/>
      <c r="E185" s="1"/>
      <c r="F185" s="1"/>
      <c r="G185" s="1"/>
      <c r="H185" s="1"/>
      <c r="O185" s="1"/>
    </row>
    <row r="186" spans="1:15" x14ac:dyDescent="0.25">
      <c r="A186" s="1"/>
      <c r="B186" s="1"/>
      <c r="C186" s="1"/>
      <c r="D186" s="1"/>
      <c r="E186" s="1"/>
      <c r="F186" s="1"/>
      <c r="G186" s="1"/>
      <c r="H186" s="1"/>
      <c r="O186" s="1"/>
    </row>
    <row r="187" spans="1:15" x14ac:dyDescent="0.25">
      <c r="A187" s="1"/>
      <c r="B187" s="1"/>
      <c r="C187" s="1"/>
      <c r="D187" s="1"/>
      <c r="E187" s="1"/>
      <c r="F187" s="1"/>
      <c r="G187" s="1"/>
      <c r="H187" s="1"/>
      <c r="O187" s="1"/>
    </row>
    <row r="188" spans="1:15" x14ac:dyDescent="0.25">
      <c r="A188" s="1"/>
      <c r="B188" s="1"/>
      <c r="C188" s="1"/>
      <c r="D188" s="1"/>
      <c r="E188" s="1"/>
      <c r="F188" s="1"/>
      <c r="G188" s="1"/>
      <c r="H188" s="1"/>
      <c r="O188" s="1"/>
    </row>
    <row r="189" spans="1:15" x14ac:dyDescent="0.25">
      <c r="A189" s="1"/>
      <c r="B189" s="1"/>
      <c r="C189" s="1"/>
      <c r="D189" s="1"/>
      <c r="E189" s="1"/>
      <c r="F189" s="1"/>
      <c r="G189" s="1"/>
      <c r="H189" s="1"/>
      <c r="O189" s="1"/>
    </row>
    <row r="190" spans="1:15" x14ac:dyDescent="0.25">
      <c r="A190" s="1"/>
      <c r="B190" s="1"/>
      <c r="C190" s="1"/>
      <c r="D190" s="1"/>
      <c r="E190" s="1"/>
      <c r="F190" s="1"/>
      <c r="G190" s="1"/>
      <c r="H190" s="1"/>
      <c r="O190" s="1"/>
    </row>
    <row r="191" spans="1:15" x14ac:dyDescent="0.25">
      <c r="A191" s="1"/>
      <c r="B191" s="1"/>
      <c r="C191" s="1"/>
      <c r="D191" s="1"/>
      <c r="E191" s="1"/>
      <c r="F191" s="1"/>
      <c r="G191" s="1"/>
      <c r="H191" s="1"/>
      <c r="O191" s="1"/>
    </row>
    <row r="192" spans="1:15" x14ac:dyDescent="0.25">
      <c r="A192" s="1"/>
      <c r="B192" s="1"/>
      <c r="C192" s="1"/>
      <c r="D192" s="1"/>
      <c r="E192" s="1"/>
      <c r="F192" s="1"/>
      <c r="G192" s="1"/>
      <c r="H192" s="1"/>
      <c r="O192" s="1"/>
    </row>
    <row r="193" spans="1:15" x14ac:dyDescent="0.25">
      <c r="A193" s="1"/>
      <c r="B193" s="1"/>
      <c r="C193" s="1"/>
      <c r="D193" s="1"/>
      <c r="E193" s="1"/>
      <c r="F193" s="1"/>
      <c r="G193" s="1"/>
      <c r="H193" s="1"/>
      <c r="O193" s="1"/>
    </row>
    <row r="194" spans="1:15" x14ac:dyDescent="0.25">
      <c r="A194" s="1"/>
      <c r="B194" s="1"/>
      <c r="C194" s="1"/>
      <c r="D194" s="1"/>
      <c r="E194" s="1"/>
      <c r="F194" s="1"/>
      <c r="G194" s="1"/>
      <c r="H194" s="1"/>
      <c r="O194" s="1"/>
    </row>
    <row r="195" spans="1:15" x14ac:dyDescent="0.25">
      <c r="A195" s="1"/>
      <c r="B195" s="1"/>
      <c r="C195" s="1"/>
      <c r="D195" s="1"/>
      <c r="E195" s="1"/>
      <c r="F195" s="1"/>
      <c r="G195" s="1"/>
      <c r="H195" s="1"/>
      <c r="O195" s="1"/>
    </row>
    <row r="196" spans="1:15" x14ac:dyDescent="0.25">
      <c r="A196" s="1"/>
      <c r="B196" s="1"/>
      <c r="C196" s="1"/>
      <c r="D196" s="1"/>
      <c r="E196" s="1"/>
      <c r="F196" s="1"/>
      <c r="G196" s="1"/>
      <c r="H196" s="1"/>
      <c r="O196" s="1"/>
    </row>
    <row r="197" spans="1:15" x14ac:dyDescent="0.25">
      <c r="A197" s="1"/>
      <c r="B197" s="1"/>
      <c r="C197" s="1"/>
      <c r="D197" s="1"/>
      <c r="E197" s="1"/>
      <c r="F197" s="1"/>
      <c r="G197" s="1"/>
      <c r="H197" s="1"/>
      <c r="O197" s="1"/>
    </row>
    <row r="198" spans="1:15" x14ac:dyDescent="0.25">
      <c r="A198" s="1"/>
      <c r="B198" s="1"/>
      <c r="C198" s="1"/>
      <c r="D198" s="1"/>
      <c r="E198" s="1"/>
      <c r="F198" s="1"/>
      <c r="G198" s="1"/>
      <c r="H198" s="1"/>
      <c r="O198" s="1"/>
    </row>
    <row r="199" spans="1:15" x14ac:dyDescent="0.25">
      <c r="A199" s="1"/>
      <c r="B199" s="1"/>
      <c r="C199" s="1"/>
      <c r="D199" s="1"/>
      <c r="E199" s="1"/>
      <c r="F199" s="1"/>
      <c r="G199" s="1"/>
      <c r="H199" s="1"/>
      <c r="O199" s="1"/>
    </row>
  </sheetData>
  <sheetProtection algorithmName="SHA-512" hashValue="4QJXryQOaT/0/2Q4cbvCmqPOrVkWMHCv4uB/UJReC7anrN9/jDapw4roNCjF/3M18kFEWpA/YNDIL7xkS1HRAA==" saltValue="cdZvXs612uun1qCFT/wBKQ==" spinCount="100000" sheet="1" objects="1" scenarios="1"/>
  <sortState xmlns:xlrd2="http://schemas.microsoft.com/office/spreadsheetml/2017/richdata2" ref="B83:E90">
    <sortCondition ref="B83"/>
  </sortState>
  <dataConsolidate/>
  <mergeCells count="212">
    <mergeCell ref="A1:H1"/>
    <mergeCell ref="A2:B2"/>
    <mergeCell ref="C2:H2"/>
    <mergeCell ref="A3:B3"/>
    <mergeCell ref="C3:H3"/>
    <mergeCell ref="A4:B4"/>
    <mergeCell ref="C4:H4"/>
    <mergeCell ref="A8:B8"/>
    <mergeCell ref="C8:D8"/>
    <mergeCell ref="F8:H8"/>
    <mergeCell ref="A9:B9"/>
    <mergeCell ref="C9:H9"/>
    <mergeCell ref="A11:B11"/>
    <mergeCell ref="C11:H11"/>
    <mergeCell ref="A5:B5"/>
    <mergeCell ref="C5:H5"/>
    <mergeCell ref="A6:B6"/>
    <mergeCell ref="C6:H6"/>
    <mergeCell ref="A7:B7"/>
    <mergeCell ref="C7:H7"/>
    <mergeCell ref="A10:B10"/>
    <mergeCell ref="C10:H10"/>
    <mergeCell ref="A18:G18"/>
    <mergeCell ref="A19:G19"/>
    <mergeCell ref="A20:G20"/>
    <mergeCell ref="A25:G25"/>
    <mergeCell ref="A26:H26"/>
    <mergeCell ref="A27:H27"/>
    <mergeCell ref="A12:H12"/>
    <mergeCell ref="A13:H13"/>
    <mergeCell ref="A16:H16"/>
    <mergeCell ref="A17:H17"/>
    <mergeCell ref="B14:E14"/>
    <mergeCell ref="B15:E15"/>
    <mergeCell ref="A21:G21"/>
    <mergeCell ref="A22:G22"/>
    <mergeCell ref="A23:G23"/>
    <mergeCell ref="A24:G24"/>
    <mergeCell ref="B33:E33"/>
    <mergeCell ref="F33:G33"/>
    <mergeCell ref="B34:E34"/>
    <mergeCell ref="F34:G34"/>
    <mergeCell ref="B35:E35"/>
    <mergeCell ref="F35:G35"/>
    <mergeCell ref="A28:H28"/>
    <mergeCell ref="B29:E29"/>
    <mergeCell ref="F29:G29"/>
    <mergeCell ref="H29:H36"/>
    <mergeCell ref="B30:E30"/>
    <mergeCell ref="F30:G30"/>
    <mergeCell ref="B31:E31"/>
    <mergeCell ref="F31:G31"/>
    <mergeCell ref="B32:E32"/>
    <mergeCell ref="F32:G32"/>
    <mergeCell ref="B40:E40"/>
    <mergeCell ref="F40:G40"/>
    <mergeCell ref="H40:H42"/>
    <mergeCell ref="B41:E41"/>
    <mergeCell ref="F41:G41"/>
    <mergeCell ref="B42:E42"/>
    <mergeCell ref="F42:G42"/>
    <mergeCell ref="B36:E36"/>
    <mergeCell ref="F36:G36"/>
    <mergeCell ref="A37:E37"/>
    <mergeCell ref="F37:G37"/>
    <mergeCell ref="A38:H38"/>
    <mergeCell ref="A39:H39"/>
    <mergeCell ref="A43:E43"/>
    <mergeCell ref="F43:G43"/>
    <mergeCell ref="A44:H44"/>
    <mergeCell ref="A45:H45"/>
    <mergeCell ref="B46:E46"/>
    <mergeCell ref="F46:G46"/>
    <mergeCell ref="F52:G52"/>
    <mergeCell ref="B53:E53"/>
    <mergeCell ref="F53:G53"/>
    <mergeCell ref="A47:E47"/>
    <mergeCell ref="F47:G47"/>
    <mergeCell ref="A48:H48"/>
    <mergeCell ref="A49:H49"/>
    <mergeCell ref="B50:E50"/>
    <mergeCell ref="F50:G50"/>
    <mergeCell ref="B51:E51"/>
    <mergeCell ref="F51:G51"/>
    <mergeCell ref="B52:E52"/>
    <mergeCell ref="B61:E61"/>
    <mergeCell ref="F61:G61"/>
    <mergeCell ref="H61:H63"/>
    <mergeCell ref="B62:E62"/>
    <mergeCell ref="F62:G62"/>
    <mergeCell ref="B63:E63"/>
    <mergeCell ref="F63:G63"/>
    <mergeCell ref="B56:E56"/>
    <mergeCell ref="F56:G56"/>
    <mergeCell ref="A58:E58"/>
    <mergeCell ref="F58:G58"/>
    <mergeCell ref="A59:H59"/>
    <mergeCell ref="A60:H60"/>
    <mergeCell ref="H50:H57"/>
    <mergeCell ref="B57:E57"/>
    <mergeCell ref="F57:G57"/>
    <mergeCell ref="B54:E54"/>
    <mergeCell ref="F54:G54"/>
    <mergeCell ref="B55:E55"/>
    <mergeCell ref="F55:G55"/>
    <mergeCell ref="F69:G69"/>
    <mergeCell ref="B70:E70"/>
    <mergeCell ref="F70:G70"/>
    <mergeCell ref="B71:E71"/>
    <mergeCell ref="F71:G71"/>
    <mergeCell ref="B72:E72"/>
    <mergeCell ref="F72:G72"/>
    <mergeCell ref="A64:E64"/>
    <mergeCell ref="F64:G64"/>
    <mergeCell ref="A65:H65"/>
    <mergeCell ref="A66:H66"/>
    <mergeCell ref="B67:E67"/>
    <mergeCell ref="F67:G67"/>
    <mergeCell ref="H67:H72"/>
    <mergeCell ref="B68:E68"/>
    <mergeCell ref="F68:G68"/>
    <mergeCell ref="B69:E69"/>
    <mergeCell ref="A77:E77"/>
    <mergeCell ref="F77:H77"/>
    <mergeCell ref="A78:H78"/>
    <mergeCell ref="B79:C79"/>
    <mergeCell ref="F79:H79"/>
    <mergeCell ref="C80:C81"/>
    <mergeCell ref="F80:H80"/>
    <mergeCell ref="F81:H81"/>
    <mergeCell ref="A73:E73"/>
    <mergeCell ref="F73:G73"/>
    <mergeCell ref="A74:H74"/>
    <mergeCell ref="A75:E75"/>
    <mergeCell ref="F75:G75"/>
    <mergeCell ref="A76:H76"/>
    <mergeCell ref="B86:E86"/>
    <mergeCell ref="F86:H86"/>
    <mergeCell ref="F87:H87"/>
    <mergeCell ref="B87:E87"/>
    <mergeCell ref="A82:H82"/>
    <mergeCell ref="B83:E83"/>
    <mergeCell ref="F83:H83"/>
    <mergeCell ref="B84:E84"/>
    <mergeCell ref="F84:H84"/>
    <mergeCell ref="B85:E85"/>
    <mergeCell ref="F85:H85"/>
    <mergeCell ref="A93:E93"/>
    <mergeCell ref="F93:H93"/>
    <mergeCell ref="A94:H94"/>
    <mergeCell ref="A95:D95"/>
    <mergeCell ref="F95:H95"/>
    <mergeCell ref="B96:D96"/>
    <mergeCell ref="F96:H96"/>
    <mergeCell ref="B88:E88"/>
    <mergeCell ref="F88:H88"/>
    <mergeCell ref="B89:E89"/>
    <mergeCell ref="F89:H89"/>
    <mergeCell ref="B90:E90"/>
    <mergeCell ref="F90:H90"/>
    <mergeCell ref="B91:E91"/>
    <mergeCell ref="F91:H91"/>
    <mergeCell ref="B92:E92"/>
    <mergeCell ref="F92:H92"/>
    <mergeCell ref="A101:D101"/>
    <mergeCell ref="F101:H101"/>
    <mergeCell ref="B102:D102"/>
    <mergeCell ref="B103:D103"/>
    <mergeCell ref="B104:D104"/>
    <mergeCell ref="B105:D105"/>
    <mergeCell ref="B106:D106"/>
    <mergeCell ref="A97:E97"/>
    <mergeCell ref="F97:H97"/>
    <mergeCell ref="A98:H98"/>
    <mergeCell ref="A99:E99"/>
    <mergeCell ref="F99:H99"/>
    <mergeCell ref="A100:H100"/>
    <mergeCell ref="F112:H112"/>
    <mergeCell ref="A113:H113"/>
    <mergeCell ref="A114:E114"/>
    <mergeCell ref="F114:H114"/>
    <mergeCell ref="A115:H115"/>
    <mergeCell ref="A108:D108"/>
    <mergeCell ref="F108:H108"/>
    <mergeCell ref="A109:H109"/>
    <mergeCell ref="A110:E110"/>
    <mergeCell ref="F110:H110"/>
    <mergeCell ref="A111:H111"/>
    <mergeCell ref="B107:D107"/>
    <mergeCell ref="F102:H107"/>
    <mergeCell ref="A126:E126"/>
    <mergeCell ref="F126:H126"/>
    <mergeCell ref="A127:H127"/>
    <mergeCell ref="B123:E123"/>
    <mergeCell ref="F123:H123"/>
    <mergeCell ref="A124:E124"/>
    <mergeCell ref="F124:H124"/>
    <mergeCell ref="B125:C125"/>
    <mergeCell ref="F125:H125"/>
    <mergeCell ref="B120:E120"/>
    <mergeCell ref="F120:H120"/>
    <mergeCell ref="B121:E121"/>
    <mergeCell ref="F121:H121"/>
    <mergeCell ref="B122:E122"/>
    <mergeCell ref="F122:H122"/>
    <mergeCell ref="A116:E116"/>
    <mergeCell ref="F116:H116"/>
    <mergeCell ref="A117:H117"/>
    <mergeCell ref="A118:H118"/>
    <mergeCell ref="B119:E119"/>
    <mergeCell ref="F119:H119"/>
    <mergeCell ref="A112:E112"/>
  </mergeCells>
  <conditionalFormatting sqref="J14">
    <cfRule type="notContainsBlanks" dxfId="0" priority="1">
      <formula>LEN(TRIM(J14))&gt;0</formula>
    </cfRule>
  </conditionalFormatting>
  <pageMargins left="0.70866141732283472" right="0.15748031496062992" top="0.59055118110236227" bottom="0.43307086614173229" header="0.27559055118110237" footer="0.15748031496062992"/>
  <pageSetup paperSize="9" scale="85" fitToHeight="2" orientation="portrait" r:id="rId1"/>
  <headerFooter>
    <oddHeader>&amp;C&amp;"-,Negrito"PLANILHA DE COMPOSIÇÃO DE CUSTOSCUSTO POR FUNÇÃO</oddHeader>
    <oddFooter>&amp;R&amp;8&amp;P/&amp;N</oddFooter>
  </headerFooter>
  <rowBreaks count="1" manualBreakCount="1">
    <brk id="59" max="7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1000000}">
          <x14:formula1>
            <xm:f>'Indicadores Financeiros'!$C$127:$C$131</xm:f>
          </x14:formula1>
          <xm:sqref>C8:D8</xm:sqref>
        </x14:dataValidation>
        <x14:dataValidation type="list" allowBlank="1" showInputMessage="1" showErrorMessage="1" xr:uid="{00000000-0002-0000-0500-000000000000}">
          <x14:formula1>
            <xm:f>'Tabela de Códigos e Valores'!$A$5:$A$14</xm:f>
          </x14:formula1>
          <xm:sqref>A15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  <pageSetUpPr fitToPage="1"/>
  </sheetPr>
  <dimension ref="A1:CW1470"/>
  <sheetViews>
    <sheetView tabSelected="1" zoomScaleNormal="100" workbookViewId="0">
      <pane xSplit="2" ySplit="4" topLeftCell="C5" activePane="bottomRight" state="frozen"/>
      <selection pane="topRight" activeCell="P10" sqref="P10"/>
      <selection pane="bottomLeft" activeCell="P10" sqref="P10"/>
      <selection pane="bottomRight" activeCell="B20" sqref="B20"/>
    </sheetView>
  </sheetViews>
  <sheetFormatPr defaultColWidth="8.85546875" defaultRowHeight="12.75" x14ac:dyDescent="0.25"/>
  <cols>
    <col min="1" max="1" width="10.7109375" style="190" customWidth="1"/>
    <col min="2" max="2" width="50.140625" style="189" customWidth="1"/>
    <col min="3" max="3" width="7" style="190" customWidth="1"/>
    <col min="4" max="4" width="53.140625" style="189" customWidth="1"/>
    <col min="5" max="5" width="14.85546875" style="189" bestFit="1" customWidth="1"/>
    <col min="6" max="6" width="12.7109375" style="189" customWidth="1"/>
    <col min="7" max="7" width="11.28515625" style="189" customWidth="1"/>
    <col min="8" max="9" width="8.28515625" style="189" customWidth="1"/>
    <col min="10" max="10" width="10.7109375" style="189" customWidth="1"/>
    <col min="11" max="11" width="12.5703125" style="190" customWidth="1"/>
    <col min="12" max="12" width="9.85546875" style="190" customWidth="1"/>
    <col min="13" max="13" width="12.7109375" style="190" customWidth="1"/>
    <col min="14" max="14" width="11.85546875" style="189" customWidth="1"/>
    <col min="15" max="15" width="12" style="189" customWidth="1"/>
    <col min="16" max="16" width="12.7109375" style="189" customWidth="1"/>
    <col min="17" max="17" width="10.5703125" style="189" customWidth="1"/>
    <col min="18" max="18" width="11.7109375" style="191" customWidth="1"/>
    <col min="19" max="19" width="10.140625" style="189" bestFit="1" customWidth="1"/>
    <col min="20" max="20" width="11.7109375" style="189" customWidth="1"/>
    <col min="21" max="21" width="11.5703125" style="189" customWidth="1"/>
    <col min="22" max="22" width="9.7109375" style="189" bestFit="1" customWidth="1"/>
    <col min="23" max="23" width="12.7109375" style="189" customWidth="1"/>
    <col min="24" max="24" width="13.28515625" style="189" bestFit="1" customWidth="1"/>
    <col min="25" max="25" width="10" style="189" customWidth="1"/>
    <col min="26" max="26" width="9.7109375" style="189" customWidth="1"/>
    <col min="27" max="27" width="8.7109375" style="189" customWidth="1"/>
    <col min="28" max="28" width="10.7109375" style="192" customWidth="1"/>
    <col min="29" max="29" width="10.28515625" style="189" customWidth="1"/>
    <col min="30" max="30" width="10.85546875" style="189" customWidth="1"/>
    <col min="31" max="31" width="9.7109375" style="189" customWidth="1"/>
    <col min="32" max="32" width="8.7109375" style="189" customWidth="1"/>
    <col min="33" max="33" width="12.85546875" style="192" bestFit="1" customWidth="1"/>
    <col min="34" max="34" width="9.7109375" style="189" customWidth="1"/>
    <col min="35" max="35" width="11.85546875" style="189" bestFit="1" customWidth="1"/>
    <col min="36" max="36" width="14.28515625" style="192" customWidth="1"/>
    <col min="37" max="37" width="8.85546875" style="208"/>
    <col min="38" max="38" width="10.85546875" style="208" bestFit="1" customWidth="1"/>
    <col min="39" max="101" width="8.85546875" style="208"/>
    <col min="102" max="16384" width="8.85546875" style="189"/>
  </cols>
  <sheetData>
    <row r="1" spans="1:101" x14ac:dyDescent="0.25">
      <c r="A1" s="193" t="s">
        <v>286</v>
      </c>
      <c r="B1" s="219" t="s">
        <v>898</v>
      </c>
      <c r="C1" s="218"/>
      <c r="D1" s="208"/>
      <c r="E1" s="208"/>
      <c r="F1" s="208"/>
      <c r="G1" s="208"/>
      <c r="H1" s="208"/>
      <c r="I1" s="208"/>
      <c r="J1" s="208"/>
      <c r="K1" s="207"/>
      <c r="L1" s="207"/>
      <c r="M1" s="207"/>
      <c r="N1" s="208"/>
      <c r="O1" s="208"/>
      <c r="P1" s="208"/>
      <c r="Q1" s="208"/>
      <c r="R1" s="209"/>
      <c r="S1" s="208"/>
      <c r="T1" s="208"/>
      <c r="U1" s="208"/>
      <c r="V1" s="208"/>
      <c r="W1" s="208"/>
      <c r="X1" s="208"/>
      <c r="Y1" s="208"/>
      <c r="Z1" s="208"/>
      <c r="AA1" s="208"/>
      <c r="AB1" s="210"/>
      <c r="AC1" s="208"/>
      <c r="AD1" s="208"/>
      <c r="AE1" s="208"/>
      <c r="AF1" s="211"/>
      <c r="AG1" s="212"/>
      <c r="AH1" s="211"/>
      <c r="AI1" s="211"/>
      <c r="AJ1" s="226"/>
    </row>
    <row r="2" spans="1:101" ht="7.15" customHeight="1" x14ac:dyDescent="0.25">
      <c r="C2" s="213"/>
      <c r="D2" s="214"/>
      <c r="E2" s="214"/>
      <c r="F2" s="214"/>
      <c r="G2" s="214"/>
      <c r="H2" s="214"/>
      <c r="I2" s="214"/>
      <c r="J2" s="214"/>
      <c r="K2" s="213"/>
      <c r="L2" s="213"/>
      <c r="M2" s="213"/>
      <c r="N2" s="214"/>
      <c r="O2" s="214"/>
      <c r="P2" s="214"/>
      <c r="Q2" s="214"/>
      <c r="R2" s="215"/>
      <c r="S2" s="214"/>
      <c r="T2" s="214"/>
      <c r="U2" s="214"/>
      <c r="V2" s="214"/>
      <c r="W2" s="214"/>
      <c r="X2" s="214"/>
      <c r="Y2" s="214"/>
      <c r="Z2" s="214"/>
      <c r="AA2" s="214"/>
      <c r="AB2" s="216"/>
      <c r="AC2" s="214"/>
      <c r="AD2" s="217"/>
      <c r="AE2" s="217"/>
      <c r="AF2" s="214"/>
      <c r="AG2" s="216"/>
      <c r="AH2" s="214"/>
      <c r="AI2" s="214"/>
      <c r="AJ2" s="227"/>
    </row>
    <row r="3" spans="1:101" ht="14.45" customHeight="1" x14ac:dyDescent="0.25">
      <c r="A3" s="572" t="s">
        <v>97</v>
      </c>
      <c r="B3" s="572" t="s">
        <v>104</v>
      </c>
      <c r="C3" s="570" t="s">
        <v>103</v>
      </c>
      <c r="D3" s="572" t="s">
        <v>104</v>
      </c>
      <c r="E3" s="570" t="s">
        <v>153</v>
      </c>
      <c r="F3" s="570" t="s">
        <v>154</v>
      </c>
      <c r="G3" s="570" t="s">
        <v>287</v>
      </c>
      <c r="H3" s="570" t="s">
        <v>156</v>
      </c>
      <c r="I3" s="570" t="s">
        <v>158</v>
      </c>
      <c r="J3" s="570" t="s">
        <v>105</v>
      </c>
      <c r="K3" s="573" t="s">
        <v>288</v>
      </c>
      <c r="L3" s="574"/>
      <c r="M3" s="574"/>
      <c r="N3" s="575"/>
      <c r="O3" s="570" t="s">
        <v>289</v>
      </c>
      <c r="P3" s="570" t="s">
        <v>290</v>
      </c>
      <c r="Q3" s="573" t="s">
        <v>161</v>
      </c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575"/>
      <c r="AC3" s="570" t="s">
        <v>162</v>
      </c>
      <c r="AD3" s="570" t="s">
        <v>261</v>
      </c>
      <c r="AE3" s="576" t="s">
        <v>163</v>
      </c>
      <c r="AF3" s="577"/>
      <c r="AG3" s="570" t="s">
        <v>291</v>
      </c>
      <c r="AH3" s="573" t="s">
        <v>165</v>
      </c>
      <c r="AI3" s="575"/>
      <c r="AJ3" s="570" t="s">
        <v>292</v>
      </c>
      <c r="AK3" s="241"/>
    </row>
    <row r="4" spans="1:101" s="190" customFormat="1" ht="38.25" x14ac:dyDescent="0.25">
      <c r="A4" s="572"/>
      <c r="B4" s="572"/>
      <c r="C4" s="571"/>
      <c r="D4" s="572"/>
      <c r="E4" s="571"/>
      <c r="F4" s="571"/>
      <c r="G4" s="571"/>
      <c r="H4" s="571"/>
      <c r="I4" s="571"/>
      <c r="J4" s="571"/>
      <c r="K4" s="193" t="s">
        <v>239</v>
      </c>
      <c r="L4" s="193" t="s">
        <v>240</v>
      </c>
      <c r="M4" s="193" t="s">
        <v>241</v>
      </c>
      <c r="N4" s="193" t="s">
        <v>242</v>
      </c>
      <c r="O4" s="571"/>
      <c r="P4" s="571"/>
      <c r="Q4" s="193" t="s">
        <v>293</v>
      </c>
      <c r="R4" s="193" t="s">
        <v>122</v>
      </c>
      <c r="S4" s="193" t="s">
        <v>124</v>
      </c>
      <c r="T4" s="193" t="s">
        <v>125</v>
      </c>
      <c r="U4" s="193" t="s">
        <v>126</v>
      </c>
      <c r="V4" s="193" t="s">
        <v>127</v>
      </c>
      <c r="W4" s="193" t="s">
        <v>128</v>
      </c>
      <c r="X4" s="193" t="s">
        <v>129</v>
      </c>
      <c r="Y4" s="193" t="s">
        <v>130</v>
      </c>
      <c r="Z4" s="193" t="s">
        <v>294</v>
      </c>
      <c r="AA4" s="193" t="s">
        <v>262</v>
      </c>
      <c r="AB4" s="193" t="s">
        <v>295</v>
      </c>
      <c r="AC4" s="571"/>
      <c r="AD4" s="571"/>
      <c r="AE4" s="193" t="s">
        <v>41</v>
      </c>
      <c r="AF4" s="193" t="s">
        <v>119</v>
      </c>
      <c r="AG4" s="571"/>
      <c r="AH4" s="193" t="s">
        <v>41</v>
      </c>
      <c r="AI4" s="193" t="s">
        <v>119</v>
      </c>
      <c r="AJ4" s="571"/>
      <c r="AK4" s="218"/>
      <c r="AL4" s="207"/>
      <c r="AM4" s="207"/>
      <c r="AN4" s="207"/>
      <c r="AO4" s="207"/>
      <c r="AP4" s="207"/>
      <c r="AQ4" s="207"/>
      <c r="AR4" s="207"/>
      <c r="AS4" s="207"/>
      <c r="AT4" s="207"/>
      <c r="AU4" s="207"/>
      <c r="AV4" s="207"/>
      <c r="AW4" s="207"/>
      <c r="AX4" s="207"/>
      <c r="AY4" s="207"/>
      <c r="AZ4" s="207"/>
      <c r="BA4" s="207"/>
      <c r="BB4" s="207"/>
      <c r="BC4" s="207"/>
      <c r="BD4" s="207"/>
      <c r="BE4" s="207"/>
      <c r="BF4" s="207"/>
      <c r="BG4" s="207"/>
      <c r="BH4" s="207"/>
      <c r="BI4" s="207"/>
      <c r="BJ4" s="207"/>
      <c r="BK4" s="207"/>
      <c r="BL4" s="207"/>
      <c r="BM4" s="207"/>
      <c r="BN4" s="207"/>
      <c r="BO4" s="207"/>
      <c r="BP4" s="207"/>
      <c r="BQ4" s="207"/>
      <c r="BR4" s="207"/>
      <c r="BS4" s="207"/>
      <c r="BT4" s="207"/>
      <c r="BU4" s="207"/>
      <c r="BV4" s="207"/>
      <c r="BW4" s="207"/>
      <c r="BX4" s="207"/>
      <c r="BY4" s="207"/>
      <c r="BZ4" s="207"/>
      <c r="CA4" s="207"/>
      <c r="CB4" s="207"/>
      <c r="CC4" s="207"/>
      <c r="CD4" s="207"/>
      <c r="CE4" s="207"/>
      <c r="CF4" s="207"/>
      <c r="CG4" s="207"/>
      <c r="CH4" s="207"/>
      <c r="CI4" s="207"/>
      <c r="CJ4" s="207"/>
      <c r="CK4" s="207"/>
      <c r="CL4" s="207"/>
      <c r="CM4" s="207"/>
      <c r="CN4" s="207"/>
      <c r="CO4" s="207"/>
      <c r="CP4" s="207"/>
      <c r="CQ4" s="207"/>
      <c r="CR4" s="207"/>
      <c r="CS4" s="207"/>
      <c r="CT4" s="207"/>
      <c r="CU4" s="207"/>
      <c r="CV4" s="207"/>
      <c r="CW4" s="207"/>
    </row>
    <row r="5" spans="1:101" ht="25.5" x14ac:dyDescent="0.25">
      <c r="A5" s="195">
        <v>690001</v>
      </c>
      <c r="B5" s="194" t="s">
        <v>296</v>
      </c>
      <c r="C5" s="195">
        <v>1</v>
      </c>
      <c r="D5" s="194" t="str">
        <f>IFERROR(VLOOKUP(C5,'Indicadores Financeiros'!$A$96:$H$100,2,FALSE),"")</f>
        <v>Auxiliar de Limpeza - 44 horas Semanais</v>
      </c>
      <c r="E5" s="194" t="s">
        <v>297</v>
      </c>
      <c r="F5" s="194" t="s">
        <v>223</v>
      </c>
      <c r="G5" s="196">
        <f>IF(E5="Posto",IF(A5=690032,'Indicadores Financeiros'!$J$75,'Indicadores Financeiros'!$J$74),IF(E5="Plantão - Sábado",'Indicadores Financeiros'!$J$77,'Indicadores Financeiros'!$J$76))</f>
        <v>21</v>
      </c>
      <c r="H5" s="196">
        <v>0</v>
      </c>
      <c r="I5" s="196">
        <f>IFERROR(VLOOKUP($A5,'Indicadores Financeiros'!$A$90:$J$92,10,FALSE),0)</f>
        <v>0</v>
      </c>
      <c r="J5" s="196">
        <f>IF(E5="Posto",IFERROR(VLOOKUP($C5,'Indicadores Financeiros'!$A$96:$H$100,6,FALSE),0),0)</f>
        <v>0</v>
      </c>
      <c r="K5" s="197">
        <v>0</v>
      </c>
      <c r="L5" s="197">
        <v>0</v>
      </c>
      <c r="M5" s="198">
        <v>0</v>
      </c>
      <c r="N5" s="198">
        <v>0</v>
      </c>
      <c r="O5" s="198">
        <f>IF(H5&lt;&gt;0,ROUND(IFERROR(VLOOKUP($C5,'Indicadores Financeiros'!$A$96:$H$100,6,FALSE),0)/220*IF($E5="Plantão - Sábado",1.5,2),2),0)</f>
        <v>0</v>
      </c>
      <c r="P5" s="198">
        <f>IF(E5="Posto",SUM(J5:N5),O5*H5)</f>
        <v>0</v>
      </c>
      <c r="Q5" s="198">
        <f>IF(E5="Posto",ROUND('Indicadores Financeiros'!$J$63*P5,2),ROUND('Indicadores Financeiros'!$J$63*O5,2)*H5)</f>
        <v>0</v>
      </c>
      <c r="R5" s="198">
        <f>IF(E5="Posto",IF(OR($C5=11,$C5=12),'Indicadores Financeiros'!$J$105,'Indicadores Financeiros'!$G$105),0)</f>
        <v>0</v>
      </c>
      <c r="S5" s="198">
        <f>IF(E5="Posto",IF(OR($C5=11,$C5=12),'Indicadores Financeiros'!$J$106,'Indicadores Financeiros'!$G$106),0)</f>
        <v>0</v>
      </c>
      <c r="T5" s="198">
        <f>IF($E5="Posto",IF(OR($C5=11,$C5=12),'Indicadores Financeiros'!$J$107,'Indicadores Financeiros'!$G$107),0)</f>
        <v>0</v>
      </c>
      <c r="U5" s="198">
        <f>IF($E5="Posto",IF(OR($C5=11,$C5=12),'Indicadores Financeiros'!$J$108,'Indicadores Financeiros'!$G$108),0)</f>
        <v>0</v>
      </c>
      <c r="V5" s="198">
        <f>IF(E5="Posto",IF(OR($C5=11,$C5=12),'Indicadores Financeiros'!$J$109,'Indicadores Financeiros'!$G$109),0)</f>
        <v>0</v>
      </c>
      <c r="W5" s="198">
        <f>IF(E5="Posto",IF(OR($C5=11,$C5=12),'Indicadores Financeiros'!$J$110,'Indicadores Financeiros'!$G$110),0)</f>
        <v>0</v>
      </c>
      <c r="X5" s="198">
        <f>IF(E5="Posto",IF(OR($C5=11,$C5=12),'Indicadores Financeiros'!$J$111,'Indicadores Financeiros'!$G$111),0)</f>
        <v>0</v>
      </c>
      <c r="Y5" s="198">
        <f>IF(E5="Posto",IF(OR($C5=11,$C5=12),'Indicadores Financeiros'!$J$112,'Indicadores Financeiros'!$G$112),0)</f>
        <v>0</v>
      </c>
      <c r="Z5" s="198">
        <f>IF(OR(A5=690002,A5=690016,A5=690035,A5=690038,A5=690064),0,IF(E5&lt;&gt;"M2",ROUND(IF(OR($C5=11,$C5=12),'Indicadores Financeiros'!$J$113,'Indicadores Financeiros'!$G$113)*$G5,2),0))</f>
        <v>0</v>
      </c>
      <c r="AA5" s="198">
        <f>IF(E5="Posto",ROUND(IF(OR($C5=11,$C5=12),'Indicadores Financeiros'!$J$114*G5,'Indicadores Financeiros'!$G$114*G5) + IF(OR($C5=11,$C5=12),'Indicadores Financeiros'!$J$115,'Indicadores Financeiros'!$G$115),2),0)</f>
        <v>0</v>
      </c>
      <c r="AB5" s="199">
        <f t="shared" ref="AB5:AB14" si="0">ROUND(SUM(R5:AA5),2)</f>
        <v>0</v>
      </c>
      <c r="AC5" s="198">
        <f>IF(E5&lt;&gt;"M2",IF((J5*6%)&gt;=(VLOOKUP($B$1,'Indicadores Financeiros'!$C$127:$J$131,7,FALSE)*G5),0,ROUND((VLOOKUP($B$1,'Indicadores Financeiros'!$C$127:$J$131,7,FALSE)*G5),2)-ROUND($J5*6%,2)),0)</f>
        <v>0</v>
      </c>
      <c r="AD5" s="196">
        <f>IF(E5="Posto",IFERROR(VLOOKUP($C5,'Indicadores Financeiros'!$A$119:$M$123,9,FALSE),0),0)</f>
        <v>0</v>
      </c>
      <c r="AE5" s="200">
        <f>IF(E5="Posto",IFERROR(VLOOKUP($C5,'Indicadores Financeiros'!$A$119:$M$123,10,FALSE),0),0)</f>
        <v>0.12</v>
      </c>
      <c r="AF5" s="201">
        <f t="shared" ref="AF5:AF14" si="1">ROUND(((P5+Q5+AB5+AC5+AD5)*AE5)/(1-AE5),2)</f>
        <v>0</v>
      </c>
      <c r="AG5" s="202">
        <f t="shared" ref="AG5:AG14" si="2">ROUND(I5+P5+Q5+AB5+AC5+AD5+AF5,2)</f>
        <v>0</v>
      </c>
      <c r="AH5" s="203">
        <f>IFERROR(VLOOKUP($B$1,'Indicadores Financeiros'!$C$127:$J$229,6,FALSE),0)</f>
        <v>2.0400000000000001E-2</v>
      </c>
      <c r="AI5" s="204">
        <f>ROUND(AG5*AH5,2)</f>
        <v>0</v>
      </c>
      <c r="AJ5" s="205">
        <f>ROUND(AG5+AI5,2)</f>
        <v>0</v>
      </c>
      <c r="AK5" s="241"/>
      <c r="AL5" s="211"/>
      <c r="AM5" s="252"/>
      <c r="AN5" s="211"/>
    </row>
    <row r="6" spans="1:101" x14ac:dyDescent="0.25">
      <c r="A6" s="195">
        <v>690002</v>
      </c>
      <c r="B6" s="194" t="s">
        <v>298</v>
      </c>
      <c r="C6" s="195">
        <v>2</v>
      </c>
      <c r="D6" s="194" t="str">
        <f>IFERROR(VLOOKUP(C6,'Indicadores Financeiros'!$A$96:$H$100,2,FALSE),"")</f>
        <v>Auxiliar de Limpeza - 24 horas Semanais</v>
      </c>
      <c r="E6" s="194" t="s">
        <v>297</v>
      </c>
      <c r="F6" s="194" t="s">
        <v>223</v>
      </c>
      <c r="G6" s="196">
        <f>IF(E6="Posto",IF(A6=690032,'Indicadores Financeiros'!$J$75,'Indicadores Financeiros'!$J$74),IF(E6="Plantão - Sábado",'Indicadores Financeiros'!$J$77,'Indicadores Financeiros'!$J$76))</f>
        <v>21</v>
      </c>
      <c r="H6" s="196">
        <v>0</v>
      </c>
      <c r="I6" s="196">
        <f>IFERROR(VLOOKUP($A6,'Indicadores Financeiros'!$A$90:$J$92,10,FALSE),0)</f>
        <v>0</v>
      </c>
      <c r="J6" s="196">
        <f>IF(E6="Posto",IFERROR(VLOOKUP($C6,'Indicadores Financeiros'!$A$96:$H$100,6,FALSE),0),0)</f>
        <v>0</v>
      </c>
      <c r="K6" s="197">
        <v>0</v>
      </c>
      <c r="L6" s="197">
        <v>0</v>
      </c>
      <c r="M6" s="198">
        <v>0</v>
      </c>
      <c r="N6" s="198">
        <v>0</v>
      </c>
      <c r="O6" s="198">
        <f>IF(H6&lt;&gt;0,ROUND(IFERROR(VLOOKUP($C6,'Indicadores Financeiros'!$A$96:$H$100,6,FALSE),0)/220*IF($E6="Plantão - Sábado",1.5,2),2),0)</f>
        <v>0</v>
      </c>
      <c r="P6" s="198">
        <f t="shared" ref="P6:P14" si="3">IF(E6="Posto",SUM(J6:N6),O6*H6)</f>
        <v>0</v>
      </c>
      <c r="Q6" s="198">
        <f>IF(E6="Posto",ROUND('Indicadores Financeiros'!$J$63*P6,2),ROUND('Indicadores Financeiros'!$J$63*O6,2)*H6)</f>
        <v>0</v>
      </c>
      <c r="R6" s="198">
        <f>IF(E6="Posto",IF(OR($C6=11,$C6=12),'Indicadores Financeiros'!$J$105,'Indicadores Financeiros'!$G$105),0)</f>
        <v>0</v>
      </c>
      <c r="S6" s="198">
        <f>IF(E6="Posto",IF(OR($C6=11,$C6=12),'Indicadores Financeiros'!$J$106,'Indicadores Financeiros'!$G$106),0)</f>
        <v>0</v>
      </c>
      <c r="T6" s="198">
        <f>IF($E6="Posto",IF(OR($C6=11,$C6=12),'Indicadores Financeiros'!$J$107,'Indicadores Financeiros'!$G$107),0)</f>
        <v>0</v>
      </c>
      <c r="U6" s="198">
        <f>IF($E6="Posto",IF(OR($C6=11,$C6=12),'Indicadores Financeiros'!$J$108,'Indicadores Financeiros'!$G$108),0)</f>
        <v>0</v>
      </c>
      <c r="V6" s="198">
        <f>IF(E6="Posto",IF(OR($C6=11,$C6=12),'Indicadores Financeiros'!$J$109,'Indicadores Financeiros'!$G$109),0)</f>
        <v>0</v>
      </c>
      <c r="W6" s="198">
        <f>IF(E6="Posto",IF(OR($C6=11,$C6=12),'Indicadores Financeiros'!$J$110,'Indicadores Financeiros'!$G$110),0)</f>
        <v>0</v>
      </c>
      <c r="X6" s="198">
        <f>IF(E6="Posto",IF(OR($C6=11,$C6=12),'Indicadores Financeiros'!$J$111,'Indicadores Financeiros'!$G$111),0)</f>
        <v>0</v>
      </c>
      <c r="Y6" s="198">
        <f>IF(E6="Posto",IF(OR($C6=11,$C6=12),'Indicadores Financeiros'!$J$112,'Indicadores Financeiros'!$G$112),0)</f>
        <v>0</v>
      </c>
      <c r="Z6" s="198">
        <f>IF(OR(A6=690002,A6=690016,A6=690035,A6=690038,A6=690064),0,IF(E6&lt;&gt;"M2",ROUND(IF(OR($C6=11,$C6=12),'Indicadores Financeiros'!$J$113,'Indicadores Financeiros'!$G$113)*$G6,2),0))</f>
        <v>0</v>
      </c>
      <c r="AA6" s="198">
        <f>IF(E6="Posto",ROUND(IF(OR($C6=11,$C6=12),'Indicadores Financeiros'!$J$114*G6,'Indicadores Financeiros'!$G$114*G6) + IF(OR($C6=11,$C6=12),'Indicadores Financeiros'!$J$115,'Indicadores Financeiros'!$G$115),2),0)</f>
        <v>0</v>
      </c>
      <c r="AB6" s="199">
        <f t="shared" si="0"/>
        <v>0</v>
      </c>
      <c r="AC6" s="198">
        <f>IF(E6&lt;&gt;"M2",IF((J6*6%)&gt;=(VLOOKUP($B$1,'Indicadores Financeiros'!$C$127:$J$131,7,FALSE)*G6),0,ROUND((VLOOKUP($B$1,'Indicadores Financeiros'!$C$127:$J$131,7,FALSE)*G6),2)-ROUND($J6*6%,2)),0)</f>
        <v>0</v>
      </c>
      <c r="AD6" s="196">
        <f>IF(E6="Posto",IFERROR(VLOOKUP($C6,'Indicadores Financeiros'!$A$119:$M$123,9,FALSE),0),0)</f>
        <v>0</v>
      </c>
      <c r="AE6" s="200">
        <f>IF(E6="Posto",IFERROR(VLOOKUP($C6,'Indicadores Financeiros'!$A$119:$M$123,10,FALSE),0),0)</f>
        <v>0.12</v>
      </c>
      <c r="AF6" s="201">
        <f t="shared" si="1"/>
        <v>0</v>
      </c>
      <c r="AG6" s="202">
        <f t="shared" si="2"/>
        <v>0</v>
      </c>
      <c r="AH6" s="203">
        <f>IFERROR(VLOOKUP($B$1,'Indicadores Financeiros'!$C$127:$J$229,6,FALSE),0)</f>
        <v>2.0400000000000001E-2</v>
      </c>
      <c r="AI6" s="204">
        <f t="shared" ref="AI6:AI14" si="4">ROUND(AG6*AH6,2)</f>
        <v>0</v>
      </c>
      <c r="AJ6" s="205">
        <f t="shared" ref="AJ6:AJ14" si="5">ROUND(AG6+AI6,2)</f>
        <v>0</v>
      </c>
      <c r="AK6" s="241"/>
      <c r="AL6" s="211"/>
      <c r="AN6" s="211"/>
      <c r="AO6" s="211"/>
    </row>
    <row r="7" spans="1:101" ht="21.6" customHeight="1" x14ac:dyDescent="0.25">
      <c r="A7" s="195">
        <v>690004</v>
      </c>
      <c r="B7" s="194" t="s">
        <v>299</v>
      </c>
      <c r="C7" s="195">
        <v>1</v>
      </c>
      <c r="D7" s="194" t="str">
        <f>IFERROR(VLOOKUP(C7,'Indicadores Financeiros'!$A$96:$H$100,2,FALSE),"Não se aplica")</f>
        <v>Auxiliar de Limpeza - 44 horas Semanais</v>
      </c>
      <c r="E7" s="194" t="s">
        <v>300</v>
      </c>
      <c r="F7" s="194" t="s">
        <v>223</v>
      </c>
      <c r="G7" s="196">
        <f>IF(E7="Posto",IF(A7=690032,'Indicadores Financeiros'!$J$75,'Indicadores Financeiros'!$J$74),IF(E7="Plantão - Sábado",'Indicadores Financeiros'!$J$77,'Indicadores Financeiros'!$J$76))</f>
        <v>6</v>
      </c>
      <c r="H7" s="196">
        <v>30</v>
      </c>
      <c r="I7" s="196">
        <f>IFERROR(VLOOKUP($A7,'Indicadores Financeiros'!$A$90:$J$92,10,FALSE),0)</f>
        <v>0</v>
      </c>
      <c r="J7" s="196">
        <f>IF(E7="Posto",IFERROR(VLOOKUP($C7,'Indicadores Financeiros'!$A$96:$H$100,6,FALSE),0),0)</f>
        <v>0</v>
      </c>
      <c r="K7" s="197">
        <v>0</v>
      </c>
      <c r="L7" s="197">
        <v>0</v>
      </c>
      <c r="M7" s="198">
        <v>0</v>
      </c>
      <c r="N7" s="198">
        <v>0</v>
      </c>
      <c r="O7" s="198">
        <f>IF(H7&lt;&gt;0,ROUND(IFERROR(VLOOKUP($C7,'Indicadores Financeiros'!$A$96:$H$100,6,FALSE),0)/220*IF($E7="Plantão - Sábado",1.5,2),2),0)</f>
        <v>0</v>
      </c>
      <c r="P7" s="198">
        <f t="shared" si="3"/>
        <v>0</v>
      </c>
      <c r="Q7" s="198">
        <f>IF(E7="Posto",ROUND('Indicadores Financeiros'!$J$63*P7,2),ROUND('Indicadores Financeiros'!$J$63*O7,2)*H7)</f>
        <v>0</v>
      </c>
      <c r="R7" s="198">
        <f>IF(E7="Posto",IF(OR($C7=11,$C7=12),'Indicadores Financeiros'!$J$105,'Indicadores Financeiros'!$G$105),0)</f>
        <v>0</v>
      </c>
      <c r="S7" s="198">
        <f>IF(E7="Posto",IF(OR($C7=11,$C7=12),'Indicadores Financeiros'!$J$106,'Indicadores Financeiros'!$G$106),0)</f>
        <v>0</v>
      </c>
      <c r="T7" s="198">
        <f>IF($E7="Posto",IF(OR($C7=11,$C7=12),'Indicadores Financeiros'!$J$107,'Indicadores Financeiros'!$G$107),0)</f>
        <v>0</v>
      </c>
      <c r="U7" s="198">
        <f>IF($E7="Posto",IF(OR($C7=11,$C7=12),'Indicadores Financeiros'!$J$108,'Indicadores Financeiros'!$G$108),0)</f>
        <v>0</v>
      </c>
      <c r="V7" s="198">
        <f>IF(E7="Posto",IF(OR($C7=11,$C7=12),'Indicadores Financeiros'!$J$109,'Indicadores Financeiros'!$G$109),0)</f>
        <v>0</v>
      </c>
      <c r="W7" s="198">
        <f>IF(E7="Posto",IF(OR($C7=11,$C7=12),'Indicadores Financeiros'!$J$110,'Indicadores Financeiros'!$G$110),0)</f>
        <v>0</v>
      </c>
      <c r="X7" s="198">
        <f>IF(E7="Posto",IF(OR($C7=11,$C7=12),'Indicadores Financeiros'!$J$111,'Indicadores Financeiros'!$G$111),0)</f>
        <v>0</v>
      </c>
      <c r="Y7" s="198">
        <f>IF(E7="Posto",IF(OR($C7=11,$C7=12),'Indicadores Financeiros'!$J$112,'Indicadores Financeiros'!$G$112),0)</f>
        <v>0</v>
      </c>
      <c r="Z7" s="198">
        <f>IF(OR(A7=690002,A7=690016,A7=690035,A7=690038,A7=690064),0,IF(E7&lt;&gt;"M2",ROUND(IF(OR($C7=11,$C7=12),'Indicadores Financeiros'!$J$113,'Indicadores Financeiros'!$G$113)*$G7,2),0))</f>
        <v>0</v>
      </c>
      <c r="AA7" s="198">
        <f>IF(E7="Posto",ROUND(IF(OR($C7=11,$C7=12),'Indicadores Financeiros'!$J$114*G7,'Indicadores Financeiros'!$G$114*G7) + IF(OR($C7=11,$C7=12),'Indicadores Financeiros'!$J$115,'Indicadores Financeiros'!$G$115),2),0)</f>
        <v>0</v>
      </c>
      <c r="AB7" s="199">
        <f t="shared" si="0"/>
        <v>0</v>
      </c>
      <c r="AC7" s="198">
        <f>IF(E7&lt;&gt;"M2",IF((J7*6%)&gt;=(VLOOKUP($B$1,'Indicadores Financeiros'!$C$127:$J$131,7,FALSE)*G7),0,ROUND((VLOOKUP($B$1,'Indicadores Financeiros'!$C$127:$J$131,7,FALSE)*G7),2)-ROUND($J7*6%,2)),0)</f>
        <v>0</v>
      </c>
      <c r="AD7" s="196">
        <f>IF(E7="Posto",IFERROR(VLOOKUP($C7,'Indicadores Financeiros'!$A$119:$M$123,9,FALSE),0),0)</f>
        <v>0</v>
      </c>
      <c r="AE7" s="200">
        <f>IF(E7="Posto",IFERROR(VLOOKUP($C7,'Indicadores Financeiros'!$A$119:$M$123,10,FALSE),0),0)</f>
        <v>0</v>
      </c>
      <c r="AF7" s="201">
        <f t="shared" si="1"/>
        <v>0</v>
      </c>
      <c r="AG7" s="202">
        <f t="shared" si="2"/>
        <v>0</v>
      </c>
      <c r="AH7" s="203">
        <f>IFERROR(VLOOKUP($B$1,'Indicadores Financeiros'!$C$127:$J$229,6,FALSE),0)</f>
        <v>2.0400000000000001E-2</v>
      </c>
      <c r="AI7" s="204">
        <f t="shared" si="4"/>
        <v>0</v>
      </c>
      <c r="AJ7" s="205">
        <f t="shared" si="5"/>
        <v>0</v>
      </c>
      <c r="AK7" s="241"/>
      <c r="AL7" s="211"/>
      <c r="AN7" s="211"/>
    </row>
    <row r="8" spans="1:101" ht="18.600000000000001" customHeight="1" x14ac:dyDescent="0.25">
      <c r="A8" s="195">
        <v>690020</v>
      </c>
      <c r="B8" s="194" t="s">
        <v>301</v>
      </c>
      <c r="C8" s="195">
        <v>0</v>
      </c>
      <c r="D8" s="194" t="str">
        <f>IFERROR(VLOOKUP(C8,'Indicadores Financeiros'!$A$96:$H$100,2,FALSE),"Não se aplica")</f>
        <v>Não se aplica</v>
      </c>
      <c r="E8" s="194" t="s">
        <v>302</v>
      </c>
      <c r="F8" s="194" t="s">
        <v>223</v>
      </c>
      <c r="G8" s="196">
        <f>IF(E8="Posto",IF(A8=690032,'Indicadores Financeiros'!$J$75,'Indicadores Financeiros'!$J$74),IF(E8="Plantão - Sábado",'Indicadores Financeiros'!$J$77,IF(E8="M2",0,'Indicadores Financeiros'!$J$76)))</f>
        <v>0</v>
      </c>
      <c r="H8" s="196">
        <v>0</v>
      </c>
      <c r="I8" s="196">
        <f>IFERROR(VLOOKUP($A8,'Indicadores Financeiros'!$A$90:$J$92,10,FALSE),0)</f>
        <v>0</v>
      </c>
      <c r="J8" s="196">
        <f>IF(E8="Posto",IFERROR(VLOOKUP($C8,'Indicadores Financeiros'!$A$96:$H$100,6,FALSE),0),0)</f>
        <v>0</v>
      </c>
      <c r="K8" s="197">
        <v>0</v>
      </c>
      <c r="L8" s="197">
        <v>0</v>
      </c>
      <c r="M8" s="198">
        <v>0</v>
      </c>
      <c r="N8" s="198">
        <v>0</v>
      </c>
      <c r="O8" s="198">
        <f>IF(H8&lt;&gt;0,ROUND(IFERROR(VLOOKUP($C8,'Indicadores Financeiros'!$A$96:$H$100,6,FALSE),0)/220*IF($E8="Plantão - Sábado",1.5,2),2),0)</f>
        <v>0</v>
      </c>
      <c r="P8" s="198">
        <f t="shared" si="3"/>
        <v>0</v>
      </c>
      <c r="Q8" s="198">
        <f>IF(E8="Posto",ROUND('Indicadores Financeiros'!$J$63*P8,2),ROUND('Indicadores Financeiros'!$J$63*O8,2)*H8)</f>
        <v>0</v>
      </c>
      <c r="R8" s="198">
        <f>IF(E8="Posto",IF(OR($C8=11,$C8=12),'Indicadores Financeiros'!$J$105,'Indicadores Financeiros'!$G$105),0)</f>
        <v>0</v>
      </c>
      <c r="S8" s="198">
        <f>IF(E8="Posto",IF(OR($C8=11,$C8=12),'Indicadores Financeiros'!$J$106,'Indicadores Financeiros'!$G$106),0)</f>
        <v>0</v>
      </c>
      <c r="T8" s="198">
        <f>IF($E8="Posto",IF(OR($C8=11,$C8=12),'Indicadores Financeiros'!$J$107,'Indicadores Financeiros'!$G$107),0)</f>
        <v>0</v>
      </c>
      <c r="U8" s="198">
        <f>IF($E8="Posto",IF(OR($C8=11,$C8=12),'Indicadores Financeiros'!$J$108,'Indicadores Financeiros'!$G$108),0)</f>
        <v>0</v>
      </c>
      <c r="V8" s="198">
        <f>IF(E8="Posto",IF(OR($C8=11,$C8=12),'Indicadores Financeiros'!$J$109,'Indicadores Financeiros'!$G$109),0)</f>
        <v>0</v>
      </c>
      <c r="W8" s="198">
        <f>IF(E8="Posto",IF(OR($C8=11,$C8=12),'Indicadores Financeiros'!$J$110,'Indicadores Financeiros'!$G$110),0)</f>
        <v>0</v>
      </c>
      <c r="X8" s="198">
        <f>IF(E8="Posto",IF(OR($C8=11,$C8=12),'Indicadores Financeiros'!$J$111,'Indicadores Financeiros'!$G$111),0)</f>
        <v>0</v>
      </c>
      <c r="Y8" s="198">
        <f>IF(E8="Posto",IF(OR($C8=11,$C8=12),'Indicadores Financeiros'!$J$112,'Indicadores Financeiros'!$G$112),0)</f>
        <v>0</v>
      </c>
      <c r="Z8" s="198">
        <f>IF(OR(A8=690002,A8=690016,A8=690035,A8=690038,A8=690064),0,IF(E8&lt;&gt;"M2",ROUND(IF(OR($C8=11,$C8=12),'Indicadores Financeiros'!$J$113,'Indicadores Financeiros'!$G$113)*$G8,2),0))</f>
        <v>0</v>
      </c>
      <c r="AA8" s="198">
        <f>IF(E8="Posto",ROUND(IF(OR($C8=11,$C8=12),'Indicadores Financeiros'!$J$114*G8,'Indicadores Financeiros'!$G$114*G8) + IF(OR($C8=11,$C8=12),'Indicadores Financeiros'!$J$115,'Indicadores Financeiros'!$G$115),2),0)</f>
        <v>0</v>
      </c>
      <c r="AB8" s="199">
        <f t="shared" si="0"/>
        <v>0</v>
      </c>
      <c r="AC8" s="198">
        <f>IF(E8&lt;&gt;"M2",IF((J8*6%)&gt;=(VLOOKUP($B$1,'Indicadores Financeiros'!$C$127:$J$131,7,FALSE)*G8),0,ROUND((VLOOKUP($B$1,'Indicadores Financeiros'!$C$127:$J$131,7,FALSE)*G8),2)-ROUND($J8*6%,2)),0)</f>
        <v>0</v>
      </c>
      <c r="AD8" s="196">
        <f>IF(E8="Posto",IFERROR(VLOOKUP($C8,'Indicadores Financeiros'!$A$119:$M$123,9,FALSE),0),0)</f>
        <v>0</v>
      </c>
      <c r="AE8" s="200">
        <f>IF(E8="Posto",IFERROR(VLOOKUP($C8,'Indicadores Financeiros'!$A$119:$M$123,10,FALSE),0),0)</f>
        <v>0</v>
      </c>
      <c r="AF8" s="201">
        <f t="shared" si="1"/>
        <v>0</v>
      </c>
      <c r="AG8" s="202">
        <f t="shared" si="2"/>
        <v>0</v>
      </c>
      <c r="AH8" s="203">
        <f>IFERROR(VLOOKUP($B$1,'Indicadores Financeiros'!$C$127:$J$229,6,FALSE),0)</f>
        <v>2.0400000000000001E-2</v>
      </c>
      <c r="AI8" s="204">
        <f t="shared" si="4"/>
        <v>0</v>
      </c>
      <c r="AJ8" s="205">
        <f t="shared" si="5"/>
        <v>0</v>
      </c>
      <c r="AK8" s="241"/>
      <c r="AL8" s="211"/>
      <c r="AN8" s="211"/>
    </row>
    <row r="9" spans="1:101" ht="21" customHeight="1" x14ac:dyDescent="0.25">
      <c r="A9" s="195">
        <v>690021</v>
      </c>
      <c r="B9" s="194" t="s">
        <v>303</v>
      </c>
      <c r="C9" s="195">
        <v>0</v>
      </c>
      <c r="D9" s="194" t="str">
        <f>IFERROR(VLOOKUP(C9,'Indicadores Financeiros'!$A$96:$H$100,2,FALSE),"Não se aplica")</f>
        <v>Não se aplica</v>
      </c>
      <c r="E9" s="194" t="s">
        <v>302</v>
      </c>
      <c r="F9" s="194" t="s">
        <v>224</v>
      </c>
      <c r="G9" s="196">
        <f>IF(E9="Posto",IF(A9=690032,'Indicadores Financeiros'!$J$75,'Indicadores Financeiros'!$J$74),IF(E9="Plantão - Sábado",'Indicadores Financeiros'!$J$77,IF(E9="M2",0,'Indicadores Financeiros'!$J$76)))</f>
        <v>0</v>
      </c>
      <c r="H9" s="196">
        <v>0</v>
      </c>
      <c r="I9" s="196">
        <f>IFERROR(VLOOKUP($A9,'Indicadores Financeiros'!$A$90:$J$92,10,FALSE),0)</f>
        <v>0</v>
      </c>
      <c r="J9" s="196">
        <f>IF(E9="Posto",IFERROR(VLOOKUP($C9,'Indicadores Financeiros'!$A$96:$H$100,6,FALSE),0),0)</f>
        <v>0</v>
      </c>
      <c r="K9" s="197">
        <v>0</v>
      </c>
      <c r="L9" s="197">
        <v>0</v>
      </c>
      <c r="M9" s="198">
        <v>0</v>
      </c>
      <c r="N9" s="198">
        <v>0</v>
      </c>
      <c r="O9" s="198">
        <f>IF(H9&lt;&gt;0,ROUND(IFERROR(VLOOKUP($C9,'Indicadores Financeiros'!$A$96:$H$100,6,FALSE),0)/220*IF($E9="Plantão - Sábado",1.5,2),2),0)</f>
        <v>0</v>
      </c>
      <c r="P9" s="198">
        <f t="shared" si="3"/>
        <v>0</v>
      </c>
      <c r="Q9" s="198">
        <f>IF(E9="Posto",ROUND('Indicadores Financeiros'!$J$63*P9,2),ROUND('Indicadores Financeiros'!$J$63*O9,2)*H9)</f>
        <v>0</v>
      </c>
      <c r="R9" s="198">
        <f>IF(E9="Posto",IF(OR($C9=11,$C9=12),'Indicadores Financeiros'!$J$105,'Indicadores Financeiros'!$G$105),0)</f>
        <v>0</v>
      </c>
      <c r="S9" s="198">
        <f>IF(E9="Posto",IF(OR($C9=11,$C9=12),'Indicadores Financeiros'!$J$106,'Indicadores Financeiros'!$G$106),0)</f>
        <v>0</v>
      </c>
      <c r="T9" s="198">
        <f>IF($E9="Posto",IF(OR($C9=11,$C9=12),'Indicadores Financeiros'!$J$107,'Indicadores Financeiros'!$G$107),0)</f>
        <v>0</v>
      </c>
      <c r="U9" s="198">
        <f>IF($E9="Posto",IF(OR($C9=11,$C9=12),'Indicadores Financeiros'!$J$108,'Indicadores Financeiros'!$G$108),0)</f>
        <v>0</v>
      </c>
      <c r="V9" s="198">
        <f>IF(E9="Posto",IF(OR($C9=11,$C9=12),'Indicadores Financeiros'!$J$109,'Indicadores Financeiros'!$G$109),0)</f>
        <v>0</v>
      </c>
      <c r="W9" s="198">
        <f>IF(E9="Posto",IF(OR($C9=11,$C9=12),'Indicadores Financeiros'!$J$110,'Indicadores Financeiros'!$G$110),0)</f>
        <v>0</v>
      </c>
      <c r="X9" s="198">
        <f>IF(E9="Posto",IF(OR($C9=11,$C9=12),'Indicadores Financeiros'!$J$111,'Indicadores Financeiros'!$G$111),0)</f>
        <v>0</v>
      </c>
      <c r="Y9" s="198">
        <f>IF(E9="Posto",IF(OR($C9=11,$C9=12),'Indicadores Financeiros'!$J$112,'Indicadores Financeiros'!$G$112),0)</f>
        <v>0</v>
      </c>
      <c r="Z9" s="198">
        <f>IF(OR(A9=690002,A9=690016,A9=690035,A9=690038,A9=690064),0,IF(E9&lt;&gt;"M2",ROUND(IF(OR($C9=11,$C9=12),'Indicadores Financeiros'!$J$113,'Indicadores Financeiros'!$G$113)*$G9,2),0))</f>
        <v>0</v>
      </c>
      <c r="AA9" s="198">
        <f>IF(E9="Posto",ROUND(IF(OR($C9=11,$C9=12),'Indicadores Financeiros'!$J$114*G9,'Indicadores Financeiros'!$G$114*G9) + IF(OR($C9=11,$C9=12),'Indicadores Financeiros'!$J$115,'Indicadores Financeiros'!$G$115),2),0)</f>
        <v>0</v>
      </c>
      <c r="AB9" s="199">
        <f t="shared" si="0"/>
        <v>0</v>
      </c>
      <c r="AC9" s="198">
        <f>IF(E9&lt;&gt;"M2",IF((J9*6%)&gt;=(VLOOKUP($B$1,'Indicadores Financeiros'!$C$127:$J$131,7,FALSE)*G9),0,ROUND((VLOOKUP($B$1,'Indicadores Financeiros'!$C$127:$J$131,7,FALSE)*G9),2)-ROUND($J9*6%,2)),0)</f>
        <v>0</v>
      </c>
      <c r="AD9" s="196">
        <f>IF(E9="Posto",IFERROR(VLOOKUP($C9,'Indicadores Financeiros'!$A$119:$M$123,9,FALSE),0),0)</f>
        <v>0</v>
      </c>
      <c r="AE9" s="200">
        <f>IF(E9="Posto",IFERROR(VLOOKUP($C9,'Indicadores Financeiros'!$A$119:$M$123,10,FALSE),0),0)</f>
        <v>0</v>
      </c>
      <c r="AF9" s="201">
        <f t="shared" si="1"/>
        <v>0</v>
      </c>
      <c r="AG9" s="202">
        <f t="shared" si="2"/>
        <v>0</v>
      </c>
      <c r="AH9" s="203">
        <f>IFERROR(VLOOKUP($B$1,'Indicadores Financeiros'!$C$127:$J$229,6,FALSE),0)</f>
        <v>2.0400000000000001E-2</v>
      </c>
      <c r="AI9" s="204">
        <f t="shared" si="4"/>
        <v>0</v>
      </c>
      <c r="AJ9" s="205">
        <f t="shared" si="5"/>
        <v>0</v>
      </c>
      <c r="AK9" s="241"/>
      <c r="AL9" s="211"/>
      <c r="AN9" s="211"/>
    </row>
    <row r="10" spans="1:101" ht="18.600000000000001" customHeight="1" x14ac:dyDescent="0.25">
      <c r="A10" s="195">
        <v>690022</v>
      </c>
      <c r="B10" s="194" t="s">
        <v>304</v>
      </c>
      <c r="C10" s="195">
        <v>3</v>
      </c>
      <c r="D10" s="194" t="str">
        <f>IFERROR(VLOOKUP(C10,'Indicadores Financeiros'!$A$96:$H$100,2,FALSE),"")</f>
        <v>Auxiliar de Limpeza - 44 horas Semanais - Área Médica</v>
      </c>
      <c r="E10" s="194" t="s">
        <v>297</v>
      </c>
      <c r="F10" s="194" t="s">
        <v>223</v>
      </c>
      <c r="G10" s="196">
        <f>IF(E10="Posto",IF(A10=690032,'Indicadores Financeiros'!$J$75,'Indicadores Financeiros'!$J$74),IF(E10="Plantão - Sábado",'Indicadores Financeiros'!$J$77,'Indicadores Financeiros'!$J$76))</f>
        <v>21</v>
      </c>
      <c r="H10" s="196">
        <v>0</v>
      </c>
      <c r="I10" s="196">
        <f>IFERROR(VLOOKUP($A10,'Indicadores Financeiros'!$A$90:$J$92,10,FALSE),0)</f>
        <v>0</v>
      </c>
      <c r="J10" s="196">
        <f>IF(E10="Posto",IFERROR(VLOOKUP($C10,'Indicadores Financeiros'!$A$96:$H$100,6,FALSE),0),0)</f>
        <v>0</v>
      </c>
      <c r="K10" s="197">
        <v>0</v>
      </c>
      <c r="L10" s="197">
        <v>0</v>
      </c>
      <c r="M10" s="206">
        <f>IFERROR(VLOOKUP($C10,'Indicadores Financeiros'!$A$96:$Z$100,9,FALSE),0)</f>
        <v>0</v>
      </c>
      <c r="N10" s="198">
        <v>0</v>
      </c>
      <c r="O10" s="198">
        <f>IF(H10&lt;&gt;0,ROUND(IFERROR(VLOOKUP($C10,'Indicadores Financeiros'!$A$96:$H$100,6,FALSE),0)/220*IF($E10="Plantão - Sábado",1.5,2),2),0)</f>
        <v>0</v>
      </c>
      <c r="P10" s="198">
        <f t="shared" si="3"/>
        <v>0</v>
      </c>
      <c r="Q10" s="198">
        <f>IF(E10="Posto",ROUND('Indicadores Financeiros'!$J$63*P10,2),ROUND('Indicadores Financeiros'!$J$63*O10,2)*H10)</f>
        <v>0</v>
      </c>
      <c r="R10" s="198">
        <f>IF(E10="Posto",IF(OR($C10=11,$C10=12),'Indicadores Financeiros'!$J$105,'Indicadores Financeiros'!$G$105),0)</f>
        <v>0</v>
      </c>
      <c r="S10" s="198">
        <f>IF(E10="Posto",IF(OR($C10=11,$C10=12),'Indicadores Financeiros'!$J$106,'Indicadores Financeiros'!$G$106),0)</f>
        <v>0</v>
      </c>
      <c r="T10" s="198">
        <f>IF($E10="Posto",IF(OR($C10=11,$C10=12),'Indicadores Financeiros'!$J$107,'Indicadores Financeiros'!$G$107),0)</f>
        <v>0</v>
      </c>
      <c r="U10" s="198">
        <f>IF($E10="Posto",IF(OR($C10=11,$C10=12),'Indicadores Financeiros'!$J$108,'Indicadores Financeiros'!$G$108),0)</f>
        <v>0</v>
      </c>
      <c r="V10" s="198">
        <f>IF(E10="Posto",IF(OR($C10=11,$C10=12),'Indicadores Financeiros'!$J$109,'Indicadores Financeiros'!$G$109),0)</f>
        <v>0</v>
      </c>
      <c r="W10" s="198">
        <f>IF(E10="Posto",IF(OR($C10=11,$C10=12),'Indicadores Financeiros'!$J$110,'Indicadores Financeiros'!$G$110),0)</f>
        <v>0</v>
      </c>
      <c r="X10" s="198">
        <f>IF(E10="Posto",IF(OR($C10=11,$C10=12),'Indicadores Financeiros'!$J$111,'Indicadores Financeiros'!$G$111),0)</f>
        <v>0</v>
      </c>
      <c r="Y10" s="198">
        <f>IF(E10="Posto",IF(OR($C10=11,$C10=12),'Indicadores Financeiros'!$J$112,'Indicadores Financeiros'!$G$112),0)</f>
        <v>0</v>
      </c>
      <c r="Z10" s="198">
        <f>IF(OR(A10=690002,A10=690016,A10=690035,A10=690038,A10=690064),0,IF(E10&lt;&gt;"M2",ROUND(IF(OR($C10=11,$C10=12),'Indicadores Financeiros'!$J$113,'Indicadores Financeiros'!$G$113)*$G10,2),0))</f>
        <v>0</v>
      </c>
      <c r="AA10" s="198">
        <f>IF(E10="Posto",ROUND(IF(OR($C10=11,$C10=12),'Indicadores Financeiros'!$J$114*G10,'Indicadores Financeiros'!$G$114*G10) + IF(OR($C10=11,$C10=12),'Indicadores Financeiros'!$J$115,'Indicadores Financeiros'!$G$115),2),0)</f>
        <v>0</v>
      </c>
      <c r="AB10" s="199">
        <f t="shared" si="0"/>
        <v>0</v>
      </c>
      <c r="AC10" s="198">
        <f>IF(E10&lt;&gt;"M2",IF((J10*6%)&gt;=(VLOOKUP($B$1,'Indicadores Financeiros'!$C$127:$J$131,7,FALSE)*G10),0,ROUND((VLOOKUP($B$1,'Indicadores Financeiros'!$C$127:$J$131,7,FALSE)*G10),2)-ROUND($J10*6%,2)),0)</f>
        <v>0</v>
      </c>
      <c r="AD10" s="196">
        <f>IF(E10="Posto",IFERROR(VLOOKUP($C10,'Indicadores Financeiros'!$A$119:$M$123,9,FALSE),0),0)</f>
        <v>0</v>
      </c>
      <c r="AE10" s="200">
        <f>IF(E10="Posto",IFERROR(VLOOKUP($C10,'Indicadores Financeiros'!$A$119:$M$123,10,FALSE),0),0)</f>
        <v>0.12</v>
      </c>
      <c r="AF10" s="201">
        <f t="shared" si="1"/>
        <v>0</v>
      </c>
      <c r="AG10" s="202">
        <f t="shared" si="2"/>
        <v>0</v>
      </c>
      <c r="AH10" s="203">
        <f>IFERROR(VLOOKUP($B$1,'Indicadores Financeiros'!$C$127:$J$229,6,FALSE),0)</f>
        <v>2.0400000000000001E-2</v>
      </c>
      <c r="AI10" s="204">
        <f t="shared" si="4"/>
        <v>0</v>
      </c>
      <c r="AJ10" s="205">
        <f t="shared" si="5"/>
        <v>0</v>
      </c>
      <c r="AK10" s="241"/>
      <c r="AL10" s="211"/>
      <c r="AN10" s="211"/>
    </row>
    <row r="11" spans="1:101" ht="25.5" x14ac:dyDescent="0.25">
      <c r="A11" s="195">
        <v>690029</v>
      </c>
      <c r="B11" s="194" t="s">
        <v>305</v>
      </c>
      <c r="C11" s="195">
        <v>0</v>
      </c>
      <c r="D11" s="194" t="str">
        <f>IFERROR(VLOOKUP(C11,'Indicadores Financeiros'!$A$96:$H$100,2,FALSE),"Não se aplica")</f>
        <v>Não se aplica</v>
      </c>
      <c r="E11" s="194" t="s">
        <v>302</v>
      </c>
      <c r="F11" s="194" t="s">
        <v>224</v>
      </c>
      <c r="G11" s="196">
        <f>IF(E11="Posto",IF(A11=690032,'Indicadores Financeiros'!$J$75,'Indicadores Financeiros'!$J$74),IF(E11="Plantão - Sábado",'Indicadores Financeiros'!$J$77,IF(E11="M2",0,'Indicadores Financeiros'!$J$76)))</f>
        <v>0</v>
      </c>
      <c r="H11" s="196">
        <v>0</v>
      </c>
      <c r="I11" s="196">
        <f>IFERROR(VLOOKUP($A11,'Indicadores Financeiros'!$A$90:$J$92,10,FALSE),0)</f>
        <v>0</v>
      </c>
      <c r="J11" s="196">
        <f>IF(E11="Posto",IFERROR(VLOOKUP($C11,'Indicadores Financeiros'!$A$96:$H$100,6,FALSE),0),0)</f>
        <v>0</v>
      </c>
      <c r="K11" s="197">
        <v>0</v>
      </c>
      <c r="L11" s="197">
        <v>0</v>
      </c>
      <c r="M11" s="198">
        <v>0</v>
      </c>
      <c r="N11" s="198">
        <v>0</v>
      </c>
      <c r="O11" s="198">
        <f>IF(H11&lt;&gt;0,ROUND(IFERROR(VLOOKUP($C11,'Indicadores Financeiros'!$A$96:$H$100,6,FALSE),0)/220*IF($E11="Plantão - Sábado",1.5,2),2),0)</f>
        <v>0</v>
      </c>
      <c r="P11" s="198">
        <f t="shared" si="3"/>
        <v>0</v>
      </c>
      <c r="Q11" s="198">
        <f>IF(E11="Posto",ROUND('Indicadores Financeiros'!$J$63*P11,2),ROUND('Indicadores Financeiros'!$J$63*O11,2)*H11)</f>
        <v>0</v>
      </c>
      <c r="R11" s="198">
        <f>IF(E11="Posto",IF(OR($C11=11,$C11=12),'Indicadores Financeiros'!$J$105,'Indicadores Financeiros'!$G$105),0)</f>
        <v>0</v>
      </c>
      <c r="S11" s="198">
        <f>IF(E11="Posto",IF(OR($C11=11,$C11=12),'Indicadores Financeiros'!$J$106,'Indicadores Financeiros'!$G$106),0)</f>
        <v>0</v>
      </c>
      <c r="T11" s="198">
        <f>IF($E11="Posto",IF(OR($C11=11,$C11=12),'Indicadores Financeiros'!$J$107,'Indicadores Financeiros'!$G$107),0)</f>
        <v>0</v>
      </c>
      <c r="U11" s="198">
        <f>IF($E11="Posto",IF(OR($C11=11,$C11=12),'Indicadores Financeiros'!$J$108,'Indicadores Financeiros'!$G$108),0)</f>
        <v>0</v>
      </c>
      <c r="V11" s="198">
        <f>IF(E11="Posto",IF(OR($C11=11,$C11=12),'Indicadores Financeiros'!$J$109,'Indicadores Financeiros'!$G$109),0)</f>
        <v>0</v>
      </c>
      <c r="W11" s="198">
        <f>IF(E11="Posto",IF(OR($C11=11,$C11=12),'Indicadores Financeiros'!$J$110,'Indicadores Financeiros'!$G$110),0)</f>
        <v>0</v>
      </c>
      <c r="X11" s="198">
        <f>IF(E11="Posto",IF(OR($C11=11,$C11=12),'Indicadores Financeiros'!$J$111,'Indicadores Financeiros'!$G$111),0)</f>
        <v>0</v>
      </c>
      <c r="Y11" s="198">
        <f>IF(E11="Posto",IF(OR($C11=11,$C11=12),'Indicadores Financeiros'!$J$112,'Indicadores Financeiros'!$G$112),0)</f>
        <v>0</v>
      </c>
      <c r="Z11" s="198">
        <f>IF(OR(A11=690002,A11=690016,A11=690035,A11=690038,A11=690064),0,IF(E11&lt;&gt;"M2",ROUND(IF(OR($C11=11,$C11=12),'Indicadores Financeiros'!$J$113,'Indicadores Financeiros'!$G$113)*$G11,2),0))</f>
        <v>0</v>
      </c>
      <c r="AA11" s="198">
        <f>IF(E11="Posto",ROUND(IF(OR($C11=11,$C11=12),'Indicadores Financeiros'!$J$114*G11,'Indicadores Financeiros'!$G$114*G11) + IF(OR($C11=11,$C11=12),'Indicadores Financeiros'!$J$115,'Indicadores Financeiros'!$G$115),2),0)</f>
        <v>0</v>
      </c>
      <c r="AB11" s="199">
        <f t="shared" si="0"/>
        <v>0</v>
      </c>
      <c r="AC11" s="198">
        <f>IF(E11&lt;&gt;"M2",IF((J11*6%)&gt;=(VLOOKUP($B$1,'Indicadores Financeiros'!$C$127:$J$131,7,FALSE)*G11),0,ROUND((VLOOKUP($B$1,'Indicadores Financeiros'!$C$127:$J$131,7,FALSE)*G11),2)-ROUND($J11*6%,2)),0)</f>
        <v>0</v>
      </c>
      <c r="AD11" s="196">
        <f>IF(E11="Posto",IFERROR(VLOOKUP($C11,'Indicadores Financeiros'!$A$119:$M$123,9,FALSE),0),0)</f>
        <v>0</v>
      </c>
      <c r="AE11" s="200">
        <f>IF(E11="Posto",IFERROR(VLOOKUP($C11,'Indicadores Financeiros'!$A$119:$M$123,10,FALSE),0),0)</f>
        <v>0</v>
      </c>
      <c r="AF11" s="201">
        <f t="shared" si="1"/>
        <v>0</v>
      </c>
      <c r="AG11" s="202">
        <f t="shared" si="2"/>
        <v>0</v>
      </c>
      <c r="AH11" s="203">
        <f>IFERROR(VLOOKUP($B$1,'Indicadores Financeiros'!$C$127:$J$229,6,FALSE),0)</f>
        <v>2.0400000000000001E-2</v>
      </c>
      <c r="AI11" s="204">
        <f t="shared" si="4"/>
        <v>0</v>
      </c>
      <c r="AJ11" s="205">
        <f t="shared" si="5"/>
        <v>0</v>
      </c>
      <c r="AK11" s="241"/>
      <c r="AL11" s="211"/>
      <c r="AN11" s="211"/>
    </row>
    <row r="12" spans="1:101" ht="25.5" x14ac:dyDescent="0.25">
      <c r="A12" s="195">
        <v>690032</v>
      </c>
      <c r="B12" s="194" t="s">
        <v>306</v>
      </c>
      <c r="C12" s="195">
        <v>1</v>
      </c>
      <c r="D12" s="194" t="str">
        <f>IFERROR(VLOOKUP(C12,'Indicadores Financeiros'!$A$96:$H$100,2,FALSE),"")</f>
        <v>Auxiliar de Limpeza - 44 horas Semanais</v>
      </c>
      <c r="E12" s="194" t="s">
        <v>297</v>
      </c>
      <c r="F12" s="194" t="s">
        <v>223</v>
      </c>
      <c r="G12" s="196">
        <f>IF(E12="Posto",IF(A12=690032,'Indicadores Financeiros'!$J$75,'Indicadores Financeiros'!$J$74),IF(E12="Plantão - Sábado",'Indicadores Financeiros'!$J$77,'Indicadores Financeiros'!$J$76))</f>
        <v>25.33</v>
      </c>
      <c r="H12" s="196">
        <v>0</v>
      </c>
      <c r="I12" s="196">
        <f>IFERROR(VLOOKUP($A12,'Indicadores Financeiros'!$A$90:$J$92,10,FALSE),0)</f>
        <v>0</v>
      </c>
      <c r="J12" s="196">
        <f>IF(E12="Posto",IFERROR(VLOOKUP($C12,'Indicadores Financeiros'!$A$96:$H$100,6,FALSE),0),0)</f>
        <v>0</v>
      </c>
      <c r="K12" s="197">
        <v>0</v>
      </c>
      <c r="L12" s="197">
        <v>0</v>
      </c>
      <c r="M12" s="198">
        <v>0</v>
      </c>
      <c r="N12" s="198">
        <v>0</v>
      </c>
      <c r="O12" s="198">
        <f>IF(H12&lt;&gt;0,ROUND(IFERROR(VLOOKUP($C12,'Indicadores Financeiros'!$A$96:$H$100,6,FALSE),0)/220*IF($E12="Plantão - Sábado",1.5,2),2),0)</f>
        <v>0</v>
      </c>
      <c r="P12" s="198">
        <f t="shared" si="3"/>
        <v>0</v>
      </c>
      <c r="Q12" s="198">
        <f>IF(E12="Posto",ROUND('Indicadores Financeiros'!$J$63*P12,2),ROUND('Indicadores Financeiros'!$J$63*O12,2)*H12)</f>
        <v>0</v>
      </c>
      <c r="R12" s="198">
        <f>IF(E12="Posto",IF(OR($C12=11,$C12=12),'Indicadores Financeiros'!$J$105,'Indicadores Financeiros'!$G$105),0)</f>
        <v>0</v>
      </c>
      <c r="S12" s="198">
        <f>IF(E12="Posto",IF(OR($C12=11,$C12=12),'Indicadores Financeiros'!$J$106,'Indicadores Financeiros'!$G$106),0)</f>
        <v>0</v>
      </c>
      <c r="T12" s="198">
        <f>IF($E12="Posto",IF(OR($C12=11,$C12=12),'Indicadores Financeiros'!$J$107,'Indicadores Financeiros'!$G$107),0)</f>
        <v>0</v>
      </c>
      <c r="U12" s="198">
        <f>IF($E12="Posto",IF(OR($C12=11,$C12=12),'Indicadores Financeiros'!$J$108,'Indicadores Financeiros'!$G$108),0)</f>
        <v>0</v>
      </c>
      <c r="V12" s="198">
        <f>IF(E12="Posto",IF(OR($C12=11,$C12=12),'Indicadores Financeiros'!$J$109,'Indicadores Financeiros'!$G$109),0)</f>
        <v>0</v>
      </c>
      <c r="W12" s="198">
        <f>IF(E12="Posto",IF(OR($C12=11,$C12=12),'Indicadores Financeiros'!$J$110,'Indicadores Financeiros'!$G$110),0)</f>
        <v>0</v>
      </c>
      <c r="X12" s="198">
        <f>IF(E12="Posto",IF(OR($C12=11,$C12=12),'Indicadores Financeiros'!$J$111,'Indicadores Financeiros'!$G$111),0)</f>
        <v>0</v>
      </c>
      <c r="Y12" s="198">
        <f>IF(E12="Posto",IF(OR($C12=11,$C12=12),'Indicadores Financeiros'!$J$112,'Indicadores Financeiros'!$G$112),0)</f>
        <v>0</v>
      </c>
      <c r="Z12" s="198">
        <f>IF(OR(A12=690002,A12=690016,A12=690035,A12=690038,A12=690064),0,IF(E12&lt;&gt;"M2",ROUND(IF(OR($C12=11,$C12=12),'Indicadores Financeiros'!$J$113,'Indicadores Financeiros'!$G$113)*$G12,2),0))</f>
        <v>0</v>
      </c>
      <c r="AA12" s="198">
        <f>IF(E12="Posto",ROUND(IF(OR($C12=11,$C12=12),'Indicadores Financeiros'!$J$114*G12,'Indicadores Financeiros'!$G$114*G12) + IF(OR($C12=11,$C12=12),'Indicadores Financeiros'!$J$115,'Indicadores Financeiros'!$G$115),2),0)</f>
        <v>0</v>
      </c>
      <c r="AB12" s="199">
        <f t="shared" si="0"/>
        <v>0</v>
      </c>
      <c r="AC12" s="198">
        <f>IF(E12&lt;&gt;"M2",IF((J12*6%)&gt;=(VLOOKUP($B$1,'Indicadores Financeiros'!$C$127:$J$131,7,FALSE)*G12),0,ROUND((VLOOKUP($B$1,'Indicadores Financeiros'!$C$127:$J$131,7,FALSE)*G12),2)-ROUND($J12*6%,2)),0)</f>
        <v>0</v>
      </c>
      <c r="AD12" s="196">
        <f>IF(E12="Posto",IFERROR(VLOOKUP($C12,'Indicadores Financeiros'!$A$119:$M$123,9,FALSE),0),0)</f>
        <v>0</v>
      </c>
      <c r="AE12" s="200">
        <f>IF(E12="Posto",IFERROR(VLOOKUP($C12,'Indicadores Financeiros'!$A$119:$M$123,10,FALSE),0),0)</f>
        <v>0.12</v>
      </c>
      <c r="AF12" s="201">
        <f t="shared" si="1"/>
        <v>0</v>
      </c>
      <c r="AG12" s="202">
        <f t="shared" si="2"/>
        <v>0</v>
      </c>
      <c r="AH12" s="203">
        <f>IFERROR(VLOOKUP($B$1,'Indicadores Financeiros'!$C$127:$J$229,6,FALSE),0)</f>
        <v>2.0400000000000001E-2</v>
      </c>
      <c r="AI12" s="204">
        <f t="shared" si="4"/>
        <v>0</v>
      </c>
      <c r="AJ12" s="205">
        <f t="shared" si="5"/>
        <v>0</v>
      </c>
      <c r="AK12" s="241"/>
      <c r="AL12" s="211"/>
      <c r="AN12" s="211"/>
    </row>
    <row r="13" spans="1:101" ht="25.5" x14ac:dyDescent="0.25">
      <c r="A13" s="195">
        <v>690037</v>
      </c>
      <c r="B13" s="194" t="s">
        <v>307</v>
      </c>
      <c r="C13" s="195">
        <v>4</v>
      </c>
      <c r="D13" s="194" t="str">
        <f>IFERROR(VLOOKUP(C13,'Indicadores Financeiros'!$A$96:$H$100,2,FALSE),"")</f>
        <v>Agente de Higienização - 44 horas semanais</v>
      </c>
      <c r="E13" s="194" t="s">
        <v>297</v>
      </c>
      <c r="F13" s="194" t="s">
        <v>223</v>
      </c>
      <c r="G13" s="196">
        <f>IF(E13="Posto",IF(A13=690032,'Indicadores Financeiros'!$J$75,'Indicadores Financeiros'!$J$74),IF(E13="Plantão - Sábado",'Indicadores Financeiros'!$J$77,'Indicadores Financeiros'!$J$76))</f>
        <v>21</v>
      </c>
      <c r="H13" s="196">
        <v>0</v>
      </c>
      <c r="I13" s="196">
        <f>IFERROR(VLOOKUP($A13,'Indicadores Financeiros'!$A$90:$J$92,10,FALSE),0)</f>
        <v>0</v>
      </c>
      <c r="J13" s="196">
        <f>IF(E13="Posto",IFERROR(VLOOKUP($C13,'Indicadores Financeiros'!$A$96:$H$100,6,FALSE),0),0)</f>
        <v>0</v>
      </c>
      <c r="K13" s="197">
        <v>0</v>
      </c>
      <c r="L13" s="197">
        <v>0</v>
      </c>
      <c r="M13" s="206">
        <f>IFERROR(VLOOKUP($C13,'Indicadores Financeiros'!$A$96:$Z$100,9,FALSE),0)</f>
        <v>0</v>
      </c>
      <c r="N13" s="198">
        <v>0</v>
      </c>
      <c r="O13" s="198">
        <f>IF(H13&lt;&gt;0,ROUND(IFERROR(VLOOKUP($C13,'Indicadores Financeiros'!$A$96:$H$100,6,FALSE),0)/220*IF($E13="Plantão - Sábado",1.5,2),2),0)</f>
        <v>0</v>
      </c>
      <c r="P13" s="198">
        <f t="shared" si="3"/>
        <v>0</v>
      </c>
      <c r="Q13" s="198">
        <f>IF(E13="Posto",ROUND('Indicadores Financeiros'!$J$63*P13,2),ROUND('Indicadores Financeiros'!$J$63*O13,2)*H13)</f>
        <v>0</v>
      </c>
      <c r="R13" s="198">
        <f>IF(E13="Posto",IF(OR($C13=11,$C13=12),'Indicadores Financeiros'!$J$105,'Indicadores Financeiros'!$G$105),0)</f>
        <v>0</v>
      </c>
      <c r="S13" s="198">
        <f>IF(E13="Posto",IF(OR($C13=11,$C13=12),'Indicadores Financeiros'!$J$106,'Indicadores Financeiros'!$G$106),0)</f>
        <v>0</v>
      </c>
      <c r="T13" s="198">
        <f>IF($E13="Posto",IF(OR($C13=11,$C13=12),'Indicadores Financeiros'!$J$107,'Indicadores Financeiros'!$G$107),0)</f>
        <v>0</v>
      </c>
      <c r="U13" s="198">
        <f>IF($E13="Posto",IF(OR($C13=11,$C13=12),'Indicadores Financeiros'!$J$108,'Indicadores Financeiros'!$G$108),0)</f>
        <v>0</v>
      </c>
      <c r="V13" s="198">
        <f>IF(E13="Posto",IF(OR($C13=11,$C13=12),'Indicadores Financeiros'!$J$109,'Indicadores Financeiros'!$G$109),0)</f>
        <v>0</v>
      </c>
      <c r="W13" s="198">
        <f>IF(E13="Posto",IF(OR($C13=11,$C13=12),'Indicadores Financeiros'!$J$110,'Indicadores Financeiros'!$G$110),0)</f>
        <v>0</v>
      </c>
      <c r="X13" s="198">
        <f>IF(E13="Posto",IF(OR($C13=11,$C13=12),'Indicadores Financeiros'!$J$111,'Indicadores Financeiros'!$G$111),0)</f>
        <v>0</v>
      </c>
      <c r="Y13" s="198">
        <f>IF(E13="Posto",IF(OR($C13=11,$C13=12),'Indicadores Financeiros'!$J$112,'Indicadores Financeiros'!$G$112),0)</f>
        <v>0</v>
      </c>
      <c r="Z13" s="198">
        <f>IF(OR(A13=690002,A13=690016,A13=690035,A13=690038,A13=690064),0,IF(E13&lt;&gt;"M2",ROUND(IF(OR($C13=11,$C13=12),'Indicadores Financeiros'!$J$113,'Indicadores Financeiros'!$G$113)*$G13,2),0))</f>
        <v>0</v>
      </c>
      <c r="AA13" s="198">
        <f>IF(E13="Posto",ROUND(IF(OR($C13=11,$C13=12),'Indicadores Financeiros'!$J$114*G13,'Indicadores Financeiros'!$G$114*G13) + IF(OR($C13=11,$C13=12),'Indicadores Financeiros'!$J$115,'Indicadores Financeiros'!$G$115),2),0)</f>
        <v>0</v>
      </c>
      <c r="AB13" s="199">
        <f t="shared" si="0"/>
        <v>0</v>
      </c>
      <c r="AC13" s="198">
        <f>IF(E13&lt;&gt;"M2",IF((J13*6%)&gt;=(VLOOKUP($B$1,'Indicadores Financeiros'!$C$127:$J$131,7,FALSE)*G13),0,ROUND((VLOOKUP($B$1,'Indicadores Financeiros'!$C$127:$J$131,7,FALSE)*G13),2)-ROUND($J13*6%,2)),0)</f>
        <v>0</v>
      </c>
      <c r="AD13" s="196">
        <f>IF(E13="Posto",IFERROR(VLOOKUP($C13,'Indicadores Financeiros'!$A$119:$M$123,9,FALSE),0),0)</f>
        <v>0</v>
      </c>
      <c r="AE13" s="200">
        <f>IF(E13="Posto",IFERROR(VLOOKUP($C13,'Indicadores Financeiros'!$A$119:$M$123,10,FALSE),0),0)</f>
        <v>0.12</v>
      </c>
      <c r="AF13" s="201">
        <f t="shared" si="1"/>
        <v>0</v>
      </c>
      <c r="AG13" s="202">
        <f t="shared" si="2"/>
        <v>0</v>
      </c>
      <c r="AH13" s="203">
        <f>IFERROR(VLOOKUP($B$1,'Indicadores Financeiros'!$C$127:$J$229,6,FALSE),0)</f>
        <v>2.0400000000000001E-2</v>
      </c>
      <c r="AI13" s="204">
        <f t="shared" si="4"/>
        <v>0</v>
      </c>
      <c r="AJ13" s="205">
        <f t="shared" si="5"/>
        <v>0</v>
      </c>
      <c r="AK13" s="241"/>
      <c r="AL13" s="211"/>
      <c r="AN13" s="211"/>
    </row>
    <row r="14" spans="1:101" ht="25.5" x14ac:dyDescent="0.25">
      <c r="A14" s="195">
        <v>690056</v>
      </c>
      <c r="B14" s="194" t="s">
        <v>308</v>
      </c>
      <c r="C14" s="195">
        <v>7</v>
      </c>
      <c r="D14" s="194" t="str">
        <f>IFERROR(VLOOKUP(C14,'Indicadores Financeiros'!$A$96:$H$100,2,FALSE),"")</f>
        <v>Encarregado de Limpeza (11 ou mais subordinados) - 44 horas Semanais</v>
      </c>
      <c r="E14" s="194" t="s">
        <v>297</v>
      </c>
      <c r="F14" s="194" t="s">
        <v>223</v>
      </c>
      <c r="G14" s="196">
        <f>IF(E14="Posto",IF(A14=690032,'Indicadores Financeiros'!$J$75,'Indicadores Financeiros'!$J$74),IF(E14="Plantão - Sábado",'Indicadores Financeiros'!$J$77,'Indicadores Financeiros'!$J$76))</f>
        <v>21</v>
      </c>
      <c r="H14" s="196">
        <v>0</v>
      </c>
      <c r="I14" s="196">
        <f>IFERROR(VLOOKUP($A14,'Indicadores Financeiros'!$A$90:$J$92,10,FALSE),0)</f>
        <v>0</v>
      </c>
      <c r="J14" s="196">
        <f>IF(E14="Posto",IFERROR(VLOOKUP($C14,'Indicadores Financeiros'!$A$96:$H$100,6,FALSE),0),0)</f>
        <v>0</v>
      </c>
      <c r="K14" s="197">
        <v>0</v>
      </c>
      <c r="L14" s="197">
        <v>0</v>
      </c>
      <c r="M14" s="198">
        <v>0</v>
      </c>
      <c r="N14" s="198">
        <v>0</v>
      </c>
      <c r="O14" s="198">
        <f>IF(H14&lt;&gt;0,ROUND(IFERROR(VLOOKUP($C14,'Indicadores Financeiros'!$A$96:$H$100,6,FALSE),0)/220*IF($E14="Plantão - Sábado",1.5,2),2),0)</f>
        <v>0</v>
      </c>
      <c r="P14" s="198">
        <f t="shared" si="3"/>
        <v>0</v>
      </c>
      <c r="Q14" s="198">
        <f>IF(E14="Posto",ROUND('Indicadores Financeiros'!$J$63*P14,2),ROUND('Indicadores Financeiros'!$J$63*O14,2)*H14)</f>
        <v>0</v>
      </c>
      <c r="R14" s="198">
        <f>IF(E14="Posto",IF(OR($C14=11,$C14=12),'Indicadores Financeiros'!$J$105,'Indicadores Financeiros'!$G$105),0)</f>
        <v>0</v>
      </c>
      <c r="S14" s="198">
        <f>IF(E14="Posto",IF(OR($C14=11,$C14=12),'Indicadores Financeiros'!$J$106,'Indicadores Financeiros'!$G$106),0)</f>
        <v>0</v>
      </c>
      <c r="T14" s="198">
        <f>IF($E14="Posto",IF(OR($C14=11,$C14=12),'Indicadores Financeiros'!$J$107,'Indicadores Financeiros'!$G$107),0)</f>
        <v>0</v>
      </c>
      <c r="U14" s="198">
        <f>IF($E14="Posto",IF(OR($C14=11,$C14=12),'Indicadores Financeiros'!$J$108,'Indicadores Financeiros'!$G$108),0)</f>
        <v>0</v>
      </c>
      <c r="V14" s="198">
        <f>IF(E14="Posto",IF(OR($C14=11,$C14=12),'Indicadores Financeiros'!$J$109,'Indicadores Financeiros'!$G$109),0)</f>
        <v>0</v>
      </c>
      <c r="W14" s="198">
        <f>IF(E14="Posto",IF(OR($C14=11,$C14=12),'Indicadores Financeiros'!$J$110,'Indicadores Financeiros'!$G$110),0)</f>
        <v>0</v>
      </c>
      <c r="X14" s="198">
        <f>IF(E14="Posto",IF(OR($C14=11,$C14=12),'Indicadores Financeiros'!$J$111,'Indicadores Financeiros'!$G$111),0)</f>
        <v>0</v>
      </c>
      <c r="Y14" s="198">
        <f>IF(E14="Posto",IF(OR($C14=11,$C14=12),'Indicadores Financeiros'!$J$112,'Indicadores Financeiros'!$G$112),0)</f>
        <v>0</v>
      </c>
      <c r="Z14" s="198">
        <f>IF(OR(A14=690002,A14=690016,A14=690035,A14=690038,A14=690064),0,IF(E14&lt;&gt;"M2",ROUND(IF(OR($C14=11,$C14=12),'Indicadores Financeiros'!$J$113,'Indicadores Financeiros'!$G$113)*$G14,2),0))</f>
        <v>0</v>
      </c>
      <c r="AA14" s="198">
        <f>IF(E14="Posto",ROUND(IF(OR($C14=11,$C14=12),'Indicadores Financeiros'!$J$114*G14,'Indicadores Financeiros'!$G$114*G14) + IF(OR($C14=11,$C14=12),'Indicadores Financeiros'!$J$115,'Indicadores Financeiros'!$G$115),2),0)</f>
        <v>0</v>
      </c>
      <c r="AB14" s="199">
        <f t="shared" si="0"/>
        <v>0</v>
      </c>
      <c r="AC14" s="198">
        <f>IF(E14&lt;&gt;"M2",IF((J14*6%)&gt;=(VLOOKUP($B$1,'Indicadores Financeiros'!$C$127:$J$131,7,FALSE)*G14),0,ROUND((VLOOKUP($B$1,'Indicadores Financeiros'!$C$127:$J$131,7,FALSE)*G14),2)-ROUND($J14*6%,2)),0)</f>
        <v>0</v>
      </c>
      <c r="AD14" s="196">
        <f>IF(E14="Posto",IFERROR(VLOOKUP($C14,'Indicadores Financeiros'!$A$119:$M$123,9,FALSE),0),0)</f>
        <v>0</v>
      </c>
      <c r="AE14" s="200">
        <f>IF(E14="Posto",IFERROR(VLOOKUP($C14,'Indicadores Financeiros'!$A$119:$M$123,10,FALSE),0),0)</f>
        <v>0.12</v>
      </c>
      <c r="AF14" s="201">
        <f t="shared" si="1"/>
        <v>0</v>
      </c>
      <c r="AG14" s="202">
        <f t="shared" si="2"/>
        <v>0</v>
      </c>
      <c r="AH14" s="203">
        <f>IFERROR(VLOOKUP($B$1,'Indicadores Financeiros'!$C$127:$J$229,6,FALSE),0)</f>
        <v>2.0400000000000001E-2</v>
      </c>
      <c r="AI14" s="204">
        <f t="shared" si="4"/>
        <v>0</v>
      </c>
      <c r="AJ14" s="205">
        <f t="shared" si="5"/>
        <v>0</v>
      </c>
      <c r="AK14" s="241"/>
      <c r="AL14" s="211"/>
      <c r="AN14" s="211"/>
    </row>
    <row r="15" spans="1:101" s="208" customFormat="1" x14ac:dyDescent="0.25">
      <c r="A15" s="207"/>
      <c r="C15" s="207"/>
      <c r="K15" s="207"/>
      <c r="L15" s="207"/>
      <c r="M15" s="207"/>
      <c r="R15" s="209"/>
      <c r="AB15" s="210"/>
      <c r="AG15" s="210"/>
      <c r="AJ15" s="210"/>
    </row>
    <row r="16" spans="1:101" s="208" customFormat="1" x14ac:dyDescent="0.25">
      <c r="A16" s="207"/>
      <c r="C16" s="207"/>
      <c r="K16" s="207"/>
      <c r="L16" s="207"/>
      <c r="M16" s="207"/>
      <c r="Q16" s="228"/>
      <c r="R16" s="209"/>
      <c r="AB16" s="210"/>
      <c r="AG16" s="210"/>
      <c r="AJ16" s="210"/>
    </row>
    <row r="17" spans="1:36" s="208" customFormat="1" x14ac:dyDescent="0.25">
      <c r="A17" s="207"/>
      <c r="C17" s="207"/>
      <c r="K17" s="207"/>
      <c r="L17" s="207"/>
      <c r="M17" s="207"/>
      <c r="Q17" s="211"/>
      <c r="R17" s="209"/>
      <c r="AB17" s="210"/>
      <c r="AG17" s="210"/>
      <c r="AJ17" s="210"/>
    </row>
    <row r="18" spans="1:36" s="208" customFormat="1" x14ac:dyDescent="0.25">
      <c r="A18" s="207"/>
      <c r="C18" s="207"/>
      <c r="K18" s="207"/>
      <c r="L18" s="207"/>
      <c r="M18" s="207"/>
      <c r="R18" s="209"/>
      <c r="AB18" s="210"/>
      <c r="AG18" s="210"/>
      <c r="AJ18" s="210"/>
    </row>
    <row r="19" spans="1:36" s="208" customFormat="1" x14ac:dyDescent="0.25">
      <c r="A19" s="207"/>
      <c r="C19" s="207"/>
      <c r="K19" s="207"/>
      <c r="L19" s="207"/>
      <c r="M19" s="207"/>
      <c r="Q19" s="211"/>
      <c r="R19" s="209"/>
      <c r="AB19" s="210"/>
      <c r="AG19" s="210"/>
      <c r="AJ19" s="210"/>
    </row>
    <row r="20" spans="1:36" s="208" customFormat="1" x14ac:dyDescent="0.25">
      <c r="A20" s="207"/>
      <c r="C20" s="207"/>
      <c r="K20" s="207"/>
      <c r="L20" s="207"/>
      <c r="M20" s="207"/>
      <c r="Q20" s="211"/>
      <c r="R20" s="209"/>
      <c r="AB20" s="210"/>
      <c r="AG20" s="210"/>
      <c r="AJ20" s="210"/>
    </row>
    <row r="21" spans="1:36" s="208" customFormat="1" x14ac:dyDescent="0.25">
      <c r="A21" s="207"/>
      <c r="C21" s="207"/>
      <c r="K21" s="207"/>
      <c r="L21" s="207"/>
      <c r="M21" s="207"/>
      <c r="R21" s="209"/>
      <c r="AB21" s="210"/>
      <c r="AG21" s="210"/>
      <c r="AJ21" s="210"/>
    </row>
    <row r="22" spans="1:36" s="208" customFormat="1" x14ac:dyDescent="0.25">
      <c r="A22" s="207"/>
      <c r="C22" s="207"/>
      <c r="K22" s="207"/>
      <c r="L22" s="207"/>
      <c r="M22" s="207"/>
      <c r="R22" s="209"/>
      <c r="AB22" s="210"/>
      <c r="AG22" s="210"/>
      <c r="AJ22" s="210"/>
    </row>
    <row r="23" spans="1:36" s="208" customFormat="1" x14ac:dyDescent="0.25">
      <c r="A23" s="207"/>
      <c r="C23" s="207"/>
      <c r="K23" s="207"/>
      <c r="L23" s="207"/>
      <c r="M23" s="207"/>
      <c r="R23" s="209"/>
      <c r="AB23" s="210"/>
      <c r="AG23" s="210"/>
      <c r="AJ23" s="210"/>
    </row>
    <row r="24" spans="1:36" s="208" customFormat="1" x14ac:dyDescent="0.25">
      <c r="A24" s="207"/>
      <c r="C24" s="207"/>
      <c r="K24" s="207"/>
      <c r="L24" s="207"/>
      <c r="M24" s="207"/>
      <c r="R24" s="209"/>
      <c r="AB24" s="210"/>
      <c r="AG24" s="210"/>
      <c r="AJ24" s="210"/>
    </row>
    <row r="25" spans="1:36" s="208" customFormat="1" x14ac:dyDescent="0.25">
      <c r="A25" s="207"/>
      <c r="C25" s="207"/>
      <c r="K25" s="207"/>
      <c r="L25" s="207"/>
      <c r="M25" s="207"/>
      <c r="R25" s="209"/>
      <c r="AB25" s="210"/>
      <c r="AG25" s="210"/>
      <c r="AJ25" s="210"/>
    </row>
    <row r="26" spans="1:36" s="208" customFormat="1" x14ac:dyDescent="0.25">
      <c r="A26" s="207"/>
      <c r="C26" s="207"/>
      <c r="K26" s="207"/>
      <c r="L26" s="207"/>
      <c r="M26" s="207"/>
      <c r="R26" s="209"/>
      <c r="AB26" s="210"/>
      <c r="AG26" s="210"/>
      <c r="AJ26" s="210"/>
    </row>
    <row r="27" spans="1:36" s="208" customFormat="1" x14ac:dyDescent="0.25">
      <c r="A27" s="207"/>
      <c r="C27" s="207"/>
      <c r="K27" s="207"/>
      <c r="L27" s="207"/>
      <c r="M27" s="207"/>
      <c r="R27" s="209"/>
      <c r="AB27" s="210"/>
      <c r="AG27" s="210"/>
      <c r="AJ27" s="210"/>
    </row>
    <row r="28" spans="1:36" s="208" customFormat="1" x14ac:dyDescent="0.25">
      <c r="A28" s="207"/>
      <c r="C28" s="207"/>
      <c r="K28" s="207"/>
      <c r="L28" s="207"/>
      <c r="M28" s="207"/>
      <c r="R28" s="209"/>
      <c r="AB28" s="210"/>
      <c r="AG28" s="210"/>
      <c r="AJ28" s="210"/>
    </row>
    <row r="29" spans="1:36" s="208" customFormat="1" x14ac:dyDescent="0.25">
      <c r="A29" s="207"/>
      <c r="C29" s="207"/>
      <c r="K29" s="207"/>
      <c r="L29" s="207"/>
      <c r="M29" s="207"/>
      <c r="R29" s="209"/>
      <c r="AB29" s="210"/>
      <c r="AG29" s="210"/>
      <c r="AJ29" s="210"/>
    </row>
    <row r="30" spans="1:36" s="208" customFormat="1" x14ac:dyDescent="0.25">
      <c r="A30" s="207"/>
      <c r="C30" s="207"/>
      <c r="K30" s="207"/>
      <c r="L30" s="207"/>
      <c r="M30" s="207"/>
      <c r="R30" s="209"/>
      <c r="AB30" s="210"/>
      <c r="AG30" s="210"/>
      <c r="AJ30" s="210"/>
    </row>
    <row r="31" spans="1:36" s="208" customFormat="1" x14ac:dyDescent="0.25">
      <c r="A31" s="207"/>
      <c r="C31" s="207"/>
      <c r="K31" s="207"/>
      <c r="L31" s="207"/>
      <c r="M31" s="207"/>
      <c r="R31" s="209"/>
      <c r="AB31" s="210"/>
      <c r="AG31" s="210"/>
      <c r="AJ31" s="210"/>
    </row>
    <row r="32" spans="1:36" s="208" customFormat="1" x14ac:dyDescent="0.25">
      <c r="A32" s="207"/>
      <c r="C32" s="207"/>
      <c r="K32" s="207"/>
      <c r="L32" s="207"/>
      <c r="M32" s="207"/>
      <c r="R32" s="209"/>
      <c r="AB32" s="210"/>
      <c r="AG32" s="210"/>
      <c r="AJ32" s="210"/>
    </row>
    <row r="33" spans="1:36" s="208" customFormat="1" x14ac:dyDescent="0.25">
      <c r="A33" s="207"/>
      <c r="C33" s="207"/>
      <c r="K33" s="207"/>
      <c r="L33" s="207"/>
      <c r="M33" s="207"/>
      <c r="R33" s="209"/>
      <c r="AB33" s="210"/>
      <c r="AG33" s="210"/>
      <c r="AJ33" s="210"/>
    </row>
    <row r="34" spans="1:36" s="208" customFormat="1" x14ac:dyDescent="0.25">
      <c r="A34" s="207"/>
      <c r="C34" s="207"/>
      <c r="K34" s="207"/>
      <c r="L34" s="207"/>
      <c r="M34" s="207"/>
      <c r="R34" s="209"/>
      <c r="AB34" s="210"/>
      <c r="AG34" s="210"/>
      <c r="AJ34" s="210"/>
    </row>
    <row r="35" spans="1:36" s="208" customFormat="1" x14ac:dyDescent="0.25">
      <c r="A35" s="207"/>
      <c r="C35" s="207"/>
      <c r="K35" s="207"/>
      <c r="L35" s="207"/>
      <c r="M35" s="207"/>
      <c r="R35" s="209"/>
      <c r="AB35" s="210"/>
      <c r="AG35" s="210"/>
      <c r="AJ35" s="210"/>
    </row>
    <row r="36" spans="1:36" s="208" customFormat="1" x14ac:dyDescent="0.25">
      <c r="A36" s="207"/>
      <c r="C36" s="207"/>
      <c r="K36" s="207"/>
      <c r="L36" s="207"/>
      <c r="M36" s="207"/>
      <c r="R36" s="209"/>
      <c r="AB36" s="210"/>
      <c r="AG36" s="210"/>
      <c r="AJ36" s="210"/>
    </row>
    <row r="37" spans="1:36" s="208" customFormat="1" x14ac:dyDescent="0.25">
      <c r="A37" s="207"/>
      <c r="C37" s="207"/>
      <c r="K37" s="207"/>
      <c r="L37" s="207"/>
      <c r="M37" s="207"/>
      <c r="R37" s="209"/>
      <c r="AB37" s="210"/>
      <c r="AG37" s="210"/>
      <c r="AJ37" s="210"/>
    </row>
    <row r="38" spans="1:36" s="208" customFormat="1" x14ac:dyDescent="0.25">
      <c r="A38" s="207"/>
      <c r="C38" s="207"/>
      <c r="K38" s="207"/>
      <c r="L38" s="207"/>
      <c r="M38" s="207"/>
      <c r="R38" s="209"/>
      <c r="AB38" s="210"/>
      <c r="AG38" s="210"/>
      <c r="AJ38" s="210"/>
    </row>
    <row r="39" spans="1:36" s="208" customFormat="1" x14ac:dyDescent="0.25">
      <c r="A39" s="207"/>
      <c r="C39" s="207"/>
      <c r="K39" s="207"/>
      <c r="L39" s="207"/>
      <c r="M39" s="207"/>
      <c r="R39" s="209"/>
      <c r="AB39" s="210"/>
      <c r="AG39" s="210"/>
      <c r="AJ39" s="210"/>
    </row>
    <row r="40" spans="1:36" s="208" customFormat="1" x14ac:dyDescent="0.25">
      <c r="A40" s="207"/>
      <c r="C40" s="207"/>
      <c r="K40" s="207"/>
      <c r="L40" s="207"/>
      <c r="M40" s="207"/>
      <c r="R40" s="209"/>
      <c r="AB40" s="210"/>
      <c r="AG40" s="210"/>
      <c r="AJ40" s="210"/>
    </row>
    <row r="41" spans="1:36" s="208" customFormat="1" x14ac:dyDescent="0.25">
      <c r="A41" s="207"/>
      <c r="C41" s="207"/>
      <c r="K41" s="207"/>
      <c r="L41" s="207"/>
      <c r="M41" s="207"/>
      <c r="R41" s="209"/>
      <c r="AB41" s="210"/>
      <c r="AG41" s="210"/>
      <c r="AJ41" s="210"/>
    </row>
    <row r="42" spans="1:36" s="208" customFormat="1" x14ac:dyDescent="0.25">
      <c r="A42" s="207"/>
      <c r="C42" s="207"/>
      <c r="K42" s="207"/>
      <c r="L42" s="207"/>
      <c r="M42" s="207"/>
      <c r="R42" s="209"/>
      <c r="AB42" s="210"/>
      <c r="AG42" s="210"/>
      <c r="AJ42" s="210"/>
    </row>
    <row r="43" spans="1:36" s="208" customFormat="1" x14ac:dyDescent="0.25">
      <c r="A43" s="207"/>
      <c r="C43" s="207"/>
      <c r="K43" s="207"/>
      <c r="L43" s="207"/>
      <c r="M43" s="207"/>
      <c r="R43" s="209"/>
      <c r="AB43" s="210"/>
      <c r="AG43" s="210"/>
      <c r="AJ43" s="210"/>
    </row>
    <row r="44" spans="1:36" s="208" customFormat="1" x14ac:dyDescent="0.25">
      <c r="A44" s="207"/>
      <c r="C44" s="207"/>
      <c r="K44" s="207"/>
      <c r="L44" s="207"/>
      <c r="M44" s="207"/>
      <c r="R44" s="209"/>
      <c r="AB44" s="210"/>
      <c r="AG44" s="210"/>
      <c r="AJ44" s="210"/>
    </row>
    <row r="45" spans="1:36" s="208" customFormat="1" x14ac:dyDescent="0.25">
      <c r="A45" s="207"/>
      <c r="C45" s="207"/>
      <c r="K45" s="207"/>
      <c r="L45" s="207"/>
      <c r="M45" s="207"/>
      <c r="R45" s="209"/>
      <c r="AB45" s="210"/>
      <c r="AG45" s="210"/>
      <c r="AJ45" s="210"/>
    </row>
    <row r="46" spans="1:36" s="208" customFormat="1" x14ac:dyDescent="0.25">
      <c r="A46" s="207"/>
      <c r="C46" s="207"/>
      <c r="K46" s="207"/>
      <c r="L46" s="207"/>
      <c r="M46" s="207"/>
      <c r="R46" s="209"/>
      <c r="AB46" s="210"/>
      <c r="AG46" s="210"/>
      <c r="AJ46" s="210"/>
    </row>
    <row r="47" spans="1:36" s="208" customFormat="1" x14ac:dyDescent="0.25">
      <c r="A47" s="207"/>
      <c r="C47" s="207"/>
      <c r="K47" s="207"/>
      <c r="L47" s="207"/>
      <c r="M47" s="207"/>
      <c r="R47" s="209"/>
      <c r="AB47" s="210"/>
      <c r="AG47" s="210"/>
      <c r="AJ47" s="210"/>
    </row>
    <row r="48" spans="1:36" s="208" customFormat="1" x14ac:dyDescent="0.25">
      <c r="A48" s="207"/>
      <c r="C48" s="207"/>
      <c r="K48" s="207"/>
      <c r="L48" s="207"/>
      <c r="M48" s="207"/>
      <c r="R48" s="209"/>
      <c r="AB48" s="210"/>
      <c r="AG48" s="210"/>
      <c r="AJ48" s="210"/>
    </row>
    <row r="49" spans="1:36" s="208" customFormat="1" x14ac:dyDescent="0.25">
      <c r="A49" s="207"/>
      <c r="C49" s="207"/>
      <c r="K49" s="207"/>
      <c r="L49" s="207"/>
      <c r="M49" s="207"/>
      <c r="R49" s="209"/>
      <c r="AB49" s="210"/>
      <c r="AG49" s="210"/>
      <c r="AJ49" s="210"/>
    </row>
    <row r="50" spans="1:36" s="208" customFormat="1" x14ac:dyDescent="0.25">
      <c r="A50" s="207"/>
      <c r="C50" s="207"/>
      <c r="K50" s="207"/>
      <c r="L50" s="207"/>
      <c r="M50" s="207"/>
      <c r="R50" s="209"/>
      <c r="AB50" s="210"/>
      <c r="AG50" s="210"/>
      <c r="AJ50" s="210"/>
    </row>
    <row r="51" spans="1:36" s="208" customFormat="1" x14ac:dyDescent="0.25">
      <c r="A51" s="207"/>
      <c r="C51" s="207"/>
      <c r="K51" s="207"/>
      <c r="L51" s="207"/>
      <c r="M51" s="207"/>
      <c r="R51" s="209"/>
      <c r="AB51" s="210"/>
      <c r="AG51" s="210"/>
      <c r="AJ51" s="210"/>
    </row>
    <row r="52" spans="1:36" s="208" customFormat="1" x14ac:dyDescent="0.25">
      <c r="A52" s="207"/>
      <c r="C52" s="207"/>
      <c r="K52" s="207"/>
      <c r="L52" s="207"/>
      <c r="M52" s="207"/>
      <c r="R52" s="209"/>
      <c r="AB52" s="210"/>
      <c r="AG52" s="210"/>
      <c r="AJ52" s="210"/>
    </row>
    <row r="53" spans="1:36" s="208" customFormat="1" x14ac:dyDescent="0.25">
      <c r="A53" s="207"/>
      <c r="C53" s="207"/>
      <c r="K53" s="207"/>
      <c r="L53" s="207"/>
      <c r="M53" s="207"/>
      <c r="R53" s="209"/>
      <c r="AB53" s="210"/>
      <c r="AG53" s="210"/>
      <c r="AJ53" s="210"/>
    </row>
    <row r="54" spans="1:36" s="208" customFormat="1" x14ac:dyDescent="0.25">
      <c r="A54" s="207"/>
      <c r="C54" s="207"/>
      <c r="K54" s="207"/>
      <c r="L54" s="207"/>
      <c r="M54" s="207"/>
      <c r="R54" s="209"/>
      <c r="AB54" s="210"/>
      <c r="AG54" s="210"/>
      <c r="AJ54" s="210"/>
    </row>
    <row r="55" spans="1:36" s="208" customFormat="1" x14ac:dyDescent="0.25">
      <c r="A55" s="207"/>
      <c r="C55" s="207"/>
      <c r="K55" s="207"/>
      <c r="L55" s="207"/>
      <c r="M55" s="207"/>
      <c r="R55" s="209"/>
      <c r="AB55" s="210"/>
      <c r="AG55" s="210"/>
      <c r="AJ55" s="210"/>
    </row>
    <row r="56" spans="1:36" s="208" customFormat="1" x14ac:dyDescent="0.25">
      <c r="A56" s="207"/>
      <c r="C56" s="207"/>
      <c r="K56" s="207"/>
      <c r="L56" s="207"/>
      <c r="M56" s="207"/>
      <c r="R56" s="209"/>
      <c r="AB56" s="210"/>
      <c r="AG56" s="210"/>
      <c r="AJ56" s="210"/>
    </row>
    <row r="57" spans="1:36" s="208" customFormat="1" x14ac:dyDescent="0.25">
      <c r="A57" s="207"/>
      <c r="C57" s="207"/>
      <c r="K57" s="207"/>
      <c r="L57" s="207"/>
      <c r="M57" s="207"/>
      <c r="R57" s="209"/>
      <c r="AB57" s="210"/>
      <c r="AG57" s="210"/>
      <c r="AJ57" s="210"/>
    </row>
    <row r="58" spans="1:36" s="208" customFormat="1" x14ac:dyDescent="0.25">
      <c r="A58" s="207"/>
      <c r="C58" s="207"/>
      <c r="K58" s="207"/>
      <c r="L58" s="207"/>
      <c r="M58" s="207"/>
      <c r="R58" s="209"/>
      <c r="AB58" s="210"/>
      <c r="AG58" s="210"/>
      <c r="AJ58" s="210"/>
    </row>
    <row r="59" spans="1:36" s="208" customFormat="1" x14ac:dyDescent="0.25">
      <c r="A59" s="207"/>
      <c r="C59" s="207"/>
      <c r="K59" s="207"/>
      <c r="L59" s="207"/>
      <c r="M59" s="207"/>
      <c r="R59" s="209"/>
      <c r="AB59" s="210"/>
      <c r="AG59" s="210"/>
      <c r="AJ59" s="210"/>
    </row>
    <row r="60" spans="1:36" s="208" customFormat="1" x14ac:dyDescent="0.25">
      <c r="A60" s="207"/>
      <c r="C60" s="207"/>
      <c r="K60" s="207"/>
      <c r="L60" s="207"/>
      <c r="M60" s="207"/>
      <c r="R60" s="209"/>
      <c r="AB60" s="210"/>
      <c r="AG60" s="210"/>
      <c r="AJ60" s="210"/>
    </row>
    <row r="61" spans="1:36" s="208" customFormat="1" x14ac:dyDescent="0.25">
      <c r="A61" s="207"/>
      <c r="C61" s="207"/>
      <c r="K61" s="207"/>
      <c r="L61" s="207"/>
      <c r="M61" s="207"/>
      <c r="R61" s="209"/>
      <c r="AB61" s="210"/>
      <c r="AG61" s="210"/>
      <c r="AJ61" s="210"/>
    </row>
    <row r="62" spans="1:36" s="208" customFormat="1" x14ac:dyDescent="0.25">
      <c r="A62" s="207"/>
      <c r="C62" s="207"/>
      <c r="K62" s="207"/>
      <c r="L62" s="207"/>
      <c r="M62" s="207"/>
      <c r="R62" s="209"/>
      <c r="AB62" s="210"/>
      <c r="AG62" s="210"/>
      <c r="AJ62" s="210"/>
    </row>
    <row r="63" spans="1:36" s="208" customFormat="1" x14ac:dyDescent="0.25">
      <c r="A63" s="207"/>
      <c r="C63" s="207"/>
      <c r="K63" s="207"/>
      <c r="L63" s="207"/>
      <c r="M63" s="207"/>
      <c r="R63" s="209"/>
      <c r="AB63" s="210"/>
      <c r="AG63" s="210"/>
      <c r="AJ63" s="210"/>
    </row>
    <row r="64" spans="1:36" s="208" customFormat="1" x14ac:dyDescent="0.25">
      <c r="A64" s="207"/>
      <c r="C64" s="207"/>
      <c r="K64" s="207"/>
      <c r="L64" s="207"/>
      <c r="M64" s="207"/>
      <c r="R64" s="209"/>
      <c r="AB64" s="210"/>
      <c r="AG64" s="210"/>
      <c r="AJ64" s="210"/>
    </row>
    <row r="65" spans="1:36" s="208" customFormat="1" x14ac:dyDescent="0.25">
      <c r="A65" s="207"/>
      <c r="C65" s="207"/>
      <c r="K65" s="207"/>
      <c r="L65" s="207"/>
      <c r="M65" s="207"/>
      <c r="R65" s="209"/>
      <c r="AB65" s="210"/>
      <c r="AG65" s="210"/>
      <c r="AJ65" s="210"/>
    </row>
    <row r="66" spans="1:36" s="208" customFormat="1" x14ac:dyDescent="0.25">
      <c r="A66" s="207"/>
      <c r="C66" s="207"/>
      <c r="K66" s="207"/>
      <c r="L66" s="207"/>
      <c r="M66" s="207"/>
      <c r="R66" s="209"/>
      <c r="AB66" s="210"/>
      <c r="AG66" s="210"/>
      <c r="AJ66" s="210"/>
    </row>
    <row r="67" spans="1:36" s="208" customFormat="1" x14ac:dyDescent="0.25">
      <c r="A67" s="207"/>
      <c r="C67" s="207"/>
      <c r="K67" s="207"/>
      <c r="L67" s="207"/>
      <c r="M67" s="207"/>
      <c r="R67" s="209"/>
      <c r="AB67" s="210"/>
      <c r="AG67" s="210"/>
      <c r="AJ67" s="210"/>
    </row>
    <row r="68" spans="1:36" s="208" customFormat="1" x14ac:dyDescent="0.25">
      <c r="A68" s="207"/>
      <c r="C68" s="207"/>
      <c r="K68" s="207"/>
      <c r="L68" s="207"/>
      <c r="M68" s="207"/>
      <c r="R68" s="209"/>
      <c r="AB68" s="210"/>
      <c r="AG68" s="210"/>
      <c r="AJ68" s="210"/>
    </row>
    <row r="69" spans="1:36" s="208" customFormat="1" x14ac:dyDescent="0.25">
      <c r="A69" s="207"/>
      <c r="C69" s="207"/>
      <c r="K69" s="207"/>
      <c r="L69" s="207"/>
      <c r="M69" s="207"/>
      <c r="R69" s="209"/>
      <c r="AB69" s="210"/>
      <c r="AG69" s="210"/>
      <c r="AJ69" s="210"/>
    </row>
    <row r="70" spans="1:36" s="208" customFormat="1" x14ac:dyDescent="0.25">
      <c r="A70" s="207"/>
      <c r="C70" s="207"/>
      <c r="K70" s="207"/>
      <c r="L70" s="207"/>
      <c r="M70" s="207"/>
      <c r="R70" s="209"/>
      <c r="AB70" s="210"/>
      <c r="AG70" s="210"/>
      <c r="AJ70" s="210"/>
    </row>
    <row r="71" spans="1:36" s="208" customFormat="1" x14ac:dyDescent="0.25">
      <c r="A71" s="207"/>
      <c r="C71" s="207"/>
      <c r="K71" s="207"/>
      <c r="L71" s="207"/>
      <c r="M71" s="207"/>
      <c r="R71" s="209"/>
      <c r="AB71" s="210"/>
      <c r="AG71" s="210"/>
      <c r="AJ71" s="210"/>
    </row>
    <row r="72" spans="1:36" s="208" customFormat="1" x14ac:dyDescent="0.25">
      <c r="A72" s="207"/>
      <c r="C72" s="207"/>
      <c r="K72" s="207"/>
      <c r="L72" s="207"/>
      <c r="M72" s="207"/>
      <c r="R72" s="209"/>
      <c r="AB72" s="210"/>
      <c r="AG72" s="210"/>
      <c r="AJ72" s="210"/>
    </row>
    <row r="73" spans="1:36" s="208" customFormat="1" x14ac:dyDescent="0.25">
      <c r="A73" s="207"/>
      <c r="C73" s="207"/>
      <c r="K73" s="207"/>
      <c r="L73" s="207"/>
      <c r="M73" s="207"/>
      <c r="R73" s="209"/>
      <c r="AB73" s="210"/>
      <c r="AG73" s="210"/>
      <c r="AJ73" s="210"/>
    </row>
    <row r="74" spans="1:36" s="208" customFormat="1" x14ac:dyDescent="0.25">
      <c r="A74" s="207"/>
      <c r="C74" s="207"/>
      <c r="K74" s="207"/>
      <c r="L74" s="207"/>
      <c r="M74" s="207"/>
      <c r="R74" s="209"/>
      <c r="AB74" s="210"/>
      <c r="AG74" s="210"/>
      <c r="AJ74" s="210"/>
    </row>
    <row r="75" spans="1:36" s="208" customFormat="1" x14ac:dyDescent="0.25">
      <c r="A75" s="207"/>
      <c r="C75" s="207"/>
      <c r="K75" s="207"/>
      <c r="L75" s="207"/>
      <c r="M75" s="207"/>
      <c r="R75" s="209"/>
      <c r="AB75" s="210"/>
      <c r="AG75" s="210"/>
      <c r="AJ75" s="210"/>
    </row>
    <row r="76" spans="1:36" s="208" customFormat="1" x14ac:dyDescent="0.25">
      <c r="A76" s="207"/>
      <c r="C76" s="207"/>
      <c r="K76" s="207"/>
      <c r="L76" s="207"/>
      <c r="M76" s="207"/>
      <c r="R76" s="209"/>
      <c r="AB76" s="210"/>
      <c r="AG76" s="210"/>
      <c r="AJ76" s="210"/>
    </row>
    <row r="77" spans="1:36" s="208" customFormat="1" x14ac:dyDescent="0.25">
      <c r="A77" s="207"/>
      <c r="C77" s="207"/>
      <c r="K77" s="207"/>
      <c r="L77" s="207"/>
      <c r="M77" s="207"/>
      <c r="R77" s="209"/>
      <c r="AB77" s="210"/>
      <c r="AG77" s="210"/>
      <c r="AJ77" s="210"/>
    </row>
    <row r="78" spans="1:36" s="208" customFormat="1" x14ac:dyDescent="0.25">
      <c r="A78" s="207"/>
      <c r="C78" s="207"/>
      <c r="K78" s="207"/>
      <c r="L78" s="207"/>
      <c r="M78" s="207"/>
      <c r="R78" s="209"/>
      <c r="AB78" s="210"/>
      <c r="AG78" s="210"/>
      <c r="AJ78" s="210"/>
    </row>
    <row r="79" spans="1:36" s="208" customFormat="1" x14ac:dyDescent="0.25">
      <c r="A79" s="207"/>
      <c r="C79" s="207"/>
      <c r="K79" s="207"/>
      <c r="L79" s="207"/>
      <c r="M79" s="207"/>
      <c r="R79" s="209"/>
      <c r="AB79" s="210"/>
      <c r="AG79" s="210"/>
      <c r="AJ79" s="210"/>
    </row>
    <row r="80" spans="1:36" s="208" customFormat="1" x14ac:dyDescent="0.25">
      <c r="A80" s="207"/>
      <c r="C80" s="207"/>
      <c r="K80" s="207"/>
      <c r="L80" s="207"/>
      <c r="M80" s="207"/>
      <c r="R80" s="209"/>
      <c r="AB80" s="210"/>
      <c r="AG80" s="210"/>
      <c r="AJ80" s="210"/>
    </row>
    <row r="81" spans="1:36" s="208" customFormat="1" x14ac:dyDescent="0.25">
      <c r="A81" s="207"/>
      <c r="C81" s="207"/>
      <c r="K81" s="207"/>
      <c r="L81" s="207"/>
      <c r="M81" s="207"/>
      <c r="R81" s="209"/>
      <c r="AB81" s="210"/>
      <c r="AG81" s="210"/>
      <c r="AJ81" s="210"/>
    </row>
    <row r="82" spans="1:36" s="208" customFormat="1" x14ac:dyDescent="0.25">
      <c r="A82" s="207"/>
      <c r="C82" s="207"/>
      <c r="K82" s="207"/>
      <c r="L82" s="207"/>
      <c r="M82" s="207"/>
      <c r="R82" s="209"/>
      <c r="AB82" s="210"/>
      <c r="AG82" s="210"/>
      <c r="AJ82" s="210"/>
    </row>
    <row r="83" spans="1:36" s="208" customFormat="1" x14ac:dyDescent="0.25">
      <c r="A83" s="207"/>
      <c r="C83" s="207"/>
      <c r="K83" s="207"/>
      <c r="L83" s="207"/>
      <c r="M83" s="207"/>
      <c r="R83" s="209"/>
      <c r="AB83" s="210"/>
      <c r="AG83" s="210"/>
      <c r="AJ83" s="210"/>
    </row>
    <row r="84" spans="1:36" s="208" customFormat="1" x14ac:dyDescent="0.25">
      <c r="A84" s="207"/>
      <c r="C84" s="207"/>
      <c r="K84" s="207"/>
      <c r="L84" s="207"/>
      <c r="M84" s="207"/>
      <c r="R84" s="209"/>
      <c r="AB84" s="210"/>
      <c r="AG84" s="210"/>
      <c r="AJ84" s="210"/>
    </row>
    <row r="85" spans="1:36" s="208" customFormat="1" x14ac:dyDescent="0.25">
      <c r="A85" s="207"/>
      <c r="C85" s="207"/>
      <c r="K85" s="207"/>
      <c r="L85" s="207"/>
      <c r="M85" s="207"/>
      <c r="R85" s="209"/>
      <c r="AB85" s="210"/>
      <c r="AG85" s="210"/>
      <c r="AJ85" s="210"/>
    </row>
    <row r="86" spans="1:36" s="208" customFormat="1" x14ac:dyDescent="0.25">
      <c r="A86" s="207"/>
      <c r="C86" s="207"/>
      <c r="K86" s="207"/>
      <c r="L86" s="207"/>
      <c r="M86" s="207"/>
      <c r="R86" s="209"/>
      <c r="AB86" s="210"/>
      <c r="AG86" s="210"/>
      <c r="AJ86" s="210"/>
    </row>
    <row r="87" spans="1:36" s="208" customFormat="1" x14ac:dyDescent="0.25">
      <c r="A87" s="207"/>
      <c r="C87" s="207"/>
      <c r="K87" s="207"/>
      <c r="L87" s="207"/>
      <c r="M87" s="207"/>
      <c r="R87" s="209"/>
      <c r="AB87" s="210"/>
      <c r="AG87" s="210"/>
      <c r="AJ87" s="210"/>
    </row>
    <row r="88" spans="1:36" s="208" customFormat="1" x14ac:dyDescent="0.25">
      <c r="A88" s="207"/>
      <c r="C88" s="207"/>
      <c r="K88" s="207"/>
      <c r="L88" s="207"/>
      <c r="M88" s="207"/>
      <c r="R88" s="209"/>
      <c r="AB88" s="210"/>
      <c r="AG88" s="210"/>
      <c r="AJ88" s="210"/>
    </row>
    <row r="89" spans="1:36" s="208" customFormat="1" x14ac:dyDescent="0.25">
      <c r="A89" s="207"/>
      <c r="C89" s="207"/>
      <c r="K89" s="207"/>
      <c r="L89" s="207"/>
      <c r="M89" s="207"/>
      <c r="R89" s="209"/>
      <c r="AB89" s="210"/>
      <c r="AG89" s="210"/>
      <c r="AJ89" s="210"/>
    </row>
    <row r="90" spans="1:36" s="208" customFormat="1" x14ac:dyDescent="0.25">
      <c r="A90" s="207"/>
      <c r="C90" s="207"/>
      <c r="K90" s="207"/>
      <c r="L90" s="207"/>
      <c r="M90" s="207"/>
      <c r="R90" s="209"/>
      <c r="AB90" s="210"/>
      <c r="AG90" s="210"/>
      <c r="AJ90" s="210"/>
    </row>
    <row r="91" spans="1:36" s="208" customFormat="1" x14ac:dyDescent="0.25">
      <c r="A91" s="207"/>
      <c r="C91" s="207"/>
      <c r="K91" s="207"/>
      <c r="L91" s="207"/>
      <c r="M91" s="207"/>
      <c r="R91" s="209"/>
      <c r="AB91" s="210"/>
      <c r="AG91" s="210"/>
      <c r="AJ91" s="210"/>
    </row>
    <row r="92" spans="1:36" s="208" customFormat="1" x14ac:dyDescent="0.25">
      <c r="A92" s="207"/>
      <c r="C92" s="207"/>
      <c r="K92" s="207"/>
      <c r="L92" s="207"/>
      <c r="M92" s="207"/>
      <c r="R92" s="209"/>
      <c r="AB92" s="210"/>
      <c r="AG92" s="210"/>
      <c r="AJ92" s="210"/>
    </row>
    <row r="93" spans="1:36" s="208" customFormat="1" x14ac:dyDescent="0.25">
      <c r="A93" s="207"/>
      <c r="C93" s="207"/>
      <c r="K93" s="207"/>
      <c r="L93" s="207"/>
      <c r="M93" s="207"/>
      <c r="R93" s="209"/>
      <c r="AB93" s="210"/>
      <c r="AG93" s="210"/>
      <c r="AJ93" s="210"/>
    </row>
    <row r="94" spans="1:36" s="208" customFormat="1" x14ac:dyDescent="0.25">
      <c r="A94" s="207"/>
      <c r="C94" s="207"/>
      <c r="K94" s="207"/>
      <c r="L94" s="207"/>
      <c r="M94" s="207"/>
      <c r="R94" s="209"/>
      <c r="AB94" s="210"/>
      <c r="AG94" s="210"/>
      <c r="AJ94" s="210"/>
    </row>
    <row r="95" spans="1:36" s="208" customFormat="1" x14ac:dyDescent="0.25">
      <c r="A95" s="207"/>
      <c r="C95" s="207"/>
      <c r="K95" s="207"/>
      <c r="L95" s="207"/>
      <c r="M95" s="207"/>
      <c r="R95" s="209"/>
      <c r="AB95" s="210"/>
      <c r="AG95" s="210"/>
      <c r="AJ95" s="210"/>
    </row>
    <row r="96" spans="1:36" s="208" customFormat="1" x14ac:dyDescent="0.25">
      <c r="A96" s="207"/>
      <c r="C96" s="207"/>
      <c r="K96" s="207"/>
      <c r="L96" s="207"/>
      <c r="M96" s="207"/>
      <c r="R96" s="209"/>
      <c r="AB96" s="210"/>
      <c r="AG96" s="210"/>
      <c r="AJ96" s="210"/>
    </row>
    <row r="97" spans="1:36" s="208" customFormat="1" x14ac:dyDescent="0.25">
      <c r="A97" s="207"/>
      <c r="C97" s="207"/>
      <c r="K97" s="207"/>
      <c r="L97" s="207"/>
      <c r="M97" s="207"/>
      <c r="R97" s="209"/>
      <c r="AB97" s="210"/>
      <c r="AG97" s="210"/>
      <c r="AJ97" s="210"/>
    </row>
    <row r="98" spans="1:36" s="208" customFormat="1" x14ac:dyDescent="0.25">
      <c r="A98" s="207"/>
      <c r="C98" s="207"/>
      <c r="K98" s="207"/>
      <c r="L98" s="207"/>
      <c r="M98" s="207"/>
      <c r="R98" s="209"/>
      <c r="AB98" s="210"/>
      <c r="AG98" s="210"/>
      <c r="AJ98" s="210"/>
    </row>
    <row r="99" spans="1:36" s="208" customFormat="1" x14ac:dyDescent="0.25">
      <c r="A99" s="207"/>
      <c r="C99" s="207"/>
      <c r="K99" s="207"/>
      <c r="L99" s="207"/>
      <c r="M99" s="207"/>
      <c r="R99" s="209"/>
      <c r="AB99" s="210"/>
      <c r="AG99" s="210"/>
      <c r="AJ99" s="210"/>
    </row>
    <row r="100" spans="1:36" s="208" customFormat="1" x14ac:dyDescent="0.25">
      <c r="A100" s="207"/>
      <c r="C100" s="207"/>
      <c r="K100" s="207"/>
      <c r="L100" s="207"/>
      <c r="M100" s="207"/>
      <c r="R100" s="209"/>
      <c r="AB100" s="210"/>
      <c r="AG100" s="210"/>
      <c r="AJ100" s="210"/>
    </row>
    <row r="101" spans="1:36" s="208" customFormat="1" x14ac:dyDescent="0.25">
      <c r="A101" s="207"/>
      <c r="C101" s="207"/>
      <c r="K101" s="207"/>
      <c r="L101" s="207"/>
      <c r="M101" s="207"/>
      <c r="R101" s="209"/>
      <c r="AB101" s="210"/>
      <c r="AG101" s="210"/>
      <c r="AJ101" s="210"/>
    </row>
    <row r="102" spans="1:36" s="208" customFormat="1" x14ac:dyDescent="0.25">
      <c r="A102" s="207"/>
      <c r="C102" s="207"/>
      <c r="K102" s="207"/>
      <c r="L102" s="207"/>
      <c r="M102" s="207"/>
      <c r="R102" s="209"/>
      <c r="AB102" s="210"/>
      <c r="AG102" s="210"/>
      <c r="AJ102" s="210"/>
    </row>
    <row r="103" spans="1:36" s="208" customFormat="1" x14ac:dyDescent="0.25">
      <c r="A103" s="207"/>
      <c r="C103" s="207"/>
      <c r="K103" s="207"/>
      <c r="L103" s="207"/>
      <c r="M103" s="207"/>
      <c r="R103" s="209"/>
      <c r="AB103" s="210"/>
      <c r="AG103" s="210"/>
      <c r="AJ103" s="210"/>
    </row>
    <row r="104" spans="1:36" s="208" customFormat="1" x14ac:dyDescent="0.25">
      <c r="A104" s="207"/>
      <c r="C104" s="207"/>
      <c r="K104" s="207"/>
      <c r="L104" s="207"/>
      <c r="M104" s="207"/>
      <c r="R104" s="209"/>
      <c r="AB104" s="210"/>
      <c r="AG104" s="210"/>
      <c r="AJ104" s="210"/>
    </row>
    <row r="105" spans="1:36" s="208" customFormat="1" x14ac:dyDescent="0.25">
      <c r="A105" s="207"/>
      <c r="C105" s="207"/>
      <c r="K105" s="207"/>
      <c r="L105" s="207"/>
      <c r="M105" s="207"/>
      <c r="R105" s="209"/>
      <c r="AB105" s="210"/>
      <c r="AG105" s="210"/>
      <c r="AJ105" s="210"/>
    </row>
    <row r="106" spans="1:36" s="208" customFormat="1" x14ac:dyDescent="0.25">
      <c r="A106" s="207"/>
      <c r="C106" s="207"/>
      <c r="K106" s="207"/>
      <c r="L106" s="207"/>
      <c r="M106" s="207"/>
      <c r="R106" s="209"/>
      <c r="AB106" s="210"/>
      <c r="AG106" s="210"/>
      <c r="AJ106" s="210"/>
    </row>
    <row r="107" spans="1:36" s="208" customFormat="1" x14ac:dyDescent="0.25">
      <c r="A107" s="207"/>
      <c r="C107" s="207"/>
      <c r="K107" s="207"/>
      <c r="L107" s="207"/>
      <c r="M107" s="207"/>
      <c r="R107" s="209"/>
      <c r="AB107" s="210"/>
      <c r="AG107" s="210"/>
      <c r="AJ107" s="210"/>
    </row>
    <row r="108" spans="1:36" s="208" customFormat="1" x14ac:dyDescent="0.25">
      <c r="A108" s="207"/>
      <c r="C108" s="207"/>
      <c r="K108" s="207"/>
      <c r="L108" s="207"/>
      <c r="M108" s="207"/>
      <c r="R108" s="209"/>
      <c r="AB108" s="210"/>
      <c r="AG108" s="210"/>
      <c r="AJ108" s="210"/>
    </row>
    <row r="109" spans="1:36" s="208" customFormat="1" x14ac:dyDescent="0.25">
      <c r="A109" s="207"/>
      <c r="C109" s="207"/>
      <c r="K109" s="207"/>
      <c r="L109" s="207"/>
      <c r="M109" s="207"/>
      <c r="R109" s="209"/>
      <c r="AB109" s="210"/>
      <c r="AG109" s="210"/>
      <c r="AJ109" s="210"/>
    </row>
    <row r="110" spans="1:36" s="208" customFormat="1" x14ac:dyDescent="0.25">
      <c r="A110" s="207"/>
      <c r="C110" s="207"/>
      <c r="K110" s="207"/>
      <c r="L110" s="207"/>
      <c r="M110" s="207"/>
      <c r="R110" s="209"/>
      <c r="AB110" s="210"/>
      <c r="AG110" s="210"/>
      <c r="AJ110" s="210"/>
    </row>
    <row r="111" spans="1:36" s="208" customFormat="1" x14ac:dyDescent="0.25">
      <c r="A111" s="207"/>
      <c r="C111" s="207"/>
      <c r="K111" s="207"/>
      <c r="L111" s="207"/>
      <c r="M111" s="207"/>
      <c r="R111" s="209"/>
      <c r="AB111" s="210"/>
      <c r="AG111" s="210"/>
      <c r="AJ111" s="210"/>
    </row>
    <row r="112" spans="1:36" s="208" customFormat="1" x14ac:dyDescent="0.25">
      <c r="A112" s="207"/>
      <c r="C112" s="207"/>
      <c r="K112" s="207"/>
      <c r="L112" s="207"/>
      <c r="M112" s="207"/>
      <c r="R112" s="209"/>
      <c r="AB112" s="210"/>
      <c r="AG112" s="210"/>
      <c r="AJ112" s="210"/>
    </row>
    <row r="113" spans="1:36" s="208" customFormat="1" x14ac:dyDescent="0.25">
      <c r="A113" s="207"/>
      <c r="C113" s="207"/>
      <c r="K113" s="207"/>
      <c r="L113" s="207"/>
      <c r="M113" s="207"/>
      <c r="R113" s="209"/>
      <c r="AB113" s="210"/>
      <c r="AG113" s="210"/>
      <c r="AJ113" s="210"/>
    </row>
    <row r="114" spans="1:36" s="208" customFormat="1" x14ac:dyDescent="0.25">
      <c r="A114" s="207"/>
      <c r="C114" s="207"/>
      <c r="K114" s="207"/>
      <c r="L114" s="207"/>
      <c r="M114" s="207"/>
      <c r="R114" s="209"/>
      <c r="AB114" s="210"/>
      <c r="AG114" s="210"/>
      <c r="AJ114" s="210"/>
    </row>
    <row r="115" spans="1:36" s="208" customFormat="1" x14ac:dyDescent="0.25">
      <c r="A115" s="207"/>
      <c r="C115" s="207"/>
      <c r="K115" s="207"/>
      <c r="L115" s="207"/>
      <c r="M115" s="207"/>
      <c r="R115" s="209"/>
      <c r="AB115" s="210"/>
      <c r="AG115" s="210"/>
      <c r="AJ115" s="210"/>
    </row>
    <row r="116" spans="1:36" s="208" customFormat="1" x14ac:dyDescent="0.25">
      <c r="A116" s="207"/>
      <c r="C116" s="207"/>
      <c r="K116" s="207"/>
      <c r="L116" s="207"/>
      <c r="M116" s="207"/>
      <c r="R116" s="209"/>
      <c r="AB116" s="210"/>
      <c r="AG116" s="210"/>
      <c r="AJ116" s="210"/>
    </row>
    <row r="117" spans="1:36" s="208" customFormat="1" x14ac:dyDescent="0.25">
      <c r="A117" s="207"/>
      <c r="C117" s="207"/>
      <c r="K117" s="207"/>
      <c r="L117" s="207"/>
      <c r="M117" s="207"/>
      <c r="R117" s="209"/>
      <c r="AB117" s="210"/>
      <c r="AG117" s="210"/>
      <c r="AJ117" s="210"/>
    </row>
    <row r="118" spans="1:36" s="208" customFormat="1" x14ac:dyDescent="0.25">
      <c r="A118" s="207"/>
      <c r="C118" s="207"/>
      <c r="K118" s="207"/>
      <c r="L118" s="207"/>
      <c r="M118" s="207"/>
      <c r="R118" s="209"/>
      <c r="AB118" s="210"/>
      <c r="AG118" s="210"/>
      <c r="AJ118" s="210"/>
    </row>
    <row r="119" spans="1:36" s="208" customFormat="1" x14ac:dyDescent="0.25">
      <c r="A119" s="207"/>
      <c r="C119" s="207"/>
      <c r="K119" s="207"/>
      <c r="L119" s="207"/>
      <c r="M119" s="207"/>
      <c r="R119" s="209"/>
      <c r="AB119" s="210"/>
      <c r="AG119" s="210"/>
      <c r="AJ119" s="210"/>
    </row>
    <row r="120" spans="1:36" s="208" customFormat="1" x14ac:dyDescent="0.25">
      <c r="A120" s="207"/>
      <c r="C120" s="207"/>
      <c r="K120" s="207"/>
      <c r="L120" s="207"/>
      <c r="M120" s="207"/>
      <c r="R120" s="209"/>
      <c r="AB120" s="210"/>
      <c r="AG120" s="210"/>
      <c r="AJ120" s="210"/>
    </row>
    <row r="121" spans="1:36" s="208" customFormat="1" x14ac:dyDescent="0.25">
      <c r="A121" s="207"/>
      <c r="C121" s="207"/>
      <c r="K121" s="207"/>
      <c r="L121" s="207"/>
      <c r="M121" s="207"/>
      <c r="R121" s="209"/>
      <c r="AB121" s="210"/>
      <c r="AG121" s="210"/>
      <c r="AJ121" s="210"/>
    </row>
    <row r="122" spans="1:36" s="208" customFormat="1" x14ac:dyDescent="0.25">
      <c r="A122" s="207"/>
      <c r="C122" s="207"/>
      <c r="K122" s="207"/>
      <c r="L122" s="207"/>
      <c r="M122" s="207"/>
      <c r="R122" s="209"/>
      <c r="AB122" s="210"/>
      <c r="AG122" s="210"/>
      <c r="AJ122" s="210"/>
    </row>
    <row r="123" spans="1:36" s="208" customFormat="1" x14ac:dyDescent="0.25">
      <c r="A123" s="207"/>
      <c r="C123" s="207"/>
      <c r="K123" s="207"/>
      <c r="L123" s="207"/>
      <c r="M123" s="207"/>
      <c r="R123" s="209"/>
      <c r="AB123" s="210"/>
      <c r="AG123" s="210"/>
      <c r="AJ123" s="210"/>
    </row>
    <row r="124" spans="1:36" s="208" customFormat="1" x14ac:dyDescent="0.25">
      <c r="A124" s="207"/>
      <c r="C124" s="207"/>
      <c r="K124" s="207"/>
      <c r="L124" s="207"/>
      <c r="M124" s="207"/>
      <c r="R124" s="209"/>
      <c r="AB124" s="210"/>
      <c r="AG124" s="210"/>
      <c r="AJ124" s="210"/>
    </row>
    <row r="125" spans="1:36" s="208" customFormat="1" x14ac:dyDescent="0.25">
      <c r="A125" s="207"/>
      <c r="C125" s="207"/>
      <c r="K125" s="207"/>
      <c r="L125" s="207"/>
      <c r="M125" s="207"/>
      <c r="R125" s="209"/>
      <c r="AB125" s="210"/>
      <c r="AG125" s="210"/>
      <c r="AJ125" s="210"/>
    </row>
    <row r="126" spans="1:36" s="208" customFormat="1" x14ac:dyDescent="0.25">
      <c r="A126" s="207"/>
      <c r="C126" s="207"/>
      <c r="K126" s="207"/>
      <c r="L126" s="207"/>
      <c r="M126" s="207"/>
      <c r="R126" s="209"/>
      <c r="AB126" s="210"/>
      <c r="AG126" s="210"/>
      <c r="AJ126" s="210"/>
    </row>
    <row r="127" spans="1:36" s="208" customFormat="1" x14ac:dyDescent="0.25">
      <c r="A127" s="207"/>
      <c r="C127" s="207"/>
      <c r="K127" s="207"/>
      <c r="L127" s="207"/>
      <c r="M127" s="207"/>
      <c r="R127" s="209"/>
      <c r="AB127" s="210"/>
      <c r="AG127" s="210"/>
      <c r="AJ127" s="210"/>
    </row>
    <row r="128" spans="1:36" s="208" customFormat="1" x14ac:dyDescent="0.25">
      <c r="A128" s="207"/>
      <c r="C128" s="207"/>
      <c r="K128" s="207"/>
      <c r="L128" s="207"/>
      <c r="M128" s="207"/>
      <c r="R128" s="209"/>
      <c r="AB128" s="210"/>
      <c r="AG128" s="210"/>
      <c r="AJ128" s="210"/>
    </row>
    <row r="129" spans="1:36" s="208" customFormat="1" x14ac:dyDescent="0.25">
      <c r="A129" s="207"/>
      <c r="C129" s="207"/>
      <c r="K129" s="207"/>
      <c r="L129" s="207"/>
      <c r="M129" s="207"/>
      <c r="R129" s="209"/>
      <c r="AB129" s="210"/>
      <c r="AG129" s="210"/>
      <c r="AJ129" s="210"/>
    </row>
    <row r="130" spans="1:36" s="208" customFormat="1" x14ac:dyDescent="0.25">
      <c r="A130" s="207"/>
      <c r="C130" s="207"/>
      <c r="K130" s="207"/>
      <c r="L130" s="207"/>
      <c r="M130" s="207"/>
      <c r="R130" s="209"/>
      <c r="AB130" s="210"/>
      <c r="AG130" s="210"/>
      <c r="AJ130" s="210"/>
    </row>
    <row r="131" spans="1:36" s="208" customFormat="1" x14ac:dyDescent="0.25">
      <c r="A131" s="207"/>
      <c r="C131" s="207"/>
      <c r="K131" s="207"/>
      <c r="L131" s="207"/>
      <c r="M131" s="207"/>
      <c r="R131" s="209"/>
      <c r="AB131" s="210"/>
      <c r="AG131" s="210"/>
      <c r="AJ131" s="210"/>
    </row>
    <row r="132" spans="1:36" s="208" customFormat="1" x14ac:dyDescent="0.25">
      <c r="A132" s="207"/>
      <c r="C132" s="207"/>
      <c r="K132" s="207"/>
      <c r="L132" s="207"/>
      <c r="M132" s="207"/>
      <c r="R132" s="209"/>
      <c r="AB132" s="210"/>
      <c r="AG132" s="210"/>
      <c r="AJ132" s="210"/>
    </row>
    <row r="133" spans="1:36" s="208" customFormat="1" x14ac:dyDescent="0.25">
      <c r="A133" s="207"/>
      <c r="C133" s="207"/>
      <c r="K133" s="207"/>
      <c r="L133" s="207"/>
      <c r="M133" s="207"/>
      <c r="R133" s="209"/>
      <c r="AB133" s="210"/>
      <c r="AG133" s="210"/>
      <c r="AJ133" s="210"/>
    </row>
    <row r="134" spans="1:36" s="208" customFormat="1" x14ac:dyDescent="0.25">
      <c r="A134" s="207"/>
      <c r="C134" s="207"/>
      <c r="K134" s="207"/>
      <c r="L134" s="207"/>
      <c r="M134" s="207"/>
      <c r="R134" s="209"/>
      <c r="AB134" s="210"/>
      <c r="AG134" s="210"/>
      <c r="AJ134" s="210"/>
    </row>
    <row r="135" spans="1:36" s="208" customFormat="1" x14ac:dyDescent="0.25">
      <c r="A135" s="207"/>
      <c r="C135" s="207"/>
      <c r="K135" s="207"/>
      <c r="L135" s="207"/>
      <c r="M135" s="207"/>
      <c r="R135" s="209"/>
      <c r="AB135" s="210"/>
      <c r="AG135" s="210"/>
      <c r="AJ135" s="210"/>
    </row>
    <row r="136" spans="1:36" s="208" customFormat="1" x14ac:dyDescent="0.25">
      <c r="A136" s="207"/>
      <c r="C136" s="207"/>
      <c r="K136" s="207"/>
      <c r="L136" s="207"/>
      <c r="M136" s="207"/>
      <c r="R136" s="209"/>
      <c r="AB136" s="210"/>
      <c r="AG136" s="210"/>
      <c r="AJ136" s="210"/>
    </row>
    <row r="137" spans="1:36" s="208" customFormat="1" x14ac:dyDescent="0.25">
      <c r="A137" s="207"/>
      <c r="C137" s="207"/>
      <c r="K137" s="207"/>
      <c r="L137" s="207"/>
      <c r="M137" s="207"/>
      <c r="R137" s="209"/>
      <c r="AB137" s="210"/>
      <c r="AG137" s="210"/>
      <c r="AJ137" s="210"/>
    </row>
    <row r="138" spans="1:36" s="208" customFormat="1" x14ac:dyDescent="0.25">
      <c r="A138" s="207"/>
      <c r="C138" s="207"/>
      <c r="K138" s="207"/>
      <c r="L138" s="207"/>
      <c r="M138" s="207"/>
      <c r="R138" s="209"/>
      <c r="AB138" s="210"/>
      <c r="AG138" s="210"/>
      <c r="AJ138" s="210"/>
    </row>
    <row r="139" spans="1:36" s="208" customFormat="1" x14ac:dyDescent="0.25">
      <c r="A139" s="207"/>
      <c r="C139" s="207"/>
      <c r="K139" s="207"/>
      <c r="L139" s="207"/>
      <c r="M139" s="207"/>
      <c r="R139" s="209"/>
      <c r="AB139" s="210"/>
      <c r="AG139" s="210"/>
      <c r="AJ139" s="210"/>
    </row>
    <row r="140" spans="1:36" s="208" customFormat="1" x14ac:dyDescent="0.25">
      <c r="A140" s="207"/>
      <c r="C140" s="207"/>
      <c r="K140" s="207"/>
      <c r="L140" s="207"/>
      <c r="M140" s="207"/>
      <c r="R140" s="209"/>
      <c r="AB140" s="210"/>
      <c r="AG140" s="210"/>
      <c r="AJ140" s="210"/>
    </row>
    <row r="141" spans="1:36" s="208" customFormat="1" x14ac:dyDescent="0.25">
      <c r="A141" s="207"/>
      <c r="C141" s="207"/>
      <c r="K141" s="207"/>
      <c r="L141" s="207"/>
      <c r="M141" s="207"/>
      <c r="R141" s="209"/>
      <c r="AB141" s="210"/>
      <c r="AG141" s="210"/>
      <c r="AJ141" s="210"/>
    </row>
    <row r="142" spans="1:36" s="208" customFormat="1" x14ac:dyDescent="0.25">
      <c r="A142" s="207"/>
      <c r="C142" s="207"/>
      <c r="K142" s="207"/>
      <c r="L142" s="207"/>
      <c r="M142" s="207"/>
      <c r="R142" s="209"/>
      <c r="AB142" s="210"/>
      <c r="AG142" s="210"/>
      <c r="AJ142" s="210"/>
    </row>
    <row r="143" spans="1:36" s="208" customFormat="1" x14ac:dyDescent="0.25">
      <c r="A143" s="207"/>
      <c r="C143" s="207"/>
      <c r="K143" s="207"/>
      <c r="L143" s="207"/>
      <c r="M143" s="207"/>
      <c r="R143" s="209"/>
      <c r="AB143" s="210"/>
      <c r="AG143" s="210"/>
      <c r="AJ143" s="210"/>
    </row>
    <row r="144" spans="1:36" s="208" customFormat="1" x14ac:dyDescent="0.25">
      <c r="A144" s="207"/>
      <c r="C144" s="207"/>
      <c r="K144" s="207"/>
      <c r="L144" s="207"/>
      <c r="M144" s="207"/>
      <c r="R144" s="209"/>
      <c r="AB144" s="210"/>
      <c r="AG144" s="210"/>
      <c r="AJ144" s="210"/>
    </row>
    <row r="145" spans="1:36" s="208" customFormat="1" x14ac:dyDescent="0.25">
      <c r="A145" s="207"/>
      <c r="C145" s="207"/>
      <c r="K145" s="207"/>
      <c r="L145" s="207"/>
      <c r="M145" s="207"/>
      <c r="R145" s="209"/>
      <c r="AB145" s="210"/>
      <c r="AG145" s="210"/>
      <c r="AJ145" s="210"/>
    </row>
    <row r="146" spans="1:36" s="208" customFormat="1" x14ac:dyDescent="0.25">
      <c r="A146" s="207"/>
      <c r="C146" s="207"/>
      <c r="K146" s="207"/>
      <c r="L146" s="207"/>
      <c r="M146" s="207"/>
      <c r="R146" s="209"/>
      <c r="AB146" s="210"/>
      <c r="AG146" s="210"/>
      <c r="AJ146" s="210"/>
    </row>
    <row r="147" spans="1:36" s="208" customFormat="1" x14ac:dyDescent="0.25">
      <c r="A147" s="207"/>
      <c r="C147" s="207"/>
      <c r="K147" s="207"/>
      <c r="L147" s="207"/>
      <c r="M147" s="207"/>
      <c r="R147" s="209"/>
      <c r="AB147" s="210"/>
      <c r="AG147" s="210"/>
      <c r="AJ147" s="210"/>
    </row>
    <row r="148" spans="1:36" s="208" customFormat="1" x14ac:dyDescent="0.25">
      <c r="A148" s="207"/>
      <c r="C148" s="207"/>
      <c r="K148" s="207"/>
      <c r="L148" s="207"/>
      <c r="M148" s="207"/>
      <c r="R148" s="209"/>
      <c r="AB148" s="210"/>
      <c r="AG148" s="210"/>
      <c r="AJ148" s="210"/>
    </row>
    <row r="149" spans="1:36" s="208" customFormat="1" x14ac:dyDescent="0.25">
      <c r="A149" s="207"/>
      <c r="C149" s="207"/>
      <c r="K149" s="207"/>
      <c r="L149" s="207"/>
      <c r="M149" s="207"/>
      <c r="R149" s="209"/>
      <c r="AB149" s="210"/>
      <c r="AG149" s="210"/>
      <c r="AJ149" s="210"/>
    </row>
    <row r="150" spans="1:36" s="208" customFormat="1" x14ac:dyDescent="0.25">
      <c r="A150" s="207"/>
      <c r="C150" s="207"/>
      <c r="K150" s="207"/>
      <c r="L150" s="207"/>
      <c r="M150" s="207"/>
      <c r="R150" s="209"/>
      <c r="AB150" s="210"/>
      <c r="AG150" s="210"/>
      <c r="AJ150" s="210"/>
    </row>
    <row r="151" spans="1:36" s="208" customFormat="1" x14ac:dyDescent="0.25">
      <c r="A151" s="207"/>
      <c r="C151" s="207"/>
      <c r="K151" s="207"/>
      <c r="L151" s="207"/>
      <c r="M151" s="207"/>
      <c r="R151" s="209"/>
      <c r="AB151" s="210"/>
      <c r="AG151" s="210"/>
      <c r="AJ151" s="210"/>
    </row>
    <row r="152" spans="1:36" s="208" customFormat="1" x14ac:dyDescent="0.25">
      <c r="A152" s="207"/>
      <c r="C152" s="207"/>
      <c r="K152" s="207"/>
      <c r="L152" s="207"/>
      <c r="M152" s="207"/>
      <c r="R152" s="209"/>
      <c r="AB152" s="210"/>
      <c r="AG152" s="210"/>
      <c r="AJ152" s="210"/>
    </row>
    <row r="153" spans="1:36" s="208" customFormat="1" x14ac:dyDescent="0.25">
      <c r="A153" s="207"/>
      <c r="C153" s="207"/>
      <c r="K153" s="207"/>
      <c r="L153" s="207"/>
      <c r="M153" s="207"/>
      <c r="R153" s="209"/>
      <c r="AB153" s="210"/>
      <c r="AG153" s="210"/>
      <c r="AJ153" s="210"/>
    </row>
    <row r="154" spans="1:36" s="208" customFormat="1" x14ac:dyDescent="0.25">
      <c r="A154" s="207"/>
      <c r="C154" s="207"/>
      <c r="K154" s="207"/>
      <c r="L154" s="207"/>
      <c r="M154" s="207"/>
      <c r="R154" s="209"/>
      <c r="AB154" s="210"/>
      <c r="AG154" s="210"/>
      <c r="AJ154" s="210"/>
    </row>
    <row r="155" spans="1:36" s="208" customFormat="1" x14ac:dyDescent="0.25">
      <c r="A155" s="207"/>
      <c r="C155" s="207"/>
      <c r="K155" s="207"/>
      <c r="L155" s="207"/>
      <c r="M155" s="207"/>
      <c r="R155" s="209"/>
      <c r="AB155" s="210"/>
      <c r="AG155" s="210"/>
      <c r="AJ155" s="210"/>
    </row>
    <row r="156" spans="1:36" s="208" customFormat="1" x14ac:dyDescent="0.25">
      <c r="A156" s="207"/>
      <c r="C156" s="207"/>
      <c r="K156" s="207"/>
      <c r="L156" s="207"/>
      <c r="M156" s="207"/>
      <c r="R156" s="209"/>
      <c r="AB156" s="210"/>
      <c r="AG156" s="210"/>
      <c r="AJ156" s="210"/>
    </row>
    <row r="157" spans="1:36" s="208" customFormat="1" x14ac:dyDescent="0.25">
      <c r="A157" s="207"/>
      <c r="C157" s="207"/>
      <c r="K157" s="207"/>
      <c r="L157" s="207"/>
      <c r="M157" s="207"/>
      <c r="R157" s="209"/>
      <c r="AB157" s="210"/>
      <c r="AG157" s="210"/>
      <c r="AJ157" s="210"/>
    </row>
    <row r="158" spans="1:36" s="208" customFormat="1" x14ac:dyDescent="0.25">
      <c r="A158" s="207"/>
      <c r="C158" s="207"/>
      <c r="K158" s="207"/>
      <c r="L158" s="207"/>
      <c r="M158" s="207"/>
      <c r="R158" s="209"/>
      <c r="AB158" s="210"/>
      <c r="AG158" s="210"/>
      <c r="AJ158" s="210"/>
    </row>
    <row r="159" spans="1:36" s="208" customFormat="1" x14ac:dyDescent="0.25">
      <c r="A159" s="207"/>
      <c r="C159" s="207"/>
      <c r="K159" s="207"/>
      <c r="L159" s="207"/>
      <c r="M159" s="207"/>
      <c r="R159" s="209"/>
      <c r="AB159" s="210"/>
      <c r="AG159" s="210"/>
      <c r="AJ159" s="210"/>
    </row>
    <row r="160" spans="1:36" s="208" customFormat="1" x14ac:dyDescent="0.25">
      <c r="A160" s="207"/>
      <c r="C160" s="207"/>
      <c r="K160" s="207"/>
      <c r="L160" s="207"/>
      <c r="M160" s="207"/>
      <c r="R160" s="209"/>
      <c r="AB160" s="210"/>
      <c r="AG160" s="210"/>
      <c r="AJ160" s="210"/>
    </row>
    <row r="161" spans="1:36" s="208" customFormat="1" x14ac:dyDescent="0.25">
      <c r="A161" s="207"/>
      <c r="C161" s="207"/>
      <c r="K161" s="207"/>
      <c r="L161" s="207"/>
      <c r="M161" s="207"/>
      <c r="R161" s="209"/>
      <c r="AB161" s="210"/>
      <c r="AG161" s="210"/>
      <c r="AJ161" s="210"/>
    </row>
    <row r="162" spans="1:36" s="208" customFormat="1" x14ac:dyDescent="0.25">
      <c r="A162" s="207"/>
      <c r="C162" s="207"/>
      <c r="K162" s="207"/>
      <c r="L162" s="207"/>
      <c r="M162" s="207"/>
      <c r="R162" s="209"/>
      <c r="AB162" s="210"/>
      <c r="AG162" s="210"/>
      <c r="AJ162" s="210"/>
    </row>
    <row r="163" spans="1:36" s="208" customFormat="1" x14ac:dyDescent="0.25">
      <c r="A163" s="207"/>
      <c r="C163" s="207"/>
      <c r="K163" s="207"/>
      <c r="L163" s="207"/>
      <c r="M163" s="207"/>
      <c r="R163" s="209"/>
      <c r="AB163" s="210"/>
      <c r="AG163" s="210"/>
      <c r="AJ163" s="210"/>
    </row>
    <row r="164" spans="1:36" s="208" customFormat="1" x14ac:dyDescent="0.25">
      <c r="A164" s="207"/>
      <c r="C164" s="207"/>
      <c r="K164" s="207"/>
      <c r="L164" s="207"/>
      <c r="M164" s="207"/>
      <c r="R164" s="209"/>
      <c r="AB164" s="210"/>
      <c r="AG164" s="210"/>
      <c r="AJ164" s="210"/>
    </row>
    <row r="165" spans="1:36" s="208" customFormat="1" x14ac:dyDescent="0.25">
      <c r="A165" s="207"/>
      <c r="C165" s="207"/>
      <c r="K165" s="207"/>
      <c r="L165" s="207"/>
      <c r="M165" s="207"/>
      <c r="R165" s="209"/>
      <c r="AB165" s="210"/>
      <c r="AG165" s="210"/>
      <c r="AJ165" s="210"/>
    </row>
    <row r="166" spans="1:36" s="208" customFormat="1" x14ac:dyDescent="0.25">
      <c r="A166" s="207"/>
      <c r="C166" s="207"/>
      <c r="K166" s="207"/>
      <c r="L166" s="207"/>
      <c r="M166" s="207"/>
      <c r="R166" s="209"/>
      <c r="AB166" s="210"/>
      <c r="AG166" s="210"/>
      <c r="AJ166" s="210"/>
    </row>
    <row r="167" spans="1:36" s="208" customFormat="1" x14ac:dyDescent="0.25">
      <c r="A167" s="207"/>
      <c r="C167" s="207"/>
      <c r="K167" s="207"/>
      <c r="L167" s="207"/>
      <c r="M167" s="207"/>
      <c r="R167" s="209"/>
      <c r="AB167" s="210"/>
      <c r="AG167" s="210"/>
      <c r="AJ167" s="210"/>
    </row>
    <row r="168" spans="1:36" s="208" customFormat="1" x14ac:dyDescent="0.25">
      <c r="A168" s="207"/>
      <c r="C168" s="207"/>
      <c r="K168" s="207"/>
      <c r="L168" s="207"/>
      <c r="M168" s="207"/>
      <c r="R168" s="209"/>
      <c r="AB168" s="210"/>
      <c r="AG168" s="210"/>
      <c r="AJ168" s="210"/>
    </row>
    <row r="169" spans="1:36" s="208" customFormat="1" x14ac:dyDescent="0.25">
      <c r="A169" s="207"/>
      <c r="C169" s="207"/>
      <c r="K169" s="207"/>
      <c r="L169" s="207"/>
      <c r="M169" s="207"/>
      <c r="R169" s="209"/>
      <c r="AB169" s="210"/>
      <c r="AG169" s="210"/>
      <c r="AJ169" s="210"/>
    </row>
    <row r="170" spans="1:36" s="208" customFormat="1" x14ac:dyDescent="0.25">
      <c r="A170" s="207"/>
      <c r="C170" s="207"/>
      <c r="K170" s="207"/>
      <c r="L170" s="207"/>
      <c r="M170" s="207"/>
      <c r="R170" s="209"/>
      <c r="AB170" s="210"/>
      <c r="AG170" s="210"/>
      <c r="AJ170" s="210"/>
    </row>
    <row r="171" spans="1:36" s="208" customFormat="1" x14ac:dyDescent="0.25">
      <c r="A171" s="207"/>
      <c r="C171" s="207"/>
      <c r="K171" s="207"/>
      <c r="L171" s="207"/>
      <c r="M171" s="207"/>
      <c r="R171" s="209"/>
      <c r="AB171" s="210"/>
      <c r="AG171" s="210"/>
      <c r="AJ171" s="210"/>
    </row>
    <row r="172" spans="1:36" s="208" customFormat="1" x14ac:dyDescent="0.25">
      <c r="A172" s="207"/>
      <c r="C172" s="207"/>
      <c r="K172" s="207"/>
      <c r="L172" s="207"/>
      <c r="M172" s="207"/>
      <c r="R172" s="209"/>
      <c r="AB172" s="210"/>
      <c r="AG172" s="210"/>
      <c r="AJ172" s="210"/>
    </row>
    <row r="173" spans="1:36" s="208" customFormat="1" x14ac:dyDescent="0.25">
      <c r="A173" s="207"/>
      <c r="C173" s="207"/>
      <c r="K173" s="207"/>
      <c r="L173" s="207"/>
      <c r="M173" s="207"/>
      <c r="R173" s="209"/>
      <c r="AB173" s="210"/>
      <c r="AG173" s="210"/>
      <c r="AJ173" s="210"/>
    </row>
    <row r="174" spans="1:36" s="208" customFormat="1" x14ac:dyDescent="0.25">
      <c r="A174" s="207"/>
      <c r="C174" s="207"/>
      <c r="K174" s="207"/>
      <c r="L174" s="207"/>
      <c r="M174" s="207"/>
      <c r="R174" s="209"/>
      <c r="AB174" s="210"/>
      <c r="AG174" s="210"/>
      <c r="AJ174" s="210"/>
    </row>
    <row r="175" spans="1:36" s="208" customFormat="1" x14ac:dyDescent="0.25">
      <c r="A175" s="207"/>
      <c r="C175" s="207"/>
      <c r="K175" s="207"/>
      <c r="L175" s="207"/>
      <c r="M175" s="207"/>
      <c r="R175" s="209"/>
      <c r="AB175" s="210"/>
      <c r="AG175" s="210"/>
      <c r="AJ175" s="210"/>
    </row>
    <row r="176" spans="1:36" s="208" customFormat="1" x14ac:dyDescent="0.25">
      <c r="A176" s="207"/>
      <c r="C176" s="207"/>
      <c r="K176" s="207"/>
      <c r="L176" s="207"/>
      <c r="M176" s="207"/>
      <c r="R176" s="209"/>
      <c r="AB176" s="210"/>
      <c r="AG176" s="210"/>
      <c r="AJ176" s="210"/>
    </row>
    <row r="177" spans="1:36" s="208" customFormat="1" x14ac:dyDescent="0.25">
      <c r="A177" s="207"/>
      <c r="C177" s="207"/>
      <c r="K177" s="207"/>
      <c r="L177" s="207"/>
      <c r="M177" s="207"/>
      <c r="R177" s="209"/>
      <c r="AB177" s="210"/>
      <c r="AG177" s="210"/>
      <c r="AJ177" s="210"/>
    </row>
    <row r="178" spans="1:36" s="208" customFormat="1" x14ac:dyDescent="0.25">
      <c r="A178" s="207"/>
      <c r="C178" s="207"/>
      <c r="K178" s="207"/>
      <c r="L178" s="207"/>
      <c r="M178" s="207"/>
      <c r="R178" s="209"/>
      <c r="AB178" s="210"/>
      <c r="AG178" s="210"/>
      <c r="AJ178" s="210"/>
    </row>
    <row r="179" spans="1:36" s="208" customFormat="1" x14ac:dyDescent="0.25">
      <c r="A179" s="207"/>
      <c r="C179" s="207"/>
      <c r="K179" s="207"/>
      <c r="L179" s="207"/>
      <c r="M179" s="207"/>
      <c r="R179" s="209"/>
      <c r="AB179" s="210"/>
      <c r="AG179" s="210"/>
      <c r="AJ179" s="210"/>
    </row>
    <row r="180" spans="1:36" s="208" customFormat="1" x14ac:dyDescent="0.25">
      <c r="A180" s="207"/>
      <c r="C180" s="207"/>
      <c r="K180" s="207"/>
      <c r="L180" s="207"/>
      <c r="M180" s="207"/>
      <c r="R180" s="209"/>
      <c r="AB180" s="210"/>
      <c r="AG180" s="210"/>
      <c r="AJ180" s="210"/>
    </row>
    <row r="181" spans="1:36" s="208" customFormat="1" x14ac:dyDescent="0.25">
      <c r="A181" s="207"/>
      <c r="C181" s="207"/>
      <c r="K181" s="207"/>
      <c r="L181" s="207"/>
      <c r="M181" s="207"/>
      <c r="R181" s="209"/>
      <c r="AB181" s="210"/>
      <c r="AG181" s="210"/>
      <c r="AJ181" s="210"/>
    </row>
    <row r="182" spans="1:36" s="208" customFormat="1" x14ac:dyDescent="0.25">
      <c r="A182" s="207"/>
      <c r="C182" s="207"/>
      <c r="K182" s="207"/>
      <c r="L182" s="207"/>
      <c r="M182" s="207"/>
      <c r="R182" s="209"/>
      <c r="AB182" s="210"/>
      <c r="AG182" s="210"/>
      <c r="AJ182" s="210"/>
    </row>
    <row r="183" spans="1:36" s="208" customFormat="1" x14ac:dyDescent="0.25">
      <c r="A183" s="207"/>
      <c r="C183" s="207"/>
      <c r="K183" s="207"/>
      <c r="L183" s="207"/>
      <c r="M183" s="207"/>
      <c r="R183" s="209"/>
      <c r="AB183" s="210"/>
      <c r="AG183" s="210"/>
      <c r="AJ183" s="210"/>
    </row>
    <row r="184" spans="1:36" s="208" customFormat="1" x14ac:dyDescent="0.25">
      <c r="A184" s="207"/>
      <c r="C184" s="207"/>
      <c r="K184" s="207"/>
      <c r="L184" s="207"/>
      <c r="M184" s="207"/>
      <c r="R184" s="209"/>
      <c r="AB184" s="210"/>
      <c r="AG184" s="210"/>
      <c r="AJ184" s="210"/>
    </row>
    <row r="185" spans="1:36" s="208" customFormat="1" x14ac:dyDescent="0.25">
      <c r="A185" s="207"/>
      <c r="C185" s="207"/>
      <c r="K185" s="207"/>
      <c r="L185" s="207"/>
      <c r="M185" s="207"/>
      <c r="R185" s="209"/>
      <c r="AB185" s="210"/>
      <c r="AG185" s="210"/>
      <c r="AJ185" s="210"/>
    </row>
    <row r="186" spans="1:36" s="208" customFormat="1" x14ac:dyDescent="0.25">
      <c r="A186" s="207"/>
      <c r="C186" s="207"/>
      <c r="K186" s="207"/>
      <c r="L186" s="207"/>
      <c r="M186" s="207"/>
      <c r="R186" s="209"/>
      <c r="AB186" s="210"/>
      <c r="AG186" s="210"/>
      <c r="AJ186" s="210"/>
    </row>
    <row r="187" spans="1:36" s="208" customFormat="1" x14ac:dyDescent="0.25">
      <c r="A187" s="207"/>
      <c r="C187" s="207"/>
      <c r="K187" s="207"/>
      <c r="L187" s="207"/>
      <c r="M187" s="207"/>
      <c r="R187" s="209"/>
      <c r="AB187" s="210"/>
      <c r="AG187" s="210"/>
      <c r="AJ187" s="210"/>
    </row>
    <row r="188" spans="1:36" s="208" customFormat="1" x14ac:dyDescent="0.25">
      <c r="A188" s="207"/>
      <c r="C188" s="207"/>
      <c r="K188" s="207"/>
      <c r="L188" s="207"/>
      <c r="M188" s="207"/>
      <c r="R188" s="209"/>
      <c r="AB188" s="210"/>
      <c r="AG188" s="210"/>
      <c r="AJ188" s="210"/>
    </row>
    <row r="189" spans="1:36" s="208" customFormat="1" x14ac:dyDescent="0.25">
      <c r="A189" s="207"/>
      <c r="C189" s="207"/>
      <c r="K189" s="207"/>
      <c r="L189" s="207"/>
      <c r="M189" s="207"/>
      <c r="R189" s="209"/>
      <c r="AB189" s="210"/>
      <c r="AG189" s="210"/>
      <c r="AJ189" s="210"/>
    </row>
    <row r="190" spans="1:36" s="208" customFormat="1" x14ac:dyDescent="0.25">
      <c r="A190" s="207"/>
      <c r="C190" s="207"/>
      <c r="K190" s="207"/>
      <c r="L190" s="207"/>
      <c r="M190" s="207"/>
      <c r="R190" s="209"/>
      <c r="AB190" s="210"/>
      <c r="AG190" s="210"/>
      <c r="AJ190" s="210"/>
    </row>
    <row r="191" spans="1:36" s="208" customFormat="1" x14ac:dyDescent="0.25">
      <c r="A191" s="207"/>
      <c r="C191" s="207"/>
      <c r="K191" s="207"/>
      <c r="L191" s="207"/>
      <c r="M191" s="207"/>
      <c r="R191" s="209"/>
      <c r="AB191" s="210"/>
      <c r="AG191" s="210"/>
      <c r="AJ191" s="210"/>
    </row>
    <row r="192" spans="1:36" s="208" customFormat="1" x14ac:dyDescent="0.25">
      <c r="A192" s="207"/>
      <c r="C192" s="207"/>
      <c r="K192" s="207"/>
      <c r="L192" s="207"/>
      <c r="M192" s="207"/>
      <c r="R192" s="209"/>
      <c r="AB192" s="210"/>
      <c r="AG192" s="210"/>
      <c r="AJ192" s="210"/>
    </row>
    <row r="193" spans="1:36" s="208" customFormat="1" x14ac:dyDescent="0.25">
      <c r="A193" s="207"/>
      <c r="C193" s="207"/>
      <c r="K193" s="207"/>
      <c r="L193" s="207"/>
      <c r="M193" s="207"/>
      <c r="R193" s="209"/>
      <c r="AB193" s="210"/>
      <c r="AG193" s="210"/>
      <c r="AJ193" s="210"/>
    </row>
    <row r="194" spans="1:36" s="208" customFormat="1" x14ac:dyDescent="0.25">
      <c r="A194" s="207"/>
      <c r="C194" s="207"/>
      <c r="K194" s="207"/>
      <c r="L194" s="207"/>
      <c r="M194" s="207"/>
      <c r="R194" s="209"/>
      <c r="AB194" s="210"/>
      <c r="AG194" s="210"/>
      <c r="AJ194" s="210"/>
    </row>
    <row r="195" spans="1:36" s="208" customFormat="1" x14ac:dyDescent="0.25">
      <c r="A195" s="207"/>
      <c r="C195" s="207"/>
      <c r="K195" s="207"/>
      <c r="L195" s="207"/>
      <c r="M195" s="207"/>
      <c r="R195" s="209"/>
      <c r="AB195" s="210"/>
      <c r="AG195" s="210"/>
      <c r="AJ195" s="210"/>
    </row>
    <row r="196" spans="1:36" s="208" customFormat="1" x14ac:dyDescent="0.25">
      <c r="A196" s="207"/>
      <c r="C196" s="207"/>
      <c r="K196" s="207"/>
      <c r="L196" s="207"/>
      <c r="M196" s="207"/>
      <c r="R196" s="209"/>
      <c r="AB196" s="210"/>
      <c r="AG196" s="210"/>
      <c r="AJ196" s="210"/>
    </row>
    <row r="197" spans="1:36" s="208" customFormat="1" x14ac:dyDescent="0.25">
      <c r="A197" s="207"/>
      <c r="C197" s="207"/>
      <c r="K197" s="207"/>
      <c r="L197" s="207"/>
      <c r="M197" s="207"/>
      <c r="R197" s="209"/>
      <c r="AB197" s="210"/>
      <c r="AG197" s="210"/>
      <c r="AJ197" s="210"/>
    </row>
    <row r="198" spans="1:36" s="208" customFormat="1" x14ac:dyDescent="0.25">
      <c r="A198" s="207"/>
      <c r="C198" s="207"/>
      <c r="K198" s="207"/>
      <c r="L198" s="207"/>
      <c r="M198" s="207"/>
      <c r="R198" s="209"/>
      <c r="AB198" s="210"/>
      <c r="AG198" s="210"/>
      <c r="AJ198" s="210"/>
    </row>
    <row r="199" spans="1:36" s="208" customFormat="1" x14ac:dyDescent="0.25">
      <c r="A199" s="207"/>
      <c r="C199" s="207"/>
      <c r="K199" s="207"/>
      <c r="L199" s="207"/>
      <c r="M199" s="207"/>
      <c r="R199" s="209"/>
      <c r="AB199" s="210"/>
      <c r="AG199" s="210"/>
      <c r="AJ199" s="210"/>
    </row>
    <row r="200" spans="1:36" s="208" customFormat="1" x14ac:dyDescent="0.25">
      <c r="A200" s="207"/>
      <c r="C200" s="207"/>
      <c r="K200" s="207"/>
      <c r="L200" s="207"/>
      <c r="M200" s="207"/>
      <c r="R200" s="209"/>
      <c r="AB200" s="210"/>
      <c r="AG200" s="210"/>
      <c r="AJ200" s="210"/>
    </row>
    <row r="201" spans="1:36" s="208" customFormat="1" x14ac:dyDescent="0.25">
      <c r="A201" s="207"/>
      <c r="C201" s="207"/>
      <c r="K201" s="207"/>
      <c r="L201" s="207"/>
      <c r="M201" s="207"/>
      <c r="R201" s="209"/>
      <c r="AB201" s="210"/>
      <c r="AG201" s="210"/>
      <c r="AJ201" s="210"/>
    </row>
    <row r="202" spans="1:36" s="208" customFormat="1" x14ac:dyDescent="0.25">
      <c r="A202" s="207"/>
      <c r="C202" s="207"/>
      <c r="K202" s="207"/>
      <c r="L202" s="207"/>
      <c r="M202" s="207"/>
      <c r="R202" s="209"/>
      <c r="AB202" s="210"/>
      <c r="AG202" s="210"/>
      <c r="AJ202" s="210"/>
    </row>
    <row r="203" spans="1:36" s="208" customFormat="1" x14ac:dyDescent="0.25">
      <c r="A203" s="207"/>
      <c r="C203" s="207"/>
      <c r="K203" s="207"/>
      <c r="L203" s="207"/>
      <c r="M203" s="207"/>
      <c r="R203" s="209"/>
      <c r="AB203" s="210"/>
      <c r="AG203" s="210"/>
      <c r="AJ203" s="210"/>
    </row>
    <row r="204" spans="1:36" s="208" customFormat="1" x14ac:dyDescent="0.25">
      <c r="A204" s="207"/>
      <c r="C204" s="207"/>
      <c r="K204" s="207"/>
      <c r="L204" s="207"/>
      <c r="M204" s="207"/>
      <c r="R204" s="209"/>
      <c r="AB204" s="210"/>
      <c r="AG204" s="210"/>
      <c r="AJ204" s="210"/>
    </row>
    <row r="205" spans="1:36" s="208" customFormat="1" x14ac:dyDescent="0.25">
      <c r="A205" s="207"/>
      <c r="C205" s="207"/>
      <c r="K205" s="207"/>
      <c r="L205" s="207"/>
      <c r="M205" s="207"/>
      <c r="R205" s="209"/>
      <c r="AB205" s="210"/>
      <c r="AG205" s="210"/>
      <c r="AJ205" s="210"/>
    </row>
    <row r="206" spans="1:36" s="208" customFormat="1" x14ac:dyDescent="0.25">
      <c r="A206" s="207"/>
      <c r="C206" s="207"/>
      <c r="K206" s="207"/>
      <c r="L206" s="207"/>
      <c r="M206" s="207"/>
      <c r="R206" s="209"/>
      <c r="AB206" s="210"/>
      <c r="AG206" s="210"/>
      <c r="AJ206" s="210"/>
    </row>
    <row r="207" spans="1:36" s="208" customFormat="1" x14ac:dyDescent="0.25">
      <c r="A207" s="207"/>
      <c r="C207" s="207"/>
      <c r="K207" s="207"/>
      <c r="L207" s="207"/>
      <c r="M207" s="207"/>
      <c r="R207" s="209"/>
      <c r="AB207" s="210"/>
      <c r="AG207" s="210"/>
      <c r="AJ207" s="210"/>
    </row>
    <row r="208" spans="1:36" s="208" customFormat="1" x14ac:dyDescent="0.25">
      <c r="A208" s="207"/>
      <c r="C208" s="207"/>
      <c r="K208" s="207"/>
      <c r="L208" s="207"/>
      <c r="M208" s="207"/>
      <c r="R208" s="209"/>
      <c r="AB208" s="210"/>
      <c r="AG208" s="210"/>
      <c r="AJ208" s="210"/>
    </row>
    <row r="209" spans="1:36" s="208" customFormat="1" x14ac:dyDescent="0.25">
      <c r="A209" s="207"/>
      <c r="C209" s="207"/>
      <c r="K209" s="207"/>
      <c r="L209" s="207"/>
      <c r="M209" s="207"/>
      <c r="R209" s="209"/>
      <c r="AB209" s="210"/>
      <c r="AG209" s="210"/>
      <c r="AJ209" s="210"/>
    </row>
    <row r="210" spans="1:36" s="208" customFormat="1" x14ac:dyDescent="0.25">
      <c r="A210" s="207"/>
      <c r="C210" s="207"/>
      <c r="K210" s="207"/>
      <c r="L210" s="207"/>
      <c r="M210" s="207"/>
      <c r="R210" s="209"/>
      <c r="AB210" s="210"/>
      <c r="AG210" s="210"/>
      <c r="AJ210" s="210"/>
    </row>
    <row r="211" spans="1:36" s="208" customFormat="1" x14ac:dyDescent="0.25">
      <c r="A211" s="207"/>
      <c r="C211" s="207"/>
      <c r="K211" s="207"/>
      <c r="L211" s="207"/>
      <c r="M211" s="207"/>
      <c r="R211" s="209"/>
      <c r="AB211" s="210"/>
      <c r="AG211" s="210"/>
      <c r="AJ211" s="210"/>
    </row>
    <row r="212" spans="1:36" s="208" customFormat="1" x14ac:dyDescent="0.25">
      <c r="A212" s="207"/>
      <c r="C212" s="207"/>
      <c r="K212" s="207"/>
      <c r="L212" s="207"/>
      <c r="M212" s="207"/>
      <c r="R212" s="209"/>
      <c r="AB212" s="210"/>
      <c r="AG212" s="210"/>
      <c r="AJ212" s="210"/>
    </row>
    <row r="213" spans="1:36" s="208" customFormat="1" x14ac:dyDescent="0.25">
      <c r="A213" s="207"/>
      <c r="C213" s="207"/>
      <c r="K213" s="207"/>
      <c r="L213" s="207"/>
      <c r="M213" s="207"/>
      <c r="R213" s="209"/>
      <c r="AB213" s="210"/>
      <c r="AG213" s="210"/>
      <c r="AJ213" s="210"/>
    </row>
    <row r="214" spans="1:36" s="208" customFormat="1" x14ac:dyDescent="0.25">
      <c r="A214" s="207"/>
      <c r="C214" s="207"/>
      <c r="K214" s="207"/>
      <c r="L214" s="207"/>
      <c r="M214" s="207"/>
      <c r="R214" s="209"/>
      <c r="AB214" s="210"/>
      <c r="AG214" s="210"/>
      <c r="AJ214" s="210"/>
    </row>
    <row r="215" spans="1:36" s="208" customFormat="1" x14ac:dyDescent="0.25">
      <c r="A215" s="207"/>
      <c r="C215" s="207"/>
      <c r="K215" s="207"/>
      <c r="L215" s="207"/>
      <c r="M215" s="207"/>
      <c r="R215" s="209"/>
      <c r="AB215" s="210"/>
      <c r="AG215" s="210"/>
      <c r="AJ215" s="210"/>
    </row>
    <row r="216" spans="1:36" s="208" customFormat="1" x14ac:dyDescent="0.25">
      <c r="A216" s="207"/>
      <c r="C216" s="207"/>
      <c r="K216" s="207"/>
      <c r="L216" s="207"/>
      <c r="M216" s="207"/>
      <c r="R216" s="209"/>
      <c r="AB216" s="210"/>
      <c r="AG216" s="210"/>
      <c r="AJ216" s="210"/>
    </row>
    <row r="217" spans="1:36" s="208" customFormat="1" x14ac:dyDescent="0.25">
      <c r="A217" s="207"/>
      <c r="C217" s="207"/>
      <c r="K217" s="207"/>
      <c r="L217" s="207"/>
      <c r="M217" s="207"/>
      <c r="R217" s="209"/>
      <c r="AB217" s="210"/>
      <c r="AG217" s="210"/>
      <c r="AJ217" s="210"/>
    </row>
    <row r="218" spans="1:36" s="208" customFormat="1" x14ac:dyDescent="0.25">
      <c r="A218" s="207"/>
      <c r="C218" s="207"/>
      <c r="K218" s="207"/>
      <c r="L218" s="207"/>
      <c r="M218" s="207"/>
      <c r="R218" s="209"/>
      <c r="AB218" s="210"/>
      <c r="AG218" s="210"/>
      <c r="AJ218" s="210"/>
    </row>
    <row r="219" spans="1:36" s="208" customFormat="1" x14ac:dyDescent="0.25">
      <c r="A219" s="207"/>
      <c r="C219" s="207"/>
      <c r="K219" s="207"/>
      <c r="L219" s="207"/>
      <c r="M219" s="207"/>
      <c r="R219" s="209"/>
      <c r="AB219" s="210"/>
      <c r="AG219" s="210"/>
      <c r="AJ219" s="210"/>
    </row>
    <row r="220" spans="1:36" s="208" customFormat="1" x14ac:dyDescent="0.25">
      <c r="A220" s="207"/>
      <c r="C220" s="207"/>
      <c r="K220" s="207"/>
      <c r="L220" s="207"/>
      <c r="M220" s="207"/>
      <c r="R220" s="209"/>
      <c r="AB220" s="210"/>
      <c r="AG220" s="210"/>
      <c r="AJ220" s="210"/>
    </row>
    <row r="221" spans="1:36" s="208" customFormat="1" x14ac:dyDescent="0.25">
      <c r="A221" s="207"/>
      <c r="C221" s="207"/>
      <c r="K221" s="207"/>
      <c r="L221" s="207"/>
      <c r="M221" s="207"/>
      <c r="R221" s="209"/>
      <c r="AB221" s="210"/>
      <c r="AG221" s="210"/>
      <c r="AJ221" s="210"/>
    </row>
    <row r="222" spans="1:36" s="208" customFormat="1" x14ac:dyDescent="0.25">
      <c r="A222" s="207"/>
      <c r="C222" s="207"/>
      <c r="K222" s="207"/>
      <c r="L222" s="207"/>
      <c r="M222" s="207"/>
      <c r="R222" s="209"/>
      <c r="AB222" s="210"/>
      <c r="AG222" s="210"/>
      <c r="AJ222" s="210"/>
    </row>
    <row r="223" spans="1:36" s="208" customFormat="1" x14ac:dyDescent="0.25">
      <c r="A223" s="207"/>
      <c r="C223" s="207"/>
      <c r="K223" s="207"/>
      <c r="L223" s="207"/>
      <c r="M223" s="207"/>
      <c r="R223" s="209"/>
      <c r="AB223" s="210"/>
      <c r="AG223" s="210"/>
      <c r="AJ223" s="210"/>
    </row>
    <row r="224" spans="1:36" s="208" customFormat="1" x14ac:dyDescent="0.25">
      <c r="A224" s="207"/>
      <c r="C224" s="207"/>
      <c r="K224" s="207"/>
      <c r="L224" s="207"/>
      <c r="M224" s="207"/>
      <c r="R224" s="209"/>
      <c r="AB224" s="210"/>
      <c r="AG224" s="210"/>
      <c r="AJ224" s="210"/>
    </row>
    <row r="225" spans="1:36" s="208" customFormat="1" x14ac:dyDescent="0.25">
      <c r="A225" s="207"/>
      <c r="C225" s="207"/>
      <c r="K225" s="207"/>
      <c r="L225" s="207"/>
      <c r="M225" s="207"/>
      <c r="R225" s="209"/>
      <c r="AB225" s="210"/>
      <c r="AG225" s="210"/>
      <c r="AJ225" s="210"/>
    </row>
    <row r="226" spans="1:36" s="208" customFormat="1" x14ac:dyDescent="0.25">
      <c r="A226" s="207"/>
      <c r="C226" s="207"/>
      <c r="K226" s="207"/>
      <c r="L226" s="207"/>
      <c r="M226" s="207"/>
      <c r="R226" s="209"/>
      <c r="AB226" s="210"/>
      <c r="AG226" s="210"/>
      <c r="AJ226" s="210"/>
    </row>
    <row r="227" spans="1:36" s="208" customFormat="1" x14ac:dyDescent="0.25">
      <c r="A227" s="207"/>
      <c r="C227" s="207"/>
      <c r="K227" s="207"/>
      <c r="L227" s="207"/>
      <c r="M227" s="207"/>
      <c r="R227" s="209"/>
      <c r="AB227" s="210"/>
      <c r="AG227" s="210"/>
      <c r="AJ227" s="210"/>
    </row>
    <row r="228" spans="1:36" s="208" customFormat="1" x14ac:dyDescent="0.25">
      <c r="A228" s="207"/>
      <c r="C228" s="207"/>
      <c r="K228" s="207"/>
      <c r="L228" s="207"/>
      <c r="M228" s="207"/>
      <c r="R228" s="209"/>
      <c r="AB228" s="210"/>
      <c r="AG228" s="210"/>
      <c r="AJ228" s="210"/>
    </row>
    <row r="229" spans="1:36" s="208" customFormat="1" x14ac:dyDescent="0.25">
      <c r="A229" s="207"/>
      <c r="C229" s="207"/>
      <c r="K229" s="207"/>
      <c r="L229" s="207"/>
      <c r="M229" s="207"/>
      <c r="R229" s="209"/>
      <c r="AB229" s="210"/>
      <c r="AG229" s="210"/>
      <c r="AJ229" s="210"/>
    </row>
    <row r="230" spans="1:36" s="208" customFormat="1" x14ac:dyDescent="0.25">
      <c r="A230" s="207"/>
      <c r="C230" s="207"/>
      <c r="K230" s="207"/>
      <c r="L230" s="207"/>
      <c r="M230" s="207"/>
      <c r="R230" s="209"/>
      <c r="AB230" s="210"/>
      <c r="AG230" s="210"/>
      <c r="AJ230" s="210"/>
    </row>
    <row r="231" spans="1:36" s="208" customFormat="1" x14ac:dyDescent="0.25">
      <c r="A231" s="207"/>
      <c r="C231" s="207"/>
      <c r="K231" s="207"/>
      <c r="L231" s="207"/>
      <c r="M231" s="207"/>
      <c r="R231" s="209"/>
      <c r="AB231" s="210"/>
      <c r="AG231" s="210"/>
      <c r="AJ231" s="210"/>
    </row>
    <row r="232" spans="1:36" s="208" customFormat="1" x14ac:dyDescent="0.25">
      <c r="A232" s="207"/>
      <c r="C232" s="207"/>
      <c r="K232" s="207"/>
      <c r="L232" s="207"/>
      <c r="M232" s="207"/>
      <c r="R232" s="209"/>
      <c r="AB232" s="210"/>
      <c r="AG232" s="210"/>
      <c r="AJ232" s="210"/>
    </row>
    <row r="233" spans="1:36" s="208" customFormat="1" x14ac:dyDescent="0.25">
      <c r="A233" s="207"/>
      <c r="C233" s="207"/>
      <c r="K233" s="207"/>
      <c r="L233" s="207"/>
      <c r="M233" s="207"/>
      <c r="R233" s="209"/>
      <c r="AB233" s="210"/>
      <c r="AG233" s="210"/>
      <c r="AJ233" s="210"/>
    </row>
    <row r="234" spans="1:36" s="208" customFormat="1" x14ac:dyDescent="0.25">
      <c r="A234" s="207"/>
      <c r="C234" s="207"/>
      <c r="K234" s="207"/>
      <c r="L234" s="207"/>
      <c r="M234" s="207"/>
      <c r="R234" s="209"/>
      <c r="AB234" s="210"/>
      <c r="AG234" s="210"/>
      <c r="AJ234" s="210"/>
    </row>
    <row r="235" spans="1:36" s="208" customFormat="1" x14ac:dyDescent="0.25">
      <c r="A235" s="207"/>
      <c r="C235" s="207"/>
      <c r="K235" s="207"/>
      <c r="L235" s="207"/>
      <c r="M235" s="207"/>
      <c r="R235" s="209"/>
      <c r="AB235" s="210"/>
      <c r="AG235" s="210"/>
      <c r="AJ235" s="210"/>
    </row>
    <row r="236" spans="1:36" s="208" customFormat="1" x14ac:dyDescent="0.25">
      <c r="A236" s="207"/>
      <c r="C236" s="207"/>
      <c r="K236" s="207"/>
      <c r="L236" s="207"/>
      <c r="M236" s="207"/>
      <c r="R236" s="209"/>
      <c r="AB236" s="210"/>
      <c r="AG236" s="210"/>
      <c r="AJ236" s="210"/>
    </row>
    <row r="237" spans="1:36" s="208" customFormat="1" x14ac:dyDescent="0.25">
      <c r="A237" s="207"/>
      <c r="C237" s="207"/>
      <c r="K237" s="207"/>
      <c r="L237" s="207"/>
      <c r="M237" s="207"/>
      <c r="R237" s="209"/>
      <c r="AB237" s="210"/>
      <c r="AG237" s="210"/>
      <c r="AJ237" s="210"/>
    </row>
    <row r="238" spans="1:36" s="208" customFormat="1" x14ac:dyDescent="0.25">
      <c r="A238" s="207"/>
      <c r="C238" s="207"/>
      <c r="K238" s="207"/>
      <c r="L238" s="207"/>
      <c r="M238" s="207"/>
      <c r="R238" s="209"/>
      <c r="AB238" s="210"/>
      <c r="AG238" s="210"/>
      <c r="AJ238" s="210"/>
    </row>
    <row r="239" spans="1:36" s="208" customFormat="1" x14ac:dyDescent="0.25">
      <c r="A239" s="207"/>
      <c r="C239" s="207"/>
      <c r="K239" s="207"/>
      <c r="L239" s="207"/>
      <c r="M239" s="207"/>
      <c r="R239" s="209"/>
      <c r="AB239" s="210"/>
      <c r="AG239" s="210"/>
      <c r="AJ239" s="210"/>
    </row>
    <row r="240" spans="1:36" s="208" customFormat="1" x14ac:dyDescent="0.25">
      <c r="A240" s="207"/>
      <c r="C240" s="207"/>
      <c r="K240" s="207"/>
      <c r="L240" s="207"/>
      <c r="M240" s="207"/>
      <c r="R240" s="209"/>
      <c r="AB240" s="210"/>
      <c r="AG240" s="210"/>
      <c r="AJ240" s="210"/>
    </row>
    <row r="241" spans="1:36" s="208" customFormat="1" x14ac:dyDescent="0.25">
      <c r="A241" s="207"/>
      <c r="C241" s="207"/>
      <c r="K241" s="207"/>
      <c r="L241" s="207"/>
      <c r="M241" s="207"/>
      <c r="R241" s="209"/>
      <c r="AB241" s="210"/>
      <c r="AG241" s="210"/>
      <c r="AJ241" s="210"/>
    </row>
    <row r="242" spans="1:36" s="208" customFormat="1" x14ac:dyDescent="0.25">
      <c r="A242" s="207"/>
      <c r="C242" s="207"/>
      <c r="K242" s="207"/>
      <c r="L242" s="207"/>
      <c r="M242" s="207"/>
      <c r="R242" s="209"/>
      <c r="AB242" s="210"/>
      <c r="AG242" s="210"/>
      <c r="AJ242" s="210"/>
    </row>
    <row r="243" spans="1:36" s="208" customFormat="1" x14ac:dyDescent="0.25">
      <c r="A243" s="207"/>
      <c r="C243" s="207"/>
      <c r="K243" s="207"/>
      <c r="L243" s="207"/>
      <c r="M243" s="207"/>
      <c r="R243" s="209"/>
      <c r="AB243" s="210"/>
      <c r="AG243" s="210"/>
      <c r="AJ243" s="210"/>
    </row>
    <row r="244" spans="1:36" s="208" customFormat="1" x14ac:dyDescent="0.25">
      <c r="A244" s="207"/>
      <c r="C244" s="207"/>
      <c r="K244" s="207"/>
      <c r="L244" s="207"/>
      <c r="M244" s="207"/>
      <c r="R244" s="209"/>
      <c r="AB244" s="210"/>
      <c r="AG244" s="210"/>
      <c r="AJ244" s="210"/>
    </row>
    <row r="245" spans="1:36" s="208" customFormat="1" x14ac:dyDescent="0.25">
      <c r="A245" s="207"/>
      <c r="C245" s="207"/>
      <c r="K245" s="207"/>
      <c r="L245" s="207"/>
      <c r="M245" s="207"/>
      <c r="R245" s="209"/>
      <c r="AB245" s="210"/>
      <c r="AG245" s="210"/>
      <c r="AJ245" s="210"/>
    </row>
    <row r="246" spans="1:36" s="208" customFormat="1" x14ac:dyDescent="0.25">
      <c r="A246" s="207"/>
      <c r="C246" s="207"/>
      <c r="K246" s="207"/>
      <c r="L246" s="207"/>
      <c r="M246" s="207"/>
      <c r="R246" s="209"/>
      <c r="AB246" s="210"/>
      <c r="AG246" s="210"/>
      <c r="AJ246" s="210"/>
    </row>
    <row r="247" spans="1:36" s="208" customFormat="1" x14ac:dyDescent="0.25">
      <c r="A247" s="207"/>
      <c r="C247" s="207"/>
      <c r="K247" s="207"/>
      <c r="L247" s="207"/>
      <c r="M247" s="207"/>
      <c r="R247" s="209"/>
      <c r="AB247" s="210"/>
      <c r="AG247" s="210"/>
      <c r="AJ247" s="210"/>
    </row>
    <row r="248" spans="1:36" s="208" customFormat="1" x14ac:dyDescent="0.25">
      <c r="A248" s="207"/>
      <c r="C248" s="207"/>
      <c r="K248" s="207"/>
      <c r="L248" s="207"/>
      <c r="M248" s="207"/>
      <c r="R248" s="209"/>
      <c r="AB248" s="210"/>
      <c r="AG248" s="210"/>
      <c r="AJ248" s="210"/>
    </row>
    <row r="249" spans="1:36" s="208" customFormat="1" x14ac:dyDescent="0.25">
      <c r="A249" s="207"/>
      <c r="C249" s="207"/>
      <c r="K249" s="207"/>
      <c r="L249" s="207"/>
      <c r="M249" s="207"/>
      <c r="R249" s="209"/>
      <c r="AB249" s="210"/>
      <c r="AG249" s="210"/>
      <c r="AJ249" s="210"/>
    </row>
    <row r="250" spans="1:36" s="208" customFormat="1" x14ac:dyDescent="0.25">
      <c r="A250" s="207"/>
      <c r="C250" s="207"/>
      <c r="K250" s="207"/>
      <c r="L250" s="207"/>
      <c r="M250" s="207"/>
      <c r="R250" s="209"/>
      <c r="AB250" s="210"/>
      <c r="AG250" s="210"/>
      <c r="AJ250" s="210"/>
    </row>
    <row r="251" spans="1:36" s="208" customFormat="1" x14ac:dyDescent="0.25">
      <c r="A251" s="207"/>
      <c r="C251" s="207"/>
      <c r="K251" s="207"/>
      <c r="L251" s="207"/>
      <c r="M251" s="207"/>
      <c r="R251" s="209"/>
      <c r="AB251" s="210"/>
      <c r="AG251" s="210"/>
      <c r="AJ251" s="210"/>
    </row>
    <row r="252" spans="1:36" s="208" customFormat="1" x14ac:dyDescent="0.25">
      <c r="A252" s="207"/>
      <c r="C252" s="207"/>
      <c r="K252" s="207"/>
      <c r="L252" s="207"/>
      <c r="M252" s="207"/>
      <c r="R252" s="209"/>
      <c r="AB252" s="210"/>
      <c r="AG252" s="210"/>
      <c r="AJ252" s="210"/>
    </row>
    <row r="253" spans="1:36" s="208" customFormat="1" x14ac:dyDescent="0.25">
      <c r="A253" s="207"/>
      <c r="C253" s="207"/>
      <c r="K253" s="207"/>
      <c r="L253" s="207"/>
      <c r="M253" s="207"/>
      <c r="R253" s="209"/>
      <c r="AB253" s="210"/>
      <c r="AG253" s="210"/>
      <c r="AJ253" s="210"/>
    </row>
    <row r="254" spans="1:36" s="208" customFormat="1" x14ac:dyDescent="0.25">
      <c r="A254" s="207"/>
      <c r="C254" s="207"/>
      <c r="K254" s="207"/>
      <c r="L254" s="207"/>
      <c r="M254" s="207"/>
      <c r="R254" s="209"/>
      <c r="AB254" s="210"/>
      <c r="AG254" s="210"/>
      <c r="AJ254" s="210"/>
    </row>
    <row r="255" spans="1:36" s="208" customFormat="1" x14ac:dyDescent="0.25">
      <c r="A255" s="207"/>
      <c r="C255" s="207"/>
      <c r="K255" s="207"/>
      <c r="L255" s="207"/>
      <c r="M255" s="207"/>
      <c r="R255" s="209"/>
      <c r="AB255" s="210"/>
      <c r="AG255" s="210"/>
      <c r="AJ255" s="210"/>
    </row>
    <row r="256" spans="1:36" s="208" customFormat="1" x14ac:dyDescent="0.25">
      <c r="A256" s="207"/>
      <c r="C256" s="207"/>
      <c r="K256" s="207"/>
      <c r="L256" s="207"/>
      <c r="M256" s="207"/>
      <c r="R256" s="209"/>
      <c r="AB256" s="210"/>
      <c r="AG256" s="210"/>
      <c r="AJ256" s="210"/>
    </row>
    <row r="257" spans="1:36" s="208" customFormat="1" x14ac:dyDescent="0.25">
      <c r="A257" s="207"/>
      <c r="C257" s="207"/>
      <c r="K257" s="207"/>
      <c r="L257" s="207"/>
      <c r="M257" s="207"/>
      <c r="R257" s="209"/>
      <c r="AB257" s="210"/>
      <c r="AG257" s="210"/>
      <c r="AJ257" s="210"/>
    </row>
    <row r="258" spans="1:36" s="208" customFormat="1" x14ac:dyDescent="0.25">
      <c r="A258" s="207"/>
      <c r="C258" s="207"/>
      <c r="K258" s="207"/>
      <c r="L258" s="207"/>
      <c r="M258" s="207"/>
      <c r="R258" s="209"/>
      <c r="AB258" s="210"/>
      <c r="AG258" s="210"/>
      <c r="AJ258" s="210"/>
    </row>
    <row r="259" spans="1:36" s="208" customFormat="1" x14ac:dyDescent="0.25">
      <c r="A259" s="207"/>
      <c r="C259" s="207"/>
      <c r="K259" s="207"/>
      <c r="L259" s="207"/>
      <c r="M259" s="207"/>
      <c r="R259" s="209"/>
      <c r="AB259" s="210"/>
      <c r="AG259" s="210"/>
      <c r="AJ259" s="210"/>
    </row>
    <row r="260" spans="1:36" s="208" customFormat="1" x14ac:dyDescent="0.25">
      <c r="A260" s="207"/>
      <c r="C260" s="207"/>
      <c r="K260" s="207"/>
      <c r="L260" s="207"/>
      <c r="M260" s="207"/>
      <c r="R260" s="209"/>
      <c r="AB260" s="210"/>
      <c r="AG260" s="210"/>
      <c r="AJ260" s="210"/>
    </row>
    <row r="261" spans="1:36" s="208" customFormat="1" x14ac:dyDescent="0.25">
      <c r="A261" s="207"/>
      <c r="C261" s="207"/>
      <c r="K261" s="207"/>
      <c r="L261" s="207"/>
      <c r="M261" s="207"/>
      <c r="R261" s="209"/>
      <c r="AB261" s="210"/>
      <c r="AG261" s="210"/>
      <c r="AJ261" s="210"/>
    </row>
    <row r="262" spans="1:36" s="208" customFormat="1" x14ac:dyDescent="0.25">
      <c r="A262" s="207"/>
      <c r="C262" s="207"/>
      <c r="K262" s="207"/>
      <c r="L262" s="207"/>
      <c r="M262" s="207"/>
      <c r="R262" s="209"/>
      <c r="AB262" s="210"/>
      <c r="AG262" s="210"/>
      <c r="AJ262" s="210"/>
    </row>
    <row r="263" spans="1:36" s="208" customFormat="1" x14ac:dyDescent="0.25">
      <c r="A263" s="207"/>
      <c r="C263" s="207"/>
      <c r="K263" s="207"/>
      <c r="L263" s="207"/>
      <c r="M263" s="207"/>
      <c r="R263" s="209"/>
      <c r="AB263" s="210"/>
      <c r="AG263" s="210"/>
      <c r="AJ263" s="210"/>
    </row>
    <row r="264" spans="1:36" s="208" customFormat="1" x14ac:dyDescent="0.25">
      <c r="A264" s="207"/>
      <c r="C264" s="207"/>
      <c r="K264" s="207"/>
      <c r="L264" s="207"/>
      <c r="M264" s="207"/>
      <c r="R264" s="209"/>
      <c r="AB264" s="210"/>
      <c r="AG264" s="210"/>
      <c r="AJ264" s="210"/>
    </row>
    <row r="265" spans="1:36" s="208" customFormat="1" x14ac:dyDescent="0.25">
      <c r="A265" s="207"/>
      <c r="C265" s="207"/>
      <c r="K265" s="207"/>
      <c r="L265" s="207"/>
      <c r="M265" s="207"/>
      <c r="R265" s="209"/>
      <c r="AB265" s="210"/>
      <c r="AG265" s="210"/>
      <c r="AJ265" s="210"/>
    </row>
    <row r="266" spans="1:36" s="208" customFormat="1" x14ac:dyDescent="0.25">
      <c r="A266" s="207"/>
      <c r="C266" s="207"/>
      <c r="K266" s="207"/>
      <c r="L266" s="207"/>
      <c r="M266" s="207"/>
      <c r="R266" s="209"/>
      <c r="AB266" s="210"/>
      <c r="AG266" s="210"/>
      <c r="AJ266" s="210"/>
    </row>
    <row r="267" spans="1:36" s="208" customFormat="1" x14ac:dyDescent="0.25">
      <c r="A267" s="207"/>
      <c r="C267" s="207"/>
      <c r="K267" s="207"/>
      <c r="L267" s="207"/>
      <c r="M267" s="207"/>
      <c r="R267" s="209"/>
      <c r="AB267" s="210"/>
      <c r="AG267" s="210"/>
      <c r="AJ267" s="210"/>
    </row>
    <row r="268" spans="1:36" s="208" customFormat="1" x14ac:dyDescent="0.25">
      <c r="A268" s="207"/>
      <c r="C268" s="207"/>
      <c r="K268" s="207"/>
      <c r="L268" s="207"/>
      <c r="M268" s="207"/>
      <c r="R268" s="209"/>
      <c r="AB268" s="210"/>
      <c r="AG268" s="210"/>
      <c r="AJ268" s="210"/>
    </row>
    <row r="269" spans="1:36" s="208" customFormat="1" x14ac:dyDescent="0.25">
      <c r="A269" s="207"/>
      <c r="C269" s="207"/>
      <c r="K269" s="207"/>
      <c r="L269" s="207"/>
      <c r="M269" s="207"/>
      <c r="R269" s="209"/>
      <c r="AB269" s="210"/>
      <c r="AG269" s="210"/>
      <c r="AJ269" s="210"/>
    </row>
    <row r="270" spans="1:36" s="208" customFormat="1" x14ac:dyDescent="0.25">
      <c r="A270" s="207"/>
      <c r="C270" s="207"/>
      <c r="K270" s="207"/>
      <c r="L270" s="207"/>
      <c r="M270" s="207"/>
      <c r="R270" s="209"/>
      <c r="AB270" s="210"/>
      <c r="AG270" s="210"/>
      <c r="AJ270" s="210"/>
    </row>
    <row r="271" spans="1:36" s="208" customFormat="1" x14ac:dyDescent="0.25">
      <c r="A271" s="207"/>
      <c r="C271" s="207"/>
      <c r="K271" s="207"/>
      <c r="L271" s="207"/>
      <c r="M271" s="207"/>
      <c r="R271" s="209"/>
      <c r="AB271" s="210"/>
      <c r="AG271" s="210"/>
      <c r="AJ271" s="210"/>
    </row>
    <row r="272" spans="1:36" s="208" customFormat="1" x14ac:dyDescent="0.25">
      <c r="A272" s="207"/>
      <c r="C272" s="207"/>
      <c r="K272" s="207"/>
      <c r="L272" s="207"/>
      <c r="M272" s="207"/>
      <c r="R272" s="209"/>
      <c r="AB272" s="210"/>
      <c r="AG272" s="210"/>
      <c r="AJ272" s="210"/>
    </row>
    <row r="273" spans="1:36" s="208" customFormat="1" x14ac:dyDescent="0.25">
      <c r="A273" s="207"/>
      <c r="C273" s="207"/>
      <c r="K273" s="207"/>
      <c r="L273" s="207"/>
      <c r="M273" s="207"/>
      <c r="R273" s="209"/>
      <c r="AB273" s="210"/>
      <c r="AG273" s="210"/>
      <c r="AJ273" s="210"/>
    </row>
    <row r="274" spans="1:36" s="208" customFormat="1" x14ac:dyDescent="0.25">
      <c r="A274" s="207"/>
      <c r="C274" s="207"/>
      <c r="K274" s="207"/>
      <c r="L274" s="207"/>
      <c r="M274" s="207"/>
      <c r="R274" s="209"/>
      <c r="AB274" s="210"/>
      <c r="AG274" s="210"/>
      <c r="AJ274" s="210"/>
    </row>
    <row r="275" spans="1:36" s="208" customFormat="1" x14ac:dyDescent="0.25">
      <c r="A275" s="207"/>
      <c r="C275" s="207"/>
      <c r="K275" s="207"/>
      <c r="L275" s="207"/>
      <c r="M275" s="207"/>
      <c r="R275" s="209"/>
      <c r="AB275" s="210"/>
      <c r="AG275" s="210"/>
      <c r="AJ275" s="210"/>
    </row>
    <row r="276" spans="1:36" s="208" customFormat="1" x14ac:dyDescent="0.25">
      <c r="A276" s="207"/>
      <c r="C276" s="207"/>
      <c r="K276" s="207"/>
      <c r="L276" s="207"/>
      <c r="M276" s="207"/>
      <c r="R276" s="209"/>
      <c r="AB276" s="210"/>
      <c r="AG276" s="210"/>
      <c r="AJ276" s="210"/>
    </row>
    <row r="277" spans="1:36" s="208" customFormat="1" x14ac:dyDescent="0.25">
      <c r="A277" s="207"/>
      <c r="C277" s="207"/>
      <c r="K277" s="207"/>
      <c r="L277" s="207"/>
      <c r="M277" s="207"/>
      <c r="R277" s="209"/>
      <c r="AB277" s="210"/>
      <c r="AG277" s="210"/>
      <c r="AJ277" s="210"/>
    </row>
    <row r="278" spans="1:36" s="208" customFormat="1" x14ac:dyDescent="0.25">
      <c r="A278" s="207"/>
      <c r="C278" s="207"/>
      <c r="K278" s="207"/>
      <c r="L278" s="207"/>
      <c r="M278" s="207"/>
      <c r="R278" s="209"/>
      <c r="AB278" s="210"/>
      <c r="AG278" s="210"/>
      <c r="AJ278" s="210"/>
    </row>
    <row r="279" spans="1:36" s="208" customFormat="1" x14ac:dyDescent="0.25">
      <c r="A279" s="207"/>
      <c r="C279" s="207"/>
      <c r="K279" s="207"/>
      <c r="L279" s="207"/>
      <c r="M279" s="207"/>
      <c r="R279" s="209"/>
      <c r="AB279" s="210"/>
      <c r="AG279" s="210"/>
      <c r="AJ279" s="210"/>
    </row>
    <row r="280" spans="1:36" s="208" customFormat="1" x14ac:dyDescent="0.25">
      <c r="A280" s="207"/>
      <c r="C280" s="207"/>
      <c r="K280" s="207"/>
      <c r="L280" s="207"/>
      <c r="M280" s="207"/>
      <c r="R280" s="209"/>
      <c r="AB280" s="210"/>
      <c r="AG280" s="210"/>
      <c r="AJ280" s="210"/>
    </row>
    <row r="281" spans="1:36" s="208" customFormat="1" x14ac:dyDescent="0.25">
      <c r="A281" s="207"/>
      <c r="C281" s="207"/>
      <c r="K281" s="207"/>
      <c r="L281" s="207"/>
      <c r="M281" s="207"/>
      <c r="R281" s="209"/>
      <c r="AB281" s="210"/>
      <c r="AG281" s="210"/>
      <c r="AJ281" s="210"/>
    </row>
    <row r="282" spans="1:36" s="208" customFormat="1" x14ac:dyDescent="0.25">
      <c r="A282" s="207"/>
      <c r="C282" s="207"/>
      <c r="K282" s="207"/>
      <c r="L282" s="207"/>
      <c r="M282" s="207"/>
      <c r="R282" s="209"/>
      <c r="AB282" s="210"/>
      <c r="AG282" s="210"/>
      <c r="AJ282" s="210"/>
    </row>
    <row r="283" spans="1:36" s="208" customFormat="1" x14ac:dyDescent="0.25">
      <c r="A283" s="207"/>
      <c r="C283" s="207"/>
      <c r="K283" s="207"/>
      <c r="L283" s="207"/>
      <c r="M283" s="207"/>
      <c r="R283" s="209"/>
      <c r="AB283" s="210"/>
      <c r="AG283" s="210"/>
      <c r="AJ283" s="210"/>
    </row>
    <row r="284" spans="1:36" s="208" customFormat="1" x14ac:dyDescent="0.25">
      <c r="A284" s="207"/>
      <c r="C284" s="207"/>
      <c r="K284" s="207"/>
      <c r="L284" s="207"/>
      <c r="M284" s="207"/>
      <c r="R284" s="209"/>
      <c r="AB284" s="210"/>
      <c r="AG284" s="210"/>
      <c r="AJ284" s="210"/>
    </row>
    <row r="285" spans="1:36" s="208" customFormat="1" x14ac:dyDescent="0.25">
      <c r="A285" s="207"/>
      <c r="C285" s="207"/>
      <c r="K285" s="207"/>
      <c r="L285" s="207"/>
      <c r="M285" s="207"/>
      <c r="R285" s="209"/>
      <c r="AB285" s="210"/>
      <c r="AG285" s="210"/>
      <c r="AJ285" s="210"/>
    </row>
    <row r="286" spans="1:36" s="208" customFormat="1" x14ac:dyDescent="0.25">
      <c r="A286" s="207"/>
      <c r="C286" s="207"/>
      <c r="K286" s="207"/>
      <c r="L286" s="207"/>
      <c r="M286" s="207"/>
      <c r="R286" s="209"/>
      <c r="AB286" s="210"/>
      <c r="AG286" s="210"/>
      <c r="AJ286" s="210"/>
    </row>
    <row r="287" spans="1:36" s="208" customFormat="1" x14ac:dyDescent="0.25">
      <c r="A287" s="207"/>
      <c r="C287" s="207"/>
      <c r="K287" s="207"/>
      <c r="L287" s="207"/>
      <c r="M287" s="207"/>
      <c r="R287" s="209"/>
      <c r="AB287" s="210"/>
      <c r="AG287" s="210"/>
      <c r="AJ287" s="210"/>
    </row>
    <row r="288" spans="1:36" s="208" customFormat="1" x14ac:dyDescent="0.25">
      <c r="A288" s="207"/>
      <c r="C288" s="207"/>
      <c r="K288" s="207"/>
      <c r="L288" s="207"/>
      <c r="M288" s="207"/>
      <c r="R288" s="209"/>
      <c r="AB288" s="210"/>
      <c r="AG288" s="210"/>
      <c r="AJ288" s="210"/>
    </row>
    <row r="289" spans="1:36" s="208" customFormat="1" x14ac:dyDescent="0.25">
      <c r="A289" s="207"/>
      <c r="C289" s="207"/>
      <c r="K289" s="207"/>
      <c r="L289" s="207"/>
      <c r="M289" s="207"/>
      <c r="R289" s="209"/>
      <c r="AB289" s="210"/>
      <c r="AG289" s="210"/>
      <c r="AJ289" s="210"/>
    </row>
    <row r="290" spans="1:36" s="208" customFormat="1" x14ac:dyDescent="0.25">
      <c r="A290" s="207"/>
      <c r="C290" s="207"/>
      <c r="K290" s="207"/>
      <c r="L290" s="207"/>
      <c r="M290" s="207"/>
      <c r="R290" s="209"/>
      <c r="AB290" s="210"/>
      <c r="AG290" s="210"/>
      <c r="AJ290" s="210"/>
    </row>
    <row r="291" spans="1:36" s="208" customFormat="1" x14ac:dyDescent="0.25">
      <c r="A291" s="207"/>
      <c r="C291" s="207"/>
      <c r="K291" s="207"/>
      <c r="L291" s="207"/>
      <c r="M291" s="207"/>
      <c r="R291" s="209"/>
      <c r="AB291" s="210"/>
      <c r="AG291" s="210"/>
      <c r="AJ291" s="210"/>
    </row>
    <row r="292" spans="1:36" s="208" customFormat="1" x14ac:dyDescent="0.25">
      <c r="A292" s="207"/>
      <c r="C292" s="207"/>
      <c r="K292" s="207"/>
      <c r="L292" s="207"/>
      <c r="M292" s="207"/>
      <c r="R292" s="209"/>
      <c r="AB292" s="210"/>
      <c r="AG292" s="210"/>
      <c r="AJ292" s="210"/>
    </row>
    <row r="293" spans="1:36" s="208" customFormat="1" x14ac:dyDescent="0.25">
      <c r="A293" s="207"/>
      <c r="C293" s="207"/>
      <c r="K293" s="207"/>
      <c r="L293" s="207"/>
      <c r="M293" s="207"/>
      <c r="R293" s="209"/>
      <c r="AB293" s="210"/>
      <c r="AG293" s="210"/>
      <c r="AJ293" s="210"/>
    </row>
    <row r="294" spans="1:36" s="208" customFormat="1" x14ac:dyDescent="0.25">
      <c r="A294" s="207"/>
      <c r="C294" s="207"/>
      <c r="K294" s="207"/>
      <c r="L294" s="207"/>
      <c r="M294" s="207"/>
      <c r="R294" s="209"/>
      <c r="AB294" s="210"/>
      <c r="AG294" s="210"/>
      <c r="AJ294" s="210"/>
    </row>
    <row r="295" spans="1:36" s="208" customFormat="1" x14ac:dyDescent="0.25">
      <c r="A295" s="207"/>
      <c r="C295" s="207"/>
      <c r="K295" s="207"/>
      <c r="L295" s="207"/>
      <c r="M295" s="207"/>
      <c r="R295" s="209"/>
      <c r="AB295" s="210"/>
      <c r="AG295" s="210"/>
      <c r="AJ295" s="210"/>
    </row>
    <row r="296" spans="1:36" s="208" customFormat="1" x14ac:dyDescent="0.25">
      <c r="A296" s="207"/>
      <c r="C296" s="207"/>
      <c r="K296" s="207"/>
      <c r="L296" s="207"/>
      <c r="M296" s="207"/>
      <c r="R296" s="209"/>
      <c r="AB296" s="210"/>
      <c r="AG296" s="210"/>
      <c r="AJ296" s="210"/>
    </row>
    <row r="297" spans="1:36" s="208" customFormat="1" x14ac:dyDescent="0.25">
      <c r="A297" s="207"/>
      <c r="C297" s="207"/>
      <c r="K297" s="207"/>
      <c r="L297" s="207"/>
      <c r="M297" s="207"/>
      <c r="R297" s="209"/>
      <c r="AB297" s="210"/>
      <c r="AG297" s="210"/>
      <c r="AJ297" s="210"/>
    </row>
    <row r="298" spans="1:36" s="208" customFormat="1" x14ac:dyDescent="0.25">
      <c r="A298" s="207"/>
      <c r="C298" s="207"/>
      <c r="K298" s="207"/>
      <c r="L298" s="207"/>
      <c r="M298" s="207"/>
      <c r="R298" s="209"/>
      <c r="AB298" s="210"/>
      <c r="AG298" s="210"/>
      <c r="AJ298" s="210"/>
    </row>
    <row r="299" spans="1:36" s="208" customFormat="1" x14ac:dyDescent="0.25">
      <c r="A299" s="207"/>
      <c r="C299" s="207"/>
      <c r="K299" s="207"/>
      <c r="L299" s="207"/>
      <c r="M299" s="207"/>
      <c r="R299" s="209"/>
      <c r="AB299" s="210"/>
      <c r="AG299" s="210"/>
      <c r="AJ299" s="210"/>
    </row>
    <row r="300" spans="1:36" s="208" customFormat="1" x14ac:dyDescent="0.25">
      <c r="A300" s="207"/>
      <c r="C300" s="207"/>
      <c r="K300" s="207"/>
      <c r="L300" s="207"/>
      <c r="M300" s="207"/>
      <c r="R300" s="209"/>
      <c r="AB300" s="210"/>
      <c r="AG300" s="210"/>
      <c r="AJ300" s="210"/>
    </row>
    <row r="301" spans="1:36" s="208" customFormat="1" x14ac:dyDescent="0.25">
      <c r="A301" s="207"/>
      <c r="C301" s="207"/>
      <c r="K301" s="207"/>
      <c r="L301" s="207"/>
      <c r="M301" s="207"/>
      <c r="R301" s="209"/>
      <c r="AB301" s="210"/>
      <c r="AG301" s="210"/>
      <c r="AJ301" s="210"/>
    </row>
    <row r="302" spans="1:36" s="208" customFormat="1" x14ac:dyDescent="0.25">
      <c r="A302" s="207"/>
      <c r="C302" s="207"/>
      <c r="K302" s="207"/>
      <c r="L302" s="207"/>
      <c r="M302" s="207"/>
      <c r="R302" s="209"/>
      <c r="AB302" s="210"/>
      <c r="AG302" s="210"/>
      <c r="AJ302" s="210"/>
    </row>
    <row r="303" spans="1:36" s="208" customFormat="1" x14ac:dyDescent="0.25">
      <c r="A303" s="207"/>
      <c r="C303" s="207"/>
      <c r="K303" s="207"/>
      <c r="L303" s="207"/>
      <c r="M303" s="207"/>
      <c r="R303" s="209"/>
      <c r="AB303" s="210"/>
      <c r="AG303" s="210"/>
      <c r="AJ303" s="210"/>
    </row>
    <row r="304" spans="1:36" s="208" customFormat="1" x14ac:dyDescent="0.25">
      <c r="A304" s="207"/>
      <c r="C304" s="207"/>
      <c r="K304" s="207"/>
      <c r="L304" s="207"/>
      <c r="M304" s="207"/>
      <c r="R304" s="209"/>
      <c r="AB304" s="210"/>
      <c r="AG304" s="210"/>
      <c r="AJ304" s="210"/>
    </row>
    <row r="305" spans="1:36" s="208" customFormat="1" x14ac:dyDescent="0.25">
      <c r="A305" s="207"/>
      <c r="C305" s="207"/>
      <c r="K305" s="207"/>
      <c r="L305" s="207"/>
      <c r="M305" s="207"/>
      <c r="R305" s="209"/>
      <c r="AB305" s="210"/>
      <c r="AG305" s="210"/>
      <c r="AJ305" s="210"/>
    </row>
    <row r="306" spans="1:36" s="208" customFormat="1" x14ac:dyDescent="0.25">
      <c r="A306" s="207"/>
      <c r="C306" s="207"/>
      <c r="K306" s="207"/>
      <c r="L306" s="207"/>
      <c r="M306" s="207"/>
      <c r="R306" s="209"/>
      <c r="AB306" s="210"/>
      <c r="AG306" s="210"/>
      <c r="AJ306" s="210"/>
    </row>
    <row r="307" spans="1:36" s="208" customFormat="1" x14ac:dyDescent="0.25">
      <c r="A307" s="207"/>
      <c r="C307" s="207"/>
      <c r="K307" s="207"/>
      <c r="L307" s="207"/>
      <c r="M307" s="207"/>
      <c r="R307" s="209"/>
      <c r="AB307" s="210"/>
      <c r="AG307" s="210"/>
      <c r="AJ307" s="210"/>
    </row>
    <row r="308" spans="1:36" s="208" customFormat="1" x14ac:dyDescent="0.25">
      <c r="A308" s="207"/>
      <c r="C308" s="207"/>
      <c r="K308" s="207"/>
      <c r="L308" s="207"/>
      <c r="M308" s="207"/>
      <c r="R308" s="209"/>
      <c r="AB308" s="210"/>
      <c r="AG308" s="210"/>
      <c r="AJ308" s="210"/>
    </row>
    <row r="309" spans="1:36" s="208" customFormat="1" x14ac:dyDescent="0.25">
      <c r="A309" s="207"/>
      <c r="C309" s="207"/>
      <c r="K309" s="207"/>
      <c r="L309" s="207"/>
      <c r="M309" s="207"/>
      <c r="R309" s="209"/>
      <c r="AB309" s="210"/>
      <c r="AG309" s="210"/>
      <c r="AJ309" s="210"/>
    </row>
    <row r="310" spans="1:36" s="208" customFormat="1" x14ac:dyDescent="0.25">
      <c r="A310" s="207"/>
      <c r="C310" s="207"/>
      <c r="K310" s="207"/>
      <c r="L310" s="207"/>
      <c r="M310" s="207"/>
      <c r="R310" s="209"/>
      <c r="AB310" s="210"/>
      <c r="AG310" s="210"/>
      <c r="AJ310" s="210"/>
    </row>
    <row r="311" spans="1:36" s="208" customFormat="1" x14ac:dyDescent="0.25">
      <c r="A311" s="207"/>
      <c r="C311" s="207"/>
      <c r="K311" s="207"/>
      <c r="L311" s="207"/>
      <c r="M311" s="207"/>
      <c r="R311" s="209"/>
      <c r="AB311" s="210"/>
      <c r="AG311" s="210"/>
      <c r="AJ311" s="210"/>
    </row>
    <row r="312" spans="1:36" s="208" customFormat="1" x14ac:dyDescent="0.25">
      <c r="A312" s="207"/>
      <c r="C312" s="207"/>
      <c r="K312" s="207"/>
      <c r="L312" s="207"/>
      <c r="M312" s="207"/>
      <c r="R312" s="209"/>
      <c r="AB312" s="210"/>
      <c r="AG312" s="210"/>
      <c r="AJ312" s="210"/>
    </row>
    <row r="313" spans="1:36" s="208" customFormat="1" x14ac:dyDescent="0.25">
      <c r="A313" s="207"/>
      <c r="C313" s="207"/>
      <c r="K313" s="207"/>
      <c r="L313" s="207"/>
      <c r="M313" s="207"/>
      <c r="R313" s="209"/>
      <c r="AB313" s="210"/>
      <c r="AG313" s="210"/>
      <c r="AJ313" s="210"/>
    </row>
    <row r="314" spans="1:36" s="208" customFormat="1" x14ac:dyDescent="0.25">
      <c r="A314" s="207"/>
      <c r="C314" s="207"/>
      <c r="K314" s="207"/>
      <c r="L314" s="207"/>
      <c r="M314" s="207"/>
      <c r="R314" s="209"/>
      <c r="AB314" s="210"/>
      <c r="AG314" s="210"/>
      <c r="AJ314" s="210"/>
    </row>
    <row r="315" spans="1:36" s="208" customFormat="1" x14ac:dyDescent="0.25">
      <c r="A315" s="207"/>
      <c r="C315" s="207"/>
      <c r="K315" s="207"/>
      <c r="L315" s="207"/>
      <c r="M315" s="207"/>
      <c r="R315" s="209"/>
      <c r="AB315" s="210"/>
      <c r="AG315" s="210"/>
      <c r="AJ315" s="210"/>
    </row>
    <row r="316" spans="1:36" s="208" customFormat="1" x14ac:dyDescent="0.25">
      <c r="A316" s="207"/>
      <c r="C316" s="207"/>
      <c r="K316" s="207"/>
      <c r="L316" s="207"/>
      <c r="M316" s="207"/>
      <c r="R316" s="209"/>
      <c r="AB316" s="210"/>
      <c r="AG316" s="210"/>
      <c r="AJ316" s="210"/>
    </row>
    <row r="317" spans="1:36" s="208" customFormat="1" x14ac:dyDescent="0.25">
      <c r="A317" s="207"/>
      <c r="C317" s="207"/>
      <c r="K317" s="207"/>
      <c r="L317" s="207"/>
      <c r="M317" s="207"/>
      <c r="R317" s="209"/>
      <c r="AB317" s="210"/>
      <c r="AG317" s="210"/>
      <c r="AJ317" s="210"/>
    </row>
    <row r="318" spans="1:36" s="208" customFormat="1" x14ac:dyDescent="0.25">
      <c r="A318" s="207"/>
      <c r="C318" s="207"/>
      <c r="K318" s="207"/>
      <c r="L318" s="207"/>
      <c r="M318" s="207"/>
      <c r="R318" s="209"/>
      <c r="AB318" s="210"/>
      <c r="AG318" s="210"/>
      <c r="AJ318" s="210"/>
    </row>
    <row r="319" spans="1:36" s="208" customFormat="1" x14ac:dyDescent="0.25">
      <c r="A319" s="207"/>
      <c r="C319" s="207"/>
      <c r="K319" s="207"/>
      <c r="L319" s="207"/>
      <c r="M319" s="207"/>
      <c r="R319" s="209"/>
      <c r="AB319" s="210"/>
      <c r="AG319" s="210"/>
      <c r="AJ319" s="210"/>
    </row>
    <row r="320" spans="1:36" s="208" customFormat="1" x14ac:dyDescent="0.25">
      <c r="A320" s="207"/>
      <c r="C320" s="207"/>
      <c r="K320" s="207"/>
      <c r="L320" s="207"/>
      <c r="M320" s="207"/>
      <c r="R320" s="209"/>
      <c r="AB320" s="210"/>
      <c r="AG320" s="210"/>
      <c r="AJ320" s="210"/>
    </row>
    <row r="321" spans="1:36" s="208" customFormat="1" x14ac:dyDescent="0.25">
      <c r="A321" s="207"/>
      <c r="C321" s="207"/>
      <c r="K321" s="207"/>
      <c r="L321" s="207"/>
      <c r="M321" s="207"/>
      <c r="R321" s="209"/>
      <c r="AB321" s="210"/>
      <c r="AG321" s="210"/>
      <c r="AJ321" s="210"/>
    </row>
    <row r="322" spans="1:36" s="208" customFormat="1" x14ac:dyDescent="0.25">
      <c r="A322" s="207"/>
      <c r="C322" s="207"/>
      <c r="K322" s="207"/>
      <c r="L322" s="207"/>
      <c r="M322" s="207"/>
      <c r="R322" s="209"/>
      <c r="AB322" s="210"/>
      <c r="AG322" s="210"/>
      <c r="AJ322" s="210"/>
    </row>
    <row r="323" spans="1:36" s="208" customFormat="1" x14ac:dyDescent="0.25">
      <c r="A323" s="207"/>
      <c r="C323" s="207"/>
      <c r="K323" s="207"/>
      <c r="L323" s="207"/>
      <c r="M323" s="207"/>
      <c r="R323" s="209"/>
      <c r="AB323" s="210"/>
      <c r="AG323" s="210"/>
      <c r="AJ323" s="210"/>
    </row>
    <row r="324" spans="1:36" s="208" customFormat="1" x14ac:dyDescent="0.25">
      <c r="A324" s="207"/>
      <c r="C324" s="207"/>
      <c r="K324" s="207"/>
      <c r="L324" s="207"/>
      <c r="M324" s="207"/>
      <c r="R324" s="209"/>
      <c r="AB324" s="210"/>
      <c r="AG324" s="210"/>
      <c r="AJ324" s="210"/>
    </row>
    <row r="325" spans="1:36" s="208" customFormat="1" x14ac:dyDescent="0.25">
      <c r="A325" s="207"/>
      <c r="C325" s="207"/>
      <c r="K325" s="207"/>
      <c r="L325" s="207"/>
      <c r="M325" s="207"/>
      <c r="R325" s="209"/>
      <c r="AB325" s="210"/>
      <c r="AG325" s="210"/>
      <c r="AJ325" s="210"/>
    </row>
    <row r="326" spans="1:36" s="208" customFormat="1" x14ac:dyDescent="0.25">
      <c r="A326" s="207"/>
      <c r="C326" s="207"/>
      <c r="K326" s="207"/>
      <c r="L326" s="207"/>
      <c r="M326" s="207"/>
      <c r="R326" s="209"/>
      <c r="AB326" s="210"/>
      <c r="AG326" s="210"/>
      <c r="AJ326" s="210"/>
    </row>
    <row r="327" spans="1:36" s="208" customFormat="1" x14ac:dyDescent="0.25">
      <c r="A327" s="207"/>
      <c r="C327" s="207"/>
      <c r="K327" s="207"/>
      <c r="L327" s="207"/>
      <c r="M327" s="207"/>
      <c r="R327" s="209"/>
      <c r="AB327" s="210"/>
      <c r="AG327" s="210"/>
      <c r="AJ327" s="210"/>
    </row>
    <row r="328" spans="1:36" s="208" customFormat="1" x14ac:dyDescent="0.25">
      <c r="A328" s="207"/>
      <c r="C328" s="207"/>
      <c r="K328" s="207"/>
      <c r="L328" s="207"/>
      <c r="M328" s="207"/>
      <c r="R328" s="209"/>
      <c r="AB328" s="210"/>
      <c r="AG328" s="210"/>
      <c r="AJ328" s="210"/>
    </row>
    <row r="329" spans="1:36" s="208" customFormat="1" x14ac:dyDescent="0.25">
      <c r="A329" s="207"/>
      <c r="C329" s="207"/>
      <c r="K329" s="207"/>
      <c r="L329" s="207"/>
      <c r="M329" s="207"/>
      <c r="R329" s="209"/>
      <c r="AB329" s="210"/>
      <c r="AG329" s="210"/>
      <c r="AJ329" s="210"/>
    </row>
    <row r="330" spans="1:36" s="208" customFormat="1" x14ac:dyDescent="0.25">
      <c r="A330" s="207"/>
      <c r="C330" s="207"/>
      <c r="K330" s="207"/>
      <c r="L330" s="207"/>
      <c r="M330" s="207"/>
      <c r="R330" s="209"/>
      <c r="AB330" s="210"/>
      <c r="AG330" s="210"/>
      <c r="AJ330" s="210"/>
    </row>
    <row r="331" spans="1:36" s="208" customFormat="1" x14ac:dyDescent="0.25">
      <c r="A331" s="207"/>
      <c r="C331" s="207"/>
      <c r="K331" s="207"/>
      <c r="L331" s="207"/>
      <c r="M331" s="207"/>
      <c r="R331" s="209"/>
      <c r="AB331" s="210"/>
      <c r="AG331" s="210"/>
      <c r="AJ331" s="210"/>
    </row>
    <row r="332" spans="1:36" s="208" customFormat="1" x14ac:dyDescent="0.25">
      <c r="A332" s="207"/>
      <c r="C332" s="207"/>
      <c r="K332" s="207"/>
      <c r="L332" s="207"/>
      <c r="M332" s="207"/>
      <c r="R332" s="209"/>
      <c r="AB332" s="210"/>
      <c r="AG332" s="210"/>
      <c r="AJ332" s="210"/>
    </row>
    <row r="333" spans="1:36" s="208" customFormat="1" x14ac:dyDescent="0.25">
      <c r="A333" s="207"/>
      <c r="C333" s="207"/>
      <c r="K333" s="207"/>
      <c r="L333" s="207"/>
      <c r="M333" s="207"/>
      <c r="R333" s="209"/>
      <c r="AB333" s="210"/>
      <c r="AG333" s="210"/>
      <c r="AJ333" s="210"/>
    </row>
    <row r="334" spans="1:36" s="208" customFormat="1" x14ac:dyDescent="0.25">
      <c r="A334" s="207"/>
      <c r="C334" s="207"/>
      <c r="K334" s="207"/>
      <c r="L334" s="207"/>
      <c r="M334" s="207"/>
      <c r="R334" s="209"/>
      <c r="AB334" s="210"/>
      <c r="AG334" s="210"/>
      <c r="AJ334" s="210"/>
    </row>
    <row r="335" spans="1:36" s="208" customFormat="1" x14ac:dyDescent="0.25">
      <c r="A335" s="207"/>
      <c r="C335" s="207"/>
      <c r="K335" s="207"/>
      <c r="L335" s="207"/>
      <c r="M335" s="207"/>
      <c r="R335" s="209"/>
      <c r="AB335" s="210"/>
      <c r="AG335" s="210"/>
      <c r="AJ335" s="210"/>
    </row>
    <row r="336" spans="1:36" s="208" customFormat="1" x14ac:dyDescent="0.25">
      <c r="A336" s="207"/>
      <c r="C336" s="207"/>
      <c r="K336" s="207"/>
      <c r="L336" s="207"/>
      <c r="M336" s="207"/>
      <c r="R336" s="209"/>
      <c r="AB336" s="210"/>
      <c r="AG336" s="210"/>
      <c r="AJ336" s="210"/>
    </row>
    <row r="337" spans="1:36" s="208" customFormat="1" x14ac:dyDescent="0.25">
      <c r="A337" s="207"/>
      <c r="C337" s="207"/>
      <c r="K337" s="207"/>
      <c r="L337" s="207"/>
      <c r="M337" s="207"/>
      <c r="R337" s="209"/>
      <c r="AB337" s="210"/>
      <c r="AG337" s="210"/>
      <c r="AJ337" s="210"/>
    </row>
    <row r="338" spans="1:36" s="208" customFormat="1" x14ac:dyDescent="0.25">
      <c r="A338" s="207"/>
      <c r="C338" s="207"/>
      <c r="K338" s="207"/>
      <c r="L338" s="207"/>
      <c r="M338" s="207"/>
      <c r="R338" s="209"/>
      <c r="AB338" s="210"/>
      <c r="AG338" s="210"/>
      <c r="AJ338" s="210"/>
    </row>
    <row r="339" spans="1:36" s="208" customFormat="1" x14ac:dyDescent="0.25">
      <c r="A339" s="207"/>
      <c r="C339" s="207"/>
      <c r="K339" s="207"/>
      <c r="L339" s="207"/>
      <c r="M339" s="207"/>
      <c r="R339" s="209"/>
      <c r="AB339" s="210"/>
      <c r="AG339" s="210"/>
      <c r="AJ339" s="210"/>
    </row>
    <row r="340" spans="1:36" s="208" customFormat="1" x14ac:dyDescent="0.25">
      <c r="A340" s="207"/>
      <c r="C340" s="207"/>
      <c r="K340" s="207"/>
      <c r="L340" s="207"/>
      <c r="M340" s="207"/>
      <c r="R340" s="209"/>
      <c r="AB340" s="210"/>
      <c r="AG340" s="210"/>
      <c r="AJ340" s="210"/>
    </row>
    <row r="341" spans="1:36" s="208" customFormat="1" x14ac:dyDescent="0.25">
      <c r="A341" s="207"/>
      <c r="C341" s="207"/>
      <c r="K341" s="207"/>
      <c r="L341" s="207"/>
      <c r="M341" s="207"/>
      <c r="R341" s="209"/>
      <c r="AB341" s="210"/>
      <c r="AG341" s="210"/>
      <c r="AJ341" s="210"/>
    </row>
    <row r="342" spans="1:36" s="208" customFormat="1" x14ac:dyDescent="0.25">
      <c r="A342" s="207"/>
      <c r="C342" s="207"/>
      <c r="K342" s="207"/>
      <c r="L342" s="207"/>
      <c r="M342" s="207"/>
      <c r="R342" s="209"/>
      <c r="AB342" s="210"/>
      <c r="AG342" s="210"/>
      <c r="AJ342" s="210"/>
    </row>
    <row r="343" spans="1:36" s="208" customFormat="1" x14ac:dyDescent="0.25">
      <c r="A343" s="207"/>
      <c r="C343" s="207"/>
      <c r="K343" s="207"/>
      <c r="L343" s="207"/>
      <c r="M343" s="207"/>
      <c r="R343" s="209"/>
      <c r="AB343" s="210"/>
      <c r="AG343" s="210"/>
      <c r="AJ343" s="210"/>
    </row>
    <row r="344" spans="1:36" s="208" customFormat="1" x14ac:dyDescent="0.25">
      <c r="A344" s="207"/>
      <c r="C344" s="207"/>
      <c r="K344" s="207"/>
      <c r="L344" s="207"/>
      <c r="M344" s="207"/>
      <c r="R344" s="209"/>
      <c r="AB344" s="210"/>
      <c r="AG344" s="210"/>
      <c r="AJ344" s="210"/>
    </row>
    <row r="345" spans="1:36" s="208" customFormat="1" x14ac:dyDescent="0.25">
      <c r="A345" s="207"/>
      <c r="C345" s="207"/>
      <c r="K345" s="207"/>
      <c r="L345" s="207"/>
      <c r="M345" s="207"/>
      <c r="R345" s="209"/>
      <c r="AB345" s="210"/>
      <c r="AG345" s="210"/>
      <c r="AJ345" s="210"/>
    </row>
    <row r="346" spans="1:36" s="208" customFormat="1" x14ac:dyDescent="0.25">
      <c r="A346" s="207"/>
      <c r="C346" s="207"/>
      <c r="K346" s="207"/>
      <c r="L346" s="207"/>
      <c r="M346" s="207"/>
      <c r="R346" s="209"/>
      <c r="AB346" s="210"/>
      <c r="AG346" s="210"/>
      <c r="AJ346" s="210"/>
    </row>
    <row r="347" spans="1:36" s="208" customFormat="1" x14ac:dyDescent="0.25">
      <c r="A347" s="207"/>
      <c r="C347" s="207"/>
      <c r="K347" s="207"/>
      <c r="L347" s="207"/>
      <c r="M347" s="207"/>
      <c r="R347" s="209"/>
      <c r="AB347" s="210"/>
      <c r="AG347" s="210"/>
      <c r="AJ347" s="210"/>
    </row>
    <row r="348" spans="1:36" s="208" customFormat="1" x14ac:dyDescent="0.25">
      <c r="A348" s="207"/>
      <c r="C348" s="207"/>
      <c r="K348" s="207"/>
      <c r="L348" s="207"/>
      <c r="M348" s="207"/>
      <c r="R348" s="209"/>
      <c r="AB348" s="210"/>
      <c r="AG348" s="210"/>
      <c r="AJ348" s="210"/>
    </row>
    <row r="349" spans="1:36" s="208" customFormat="1" x14ac:dyDescent="0.25">
      <c r="A349" s="207"/>
      <c r="C349" s="207"/>
      <c r="K349" s="207"/>
      <c r="L349" s="207"/>
      <c r="M349" s="207"/>
      <c r="R349" s="209"/>
      <c r="AB349" s="210"/>
      <c r="AG349" s="210"/>
      <c r="AJ349" s="210"/>
    </row>
    <row r="350" spans="1:36" s="208" customFormat="1" x14ac:dyDescent="0.25">
      <c r="A350" s="207"/>
      <c r="C350" s="207"/>
      <c r="K350" s="207"/>
      <c r="L350" s="207"/>
      <c r="M350" s="207"/>
      <c r="R350" s="209"/>
      <c r="AB350" s="210"/>
      <c r="AG350" s="210"/>
      <c r="AJ350" s="210"/>
    </row>
    <row r="351" spans="1:36" s="208" customFormat="1" x14ac:dyDescent="0.25">
      <c r="A351" s="207"/>
      <c r="C351" s="207"/>
      <c r="K351" s="207"/>
      <c r="L351" s="207"/>
      <c r="M351" s="207"/>
      <c r="R351" s="209"/>
      <c r="AB351" s="210"/>
      <c r="AG351" s="210"/>
      <c r="AJ351" s="210"/>
    </row>
    <row r="352" spans="1:36" s="208" customFormat="1" x14ac:dyDescent="0.25">
      <c r="A352" s="207"/>
      <c r="C352" s="207"/>
      <c r="K352" s="207"/>
      <c r="L352" s="207"/>
      <c r="M352" s="207"/>
      <c r="R352" s="209"/>
      <c r="AB352" s="210"/>
      <c r="AG352" s="210"/>
      <c r="AJ352" s="210"/>
    </row>
    <row r="353" spans="1:36" s="208" customFormat="1" x14ac:dyDescent="0.25">
      <c r="A353" s="207"/>
      <c r="C353" s="207"/>
      <c r="K353" s="207"/>
      <c r="L353" s="207"/>
      <c r="M353" s="207"/>
      <c r="R353" s="209"/>
      <c r="AB353" s="210"/>
      <c r="AG353" s="210"/>
      <c r="AJ353" s="210"/>
    </row>
    <row r="354" spans="1:36" s="208" customFormat="1" x14ac:dyDescent="0.25">
      <c r="A354" s="207"/>
      <c r="C354" s="207"/>
      <c r="K354" s="207"/>
      <c r="L354" s="207"/>
      <c r="M354" s="207"/>
      <c r="R354" s="209"/>
      <c r="AB354" s="210"/>
      <c r="AG354" s="210"/>
      <c r="AJ354" s="210"/>
    </row>
    <row r="355" spans="1:36" s="208" customFormat="1" x14ac:dyDescent="0.25">
      <c r="A355" s="207"/>
      <c r="C355" s="207"/>
      <c r="K355" s="207"/>
      <c r="L355" s="207"/>
      <c r="M355" s="207"/>
      <c r="R355" s="209"/>
      <c r="AB355" s="210"/>
      <c r="AG355" s="210"/>
      <c r="AJ355" s="210"/>
    </row>
    <row r="356" spans="1:36" s="208" customFormat="1" x14ac:dyDescent="0.25">
      <c r="A356" s="207"/>
      <c r="C356" s="207"/>
      <c r="K356" s="207"/>
      <c r="L356" s="207"/>
      <c r="M356" s="207"/>
      <c r="R356" s="209"/>
      <c r="AB356" s="210"/>
      <c r="AG356" s="210"/>
      <c r="AJ356" s="210"/>
    </row>
    <row r="357" spans="1:36" s="208" customFormat="1" x14ac:dyDescent="0.25">
      <c r="A357" s="207"/>
      <c r="C357" s="207"/>
      <c r="K357" s="207"/>
      <c r="L357" s="207"/>
      <c r="M357" s="207"/>
      <c r="R357" s="209"/>
      <c r="AB357" s="210"/>
      <c r="AG357" s="210"/>
      <c r="AJ357" s="210"/>
    </row>
    <row r="358" spans="1:36" s="208" customFormat="1" x14ac:dyDescent="0.25">
      <c r="A358" s="207"/>
      <c r="C358" s="207"/>
      <c r="K358" s="207"/>
      <c r="L358" s="207"/>
      <c r="M358" s="207"/>
      <c r="R358" s="209"/>
      <c r="AB358" s="210"/>
      <c r="AG358" s="210"/>
      <c r="AJ358" s="210"/>
    </row>
    <row r="359" spans="1:36" s="208" customFormat="1" x14ac:dyDescent="0.25">
      <c r="A359" s="207"/>
      <c r="C359" s="207"/>
      <c r="K359" s="207"/>
      <c r="L359" s="207"/>
      <c r="M359" s="207"/>
      <c r="R359" s="209"/>
      <c r="AB359" s="210"/>
      <c r="AG359" s="210"/>
      <c r="AJ359" s="210"/>
    </row>
    <row r="360" spans="1:36" s="208" customFormat="1" x14ac:dyDescent="0.25">
      <c r="A360" s="207"/>
      <c r="C360" s="207"/>
      <c r="K360" s="207"/>
      <c r="L360" s="207"/>
      <c r="M360" s="207"/>
      <c r="R360" s="209"/>
      <c r="AB360" s="210"/>
      <c r="AG360" s="210"/>
      <c r="AJ360" s="210"/>
    </row>
    <row r="361" spans="1:36" s="208" customFormat="1" x14ac:dyDescent="0.25">
      <c r="A361" s="207"/>
      <c r="C361" s="207"/>
      <c r="K361" s="207"/>
      <c r="L361" s="207"/>
      <c r="M361" s="207"/>
      <c r="R361" s="209"/>
      <c r="AB361" s="210"/>
      <c r="AG361" s="210"/>
      <c r="AJ361" s="210"/>
    </row>
    <row r="362" spans="1:36" s="208" customFormat="1" x14ac:dyDescent="0.25">
      <c r="A362" s="207"/>
      <c r="C362" s="207"/>
      <c r="K362" s="207"/>
      <c r="L362" s="207"/>
      <c r="M362" s="207"/>
      <c r="R362" s="209"/>
      <c r="AB362" s="210"/>
      <c r="AG362" s="210"/>
      <c r="AJ362" s="210"/>
    </row>
    <row r="363" spans="1:36" s="208" customFormat="1" x14ac:dyDescent="0.25">
      <c r="A363" s="207"/>
      <c r="C363" s="207"/>
      <c r="K363" s="207"/>
      <c r="L363" s="207"/>
      <c r="M363" s="207"/>
      <c r="R363" s="209"/>
      <c r="AB363" s="210"/>
      <c r="AG363" s="210"/>
      <c r="AJ363" s="210"/>
    </row>
    <row r="364" spans="1:36" s="208" customFormat="1" x14ac:dyDescent="0.25">
      <c r="A364" s="207"/>
      <c r="C364" s="207"/>
      <c r="K364" s="207"/>
      <c r="L364" s="207"/>
      <c r="M364" s="207"/>
      <c r="R364" s="209"/>
      <c r="AB364" s="210"/>
      <c r="AG364" s="210"/>
      <c r="AJ364" s="210"/>
    </row>
    <row r="365" spans="1:36" s="208" customFormat="1" x14ac:dyDescent="0.25">
      <c r="A365" s="207"/>
      <c r="C365" s="207"/>
      <c r="K365" s="207"/>
      <c r="L365" s="207"/>
      <c r="M365" s="207"/>
      <c r="R365" s="209"/>
      <c r="AB365" s="210"/>
      <c r="AG365" s="210"/>
      <c r="AJ365" s="210"/>
    </row>
    <row r="366" spans="1:36" s="208" customFormat="1" x14ac:dyDescent="0.25">
      <c r="A366" s="207"/>
      <c r="C366" s="207"/>
      <c r="K366" s="207"/>
      <c r="L366" s="207"/>
      <c r="M366" s="207"/>
      <c r="R366" s="209"/>
      <c r="AB366" s="210"/>
      <c r="AG366" s="210"/>
      <c r="AJ366" s="210"/>
    </row>
    <row r="367" spans="1:36" s="208" customFormat="1" x14ac:dyDescent="0.25">
      <c r="A367" s="207"/>
      <c r="C367" s="207"/>
      <c r="K367" s="207"/>
      <c r="L367" s="207"/>
      <c r="M367" s="207"/>
      <c r="R367" s="209"/>
      <c r="AB367" s="210"/>
      <c r="AG367" s="210"/>
      <c r="AJ367" s="210"/>
    </row>
    <row r="368" spans="1:36" s="208" customFormat="1" x14ac:dyDescent="0.25">
      <c r="A368" s="207"/>
      <c r="C368" s="207"/>
      <c r="K368" s="207"/>
      <c r="L368" s="207"/>
      <c r="M368" s="207"/>
      <c r="R368" s="209"/>
      <c r="AB368" s="210"/>
      <c r="AG368" s="210"/>
      <c r="AJ368" s="210"/>
    </row>
    <row r="369" spans="1:36" s="208" customFormat="1" x14ac:dyDescent="0.25">
      <c r="A369" s="207"/>
      <c r="C369" s="207"/>
      <c r="K369" s="207"/>
      <c r="L369" s="207"/>
      <c r="M369" s="207"/>
      <c r="R369" s="209"/>
      <c r="AB369" s="210"/>
      <c r="AG369" s="210"/>
      <c r="AJ369" s="210"/>
    </row>
    <row r="370" spans="1:36" s="208" customFormat="1" x14ac:dyDescent="0.25">
      <c r="A370" s="207"/>
      <c r="C370" s="207"/>
      <c r="K370" s="207"/>
      <c r="L370" s="207"/>
      <c r="M370" s="207"/>
      <c r="R370" s="209"/>
      <c r="AB370" s="210"/>
      <c r="AG370" s="210"/>
      <c r="AJ370" s="210"/>
    </row>
    <row r="371" spans="1:36" s="208" customFormat="1" x14ac:dyDescent="0.25">
      <c r="A371" s="207"/>
      <c r="C371" s="207"/>
      <c r="K371" s="207"/>
      <c r="L371" s="207"/>
      <c r="M371" s="207"/>
      <c r="R371" s="209"/>
      <c r="AB371" s="210"/>
      <c r="AG371" s="210"/>
      <c r="AJ371" s="210"/>
    </row>
    <row r="372" spans="1:36" s="208" customFormat="1" x14ac:dyDescent="0.25">
      <c r="A372" s="207"/>
      <c r="C372" s="207"/>
      <c r="K372" s="207"/>
      <c r="L372" s="207"/>
      <c r="M372" s="207"/>
      <c r="R372" s="209"/>
      <c r="AB372" s="210"/>
      <c r="AG372" s="210"/>
      <c r="AJ372" s="210"/>
    </row>
    <row r="373" spans="1:36" s="208" customFormat="1" x14ac:dyDescent="0.25">
      <c r="A373" s="207"/>
      <c r="C373" s="207"/>
      <c r="K373" s="207"/>
      <c r="L373" s="207"/>
      <c r="M373" s="207"/>
      <c r="R373" s="209"/>
      <c r="AB373" s="210"/>
      <c r="AG373" s="210"/>
      <c r="AJ373" s="210"/>
    </row>
    <row r="374" spans="1:36" s="208" customFormat="1" x14ac:dyDescent="0.25">
      <c r="A374" s="207"/>
      <c r="C374" s="207"/>
      <c r="K374" s="207"/>
      <c r="L374" s="207"/>
      <c r="M374" s="207"/>
      <c r="R374" s="209"/>
      <c r="AB374" s="210"/>
      <c r="AG374" s="210"/>
      <c r="AJ374" s="210"/>
    </row>
    <row r="375" spans="1:36" s="208" customFormat="1" x14ac:dyDescent="0.25">
      <c r="A375" s="207"/>
      <c r="C375" s="207"/>
      <c r="K375" s="207"/>
      <c r="L375" s="207"/>
      <c r="M375" s="207"/>
      <c r="R375" s="209"/>
      <c r="AB375" s="210"/>
      <c r="AG375" s="210"/>
      <c r="AJ375" s="210"/>
    </row>
    <row r="376" spans="1:36" s="208" customFormat="1" x14ac:dyDescent="0.25">
      <c r="A376" s="207"/>
      <c r="C376" s="207"/>
      <c r="K376" s="207"/>
      <c r="L376" s="207"/>
      <c r="M376" s="207"/>
      <c r="R376" s="209"/>
      <c r="AB376" s="210"/>
      <c r="AG376" s="210"/>
      <c r="AJ376" s="210"/>
    </row>
    <row r="377" spans="1:36" s="208" customFormat="1" x14ac:dyDescent="0.25">
      <c r="A377" s="207"/>
      <c r="C377" s="207"/>
      <c r="K377" s="207"/>
      <c r="L377" s="207"/>
      <c r="M377" s="207"/>
      <c r="R377" s="209"/>
      <c r="AB377" s="210"/>
      <c r="AG377" s="210"/>
      <c r="AJ377" s="210"/>
    </row>
    <row r="378" spans="1:36" s="208" customFormat="1" x14ac:dyDescent="0.25">
      <c r="A378" s="207"/>
      <c r="C378" s="207"/>
      <c r="K378" s="207"/>
      <c r="L378" s="207"/>
      <c r="M378" s="207"/>
      <c r="R378" s="209"/>
      <c r="AB378" s="210"/>
      <c r="AG378" s="210"/>
      <c r="AJ378" s="210"/>
    </row>
    <row r="379" spans="1:36" s="208" customFormat="1" x14ac:dyDescent="0.25">
      <c r="A379" s="207"/>
      <c r="C379" s="207"/>
      <c r="K379" s="207"/>
      <c r="L379" s="207"/>
      <c r="M379" s="207"/>
      <c r="R379" s="209"/>
      <c r="AB379" s="210"/>
      <c r="AG379" s="210"/>
      <c r="AJ379" s="210"/>
    </row>
    <row r="380" spans="1:36" s="208" customFormat="1" x14ac:dyDescent="0.25">
      <c r="A380" s="207"/>
      <c r="C380" s="207"/>
      <c r="K380" s="207"/>
      <c r="L380" s="207"/>
      <c r="M380" s="207"/>
      <c r="R380" s="209"/>
      <c r="AB380" s="210"/>
      <c r="AG380" s="210"/>
      <c r="AJ380" s="210"/>
    </row>
    <row r="381" spans="1:36" s="208" customFormat="1" x14ac:dyDescent="0.25">
      <c r="A381" s="207"/>
      <c r="C381" s="207"/>
      <c r="K381" s="207"/>
      <c r="L381" s="207"/>
      <c r="M381" s="207"/>
      <c r="R381" s="209"/>
      <c r="AB381" s="210"/>
      <c r="AG381" s="210"/>
      <c r="AJ381" s="210"/>
    </row>
    <row r="382" spans="1:36" s="208" customFormat="1" x14ac:dyDescent="0.25">
      <c r="A382" s="207"/>
      <c r="C382" s="207"/>
      <c r="K382" s="207"/>
      <c r="L382" s="207"/>
      <c r="M382" s="207"/>
      <c r="R382" s="209"/>
      <c r="AB382" s="210"/>
      <c r="AG382" s="210"/>
      <c r="AJ382" s="210"/>
    </row>
    <row r="383" spans="1:36" s="208" customFormat="1" x14ac:dyDescent="0.25">
      <c r="A383" s="207"/>
      <c r="C383" s="207"/>
      <c r="K383" s="207"/>
      <c r="L383" s="207"/>
      <c r="M383" s="207"/>
      <c r="R383" s="209"/>
      <c r="AB383" s="210"/>
      <c r="AG383" s="210"/>
      <c r="AJ383" s="210"/>
    </row>
    <row r="384" spans="1:36" s="208" customFormat="1" x14ac:dyDescent="0.25">
      <c r="A384" s="207"/>
      <c r="C384" s="207"/>
      <c r="K384" s="207"/>
      <c r="L384" s="207"/>
      <c r="M384" s="207"/>
      <c r="R384" s="209"/>
      <c r="AB384" s="210"/>
      <c r="AG384" s="210"/>
      <c r="AJ384" s="210"/>
    </row>
    <row r="385" spans="1:36" s="208" customFormat="1" x14ac:dyDescent="0.25">
      <c r="A385" s="207"/>
      <c r="C385" s="207"/>
      <c r="K385" s="207"/>
      <c r="L385" s="207"/>
      <c r="M385" s="207"/>
      <c r="R385" s="209"/>
      <c r="AB385" s="210"/>
      <c r="AG385" s="210"/>
      <c r="AJ385" s="210"/>
    </row>
    <row r="386" spans="1:36" s="208" customFormat="1" x14ac:dyDescent="0.25">
      <c r="A386" s="207"/>
      <c r="C386" s="207"/>
      <c r="K386" s="207"/>
      <c r="L386" s="207"/>
      <c r="M386" s="207"/>
      <c r="R386" s="209"/>
      <c r="AB386" s="210"/>
      <c r="AG386" s="210"/>
      <c r="AJ386" s="210"/>
    </row>
    <row r="387" spans="1:36" s="208" customFormat="1" x14ac:dyDescent="0.25">
      <c r="A387" s="207"/>
      <c r="C387" s="207"/>
      <c r="K387" s="207"/>
      <c r="L387" s="207"/>
      <c r="M387" s="207"/>
      <c r="R387" s="209"/>
      <c r="AB387" s="210"/>
      <c r="AG387" s="210"/>
      <c r="AJ387" s="210"/>
    </row>
    <row r="388" spans="1:36" s="208" customFormat="1" x14ac:dyDescent="0.25">
      <c r="A388" s="207"/>
      <c r="C388" s="207"/>
      <c r="K388" s="207"/>
      <c r="L388" s="207"/>
      <c r="M388" s="207"/>
      <c r="R388" s="209"/>
      <c r="AB388" s="210"/>
      <c r="AG388" s="210"/>
      <c r="AJ388" s="210"/>
    </row>
    <row r="389" spans="1:36" s="208" customFormat="1" x14ac:dyDescent="0.25">
      <c r="A389" s="207"/>
      <c r="C389" s="207"/>
      <c r="K389" s="207"/>
      <c r="L389" s="207"/>
      <c r="M389" s="207"/>
      <c r="R389" s="209"/>
      <c r="AB389" s="210"/>
      <c r="AG389" s="210"/>
      <c r="AJ389" s="210"/>
    </row>
    <row r="390" spans="1:36" s="208" customFormat="1" x14ac:dyDescent="0.25">
      <c r="A390" s="207"/>
      <c r="C390" s="207"/>
      <c r="K390" s="207"/>
      <c r="L390" s="207"/>
      <c r="M390" s="207"/>
      <c r="R390" s="209"/>
      <c r="AB390" s="210"/>
      <c r="AG390" s="210"/>
      <c r="AJ390" s="210"/>
    </row>
    <row r="391" spans="1:36" s="208" customFormat="1" x14ac:dyDescent="0.25">
      <c r="A391" s="207"/>
      <c r="C391" s="207"/>
      <c r="K391" s="207"/>
      <c r="L391" s="207"/>
      <c r="M391" s="207"/>
      <c r="R391" s="209"/>
      <c r="AB391" s="210"/>
      <c r="AG391" s="210"/>
      <c r="AJ391" s="210"/>
    </row>
    <row r="392" spans="1:36" s="208" customFormat="1" x14ac:dyDescent="0.25">
      <c r="A392" s="207"/>
      <c r="C392" s="207"/>
      <c r="K392" s="207"/>
      <c r="L392" s="207"/>
      <c r="M392" s="207"/>
      <c r="R392" s="209"/>
      <c r="AB392" s="210"/>
      <c r="AG392" s="210"/>
      <c r="AJ392" s="210"/>
    </row>
    <row r="393" spans="1:36" s="208" customFormat="1" x14ac:dyDescent="0.25">
      <c r="A393" s="207"/>
      <c r="C393" s="207"/>
      <c r="K393" s="207"/>
      <c r="L393" s="207"/>
      <c r="M393" s="207"/>
      <c r="R393" s="209"/>
      <c r="AB393" s="210"/>
      <c r="AG393" s="210"/>
      <c r="AJ393" s="210"/>
    </row>
    <row r="394" spans="1:36" s="208" customFormat="1" x14ac:dyDescent="0.25">
      <c r="A394" s="207"/>
      <c r="C394" s="207"/>
      <c r="K394" s="207"/>
      <c r="L394" s="207"/>
      <c r="M394" s="207"/>
      <c r="R394" s="209"/>
      <c r="AB394" s="210"/>
      <c r="AG394" s="210"/>
      <c r="AJ394" s="210"/>
    </row>
    <row r="395" spans="1:36" s="208" customFormat="1" x14ac:dyDescent="0.25">
      <c r="A395" s="207"/>
      <c r="C395" s="207"/>
      <c r="K395" s="207"/>
      <c r="L395" s="207"/>
      <c r="M395" s="207"/>
      <c r="R395" s="209"/>
      <c r="AB395" s="210"/>
      <c r="AG395" s="210"/>
      <c r="AJ395" s="210"/>
    </row>
    <row r="396" spans="1:36" s="208" customFormat="1" x14ac:dyDescent="0.25">
      <c r="A396" s="207"/>
      <c r="C396" s="207"/>
      <c r="K396" s="207"/>
      <c r="L396" s="207"/>
      <c r="M396" s="207"/>
      <c r="R396" s="209"/>
      <c r="AB396" s="210"/>
      <c r="AG396" s="210"/>
      <c r="AJ396" s="210"/>
    </row>
    <row r="397" spans="1:36" s="208" customFormat="1" x14ac:dyDescent="0.25">
      <c r="A397" s="207"/>
      <c r="C397" s="207"/>
      <c r="K397" s="207"/>
      <c r="L397" s="207"/>
      <c r="M397" s="207"/>
      <c r="R397" s="209"/>
      <c r="AB397" s="210"/>
      <c r="AG397" s="210"/>
      <c r="AJ397" s="210"/>
    </row>
    <row r="398" spans="1:36" s="208" customFormat="1" x14ac:dyDescent="0.25">
      <c r="A398" s="207"/>
      <c r="C398" s="207"/>
      <c r="K398" s="207"/>
      <c r="L398" s="207"/>
      <c r="M398" s="207"/>
      <c r="R398" s="209"/>
      <c r="AB398" s="210"/>
      <c r="AG398" s="210"/>
      <c r="AJ398" s="210"/>
    </row>
    <row r="399" spans="1:36" s="208" customFormat="1" x14ac:dyDescent="0.25">
      <c r="A399" s="207"/>
      <c r="C399" s="207"/>
      <c r="K399" s="207"/>
      <c r="L399" s="207"/>
      <c r="M399" s="207"/>
      <c r="R399" s="209"/>
      <c r="AB399" s="210"/>
      <c r="AG399" s="210"/>
      <c r="AJ399" s="210"/>
    </row>
    <row r="400" spans="1:36" s="208" customFormat="1" x14ac:dyDescent="0.25">
      <c r="A400" s="207"/>
      <c r="C400" s="207"/>
      <c r="K400" s="207"/>
      <c r="L400" s="207"/>
      <c r="M400" s="207"/>
      <c r="R400" s="209"/>
      <c r="AB400" s="210"/>
      <c r="AG400" s="210"/>
      <c r="AJ400" s="210"/>
    </row>
    <row r="401" spans="1:36" s="208" customFormat="1" x14ac:dyDescent="0.25">
      <c r="A401" s="207"/>
      <c r="C401" s="207"/>
      <c r="K401" s="207"/>
      <c r="L401" s="207"/>
      <c r="M401" s="207"/>
      <c r="R401" s="209"/>
      <c r="AB401" s="210"/>
      <c r="AG401" s="210"/>
      <c r="AJ401" s="210"/>
    </row>
    <row r="402" spans="1:36" s="208" customFormat="1" x14ac:dyDescent="0.25">
      <c r="A402" s="207"/>
      <c r="C402" s="207"/>
      <c r="K402" s="207"/>
      <c r="L402" s="207"/>
      <c r="M402" s="207"/>
      <c r="R402" s="209"/>
      <c r="AB402" s="210"/>
      <c r="AG402" s="210"/>
      <c r="AJ402" s="210"/>
    </row>
    <row r="403" spans="1:36" s="208" customFormat="1" x14ac:dyDescent="0.25">
      <c r="A403" s="207"/>
      <c r="C403" s="207"/>
      <c r="K403" s="207"/>
      <c r="L403" s="207"/>
      <c r="M403" s="207"/>
      <c r="R403" s="209"/>
      <c r="AB403" s="210"/>
      <c r="AG403" s="210"/>
      <c r="AJ403" s="210"/>
    </row>
    <row r="404" spans="1:36" s="208" customFormat="1" x14ac:dyDescent="0.25">
      <c r="A404" s="207"/>
      <c r="C404" s="207"/>
      <c r="K404" s="207"/>
      <c r="L404" s="207"/>
      <c r="M404" s="207"/>
      <c r="R404" s="209"/>
      <c r="AB404" s="210"/>
      <c r="AG404" s="210"/>
      <c r="AJ404" s="210"/>
    </row>
    <row r="405" spans="1:36" s="208" customFormat="1" x14ac:dyDescent="0.25">
      <c r="A405" s="207"/>
      <c r="C405" s="207"/>
      <c r="K405" s="207"/>
      <c r="L405" s="207"/>
      <c r="M405" s="207"/>
      <c r="R405" s="209"/>
      <c r="AB405" s="210"/>
      <c r="AG405" s="210"/>
      <c r="AJ405" s="210"/>
    </row>
    <row r="406" spans="1:36" s="208" customFormat="1" x14ac:dyDescent="0.25">
      <c r="A406" s="207"/>
      <c r="C406" s="207"/>
      <c r="K406" s="207"/>
      <c r="L406" s="207"/>
      <c r="M406" s="207"/>
      <c r="R406" s="209"/>
      <c r="AB406" s="210"/>
      <c r="AG406" s="210"/>
      <c r="AJ406" s="210"/>
    </row>
    <row r="407" spans="1:36" s="208" customFormat="1" x14ac:dyDescent="0.25">
      <c r="A407" s="207"/>
      <c r="C407" s="207"/>
      <c r="K407" s="207"/>
      <c r="L407" s="207"/>
      <c r="M407" s="207"/>
      <c r="R407" s="209"/>
      <c r="AB407" s="210"/>
      <c r="AG407" s="210"/>
      <c r="AJ407" s="210"/>
    </row>
    <row r="408" spans="1:36" s="208" customFormat="1" x14ac:dyDescent="0.25">
      <c r="A408" s="207"/>
      <c r="C408" s="207"/>
      <c r="K408" s="207"/>
      <c r="L408" s="207"/>
      <c r="M408" s="207"/>
      <c r="R408" s="209"/>
      <c r="AB408" s="210"/>
      <c r="AG408" s="210"/>
      <c r="AJ408" s="210"/>
    </row>
    <row r="409" spans="1:36" s="208" customFormat="1" x14ac:dyDescent="0.25">
      <c r="A409" s="207"/>
      <c r="C409" s="207"/>
      <c r="K409" s="207"/>
      <c r="L409" s="207"/>
      <c r="M409" s="207"/>
      <c r="R409" s="209"/>
      <c r="AB409" s="210"/>
      <c r="AG409" s="210"/>
      <c r="AJ409" s="210"/>
    </row>
    <row r="410" spans="1:36" s="208" customFormat="1" x14ac:dyDescent="0.25">
      <c r="A410" s="207"/>
      <c r="C410" s="207"/>
      <c r="K410" s="207"/>
      <c r="L410" s="207"/>
      <c r="M410" s="207"/>
      <c r="R410" s="209"/>
      <c r="AB410" s="210"/>
      <c r="AG410" s="210"/>
      <c r="AJ410" s="210"/>
    </row>
    <row r="411" spans="1:36" s="208" customFormat="1" x14ac:dyDescent="0.25">
      <c r="A411" s="207"/>
      <c r="C411" s="207"/>
      <c r="K411" s="207"/>
      <c r="L411" s="207"/>
      <c r="M411" s="207"/>
      <c r="R411" s="209"/>
      <c r="AB411" s="210"/>
      <c r="AG411" s="210"/>
      <c r="AJ411" s="210"/>
    </row>
    <row r="412" spans="1:36" s="208" customFormat="1" x14ac:dyDescent="0.25">
      <c r="A412" s="207"/>
      <c r="C412" s="207"/>
      <c r="K412" s="207"/>
      <c r="L412" s="207"/>
      <c r="M412" s="207"/>
      <c r="R412" s="209"/>
      <c r="AB412" s="210"/>
      <c r="AG412" s="210"/>
      <c r="AJ412" s="210"/>
    </row>
    <row r="413" spans="1:36" s="208" customFormat="1" x14ac:dyDescent="0.25">
      <c r="A413" s="207"/>
      <c r="C413" s="207"/>
      <c r="K413" s="207"/>
      <c r="L413" s="207"/>
      <c r="M413" s="207"/>
      <c r="R413" s="209"/>
      <c r="AB413" s="210"/>
      <c r="AG413" s="210"/>
      <c r="AJ413" s="210"/>
    </row>
    <row r="414" spans="1:36" s="208" customFormat="1" x14ac:dyDescent="0.25">
      <c r="A414" s="207"/>
      <c r="C414" s="207"/>
      <c r="K414" s="207"/>
      <c r="L414" s="207"/>
      <c r="M414" s="207"/>
      <c r="R414" s="209"/>
      <c r="AB414" s="210"/>
      <c r="AG414" s="210"/>
      <c r="AJ414" s="210"/>
    </row>
    <row r="415" spans="1:36" s="208" customFormat="1" x14ac:dyDescent="0.25">
      <c r="A415" s="207"/>
      <c r="C415" s="207"/>
      <c r="K415" s="207"/>
      <c r="L415" s="207"/>
      <c r="M415" s="207"/>
      <c r="R415" s="209"/>
      <c r="AB415" s="210"/>
      <c r="AG415" s="210"/>
      <c r="AJ415" s="210"/>
    </row>
    <row r="416" spans="1:36" s="208" customFormat="1" x14ac:dyDescent="0.25">
      <c r="A416" s="207"/>
      <c r="C416" s="207"/>
      <c r="K416" s="207"/>
      <c r="L416" s="207"/>
      <c r="M416" s="207"/>
      <c r="R416" s="209"/>
      <c r="AB416" s="210"/>
      <c r="AG416" s="210"/>
      <c r="AJ416" s="210"/>
    </row>
    <row r="417" spans="1:36" s="208" customFormat="1" x14ac:dyDescent="0.25">
      <c r="A417" s="207"/>
      <c r="C417" s="207"/>
      <c r="K417" s="207"/>
      <c r="L417" s="207"/>
      <c r="M417" s="207"/>
      <c r="R417" s="209"/>
      <c r="AB417" s="210"/>
      <c r="AG417" s="210"/>
      <c r="AJ417" s="210"/>
    </row>
    <row r="418" spans="1:36" s="208" customFormat="1" x14ac:dyDescent="0.25">
      <c r="A418" s="207"/>
      <c r="C418" s="207"/>
      <c r="K418" s="207"/>
      <c r="L418" s="207"/>
      <c r="M418" s="207"/>
      <c r="R418" s="209"/>
      <c r="AB418" s="210"/>
      <c r="AG418" s="210"/>
      <c r="AJ418" s="210"/>
    </row>
    <row r="419" spans="1:36" s="208" customFormat="1" x14ac:dyDescent="0.25">
      <c r="A419" s="207"/>
      <c r="C419" s="207"/>
      <c r="K419" s="207"/>
      <c r="L419" s="207"/>
      <c r="M419" s="207"/>
      <c r="R419" s="209"/>
      <c r="AB419" s="210"/>
      <c r="AG419" s="210"/>
      <c r="AJ419" s="210"/>
    </row>
    <row r="420" spans="1:36" s="208" customFormat="1" x14ac:dyDescent="0.25">
      <c r="A420" s="207"/>
      <c r="C420" s="207"/>
      <c r="K420" s="207"/>
      <c r="L420" s="207"/>
      <c r="M420" s="207"/>
      <c r="R420" s="209"/>
      <c r="AB420" s="210"/>
      <c r="AG420" s="210"/>
      <c r="AJ420" s="210"/>
    </row>
    <row r="421" spans="1:36" s="208" customFormat="1" x14ac:dyDescent="0.25">
      <c r="A421" s="207"/>
      <c r="C421" s="207"/>
      <c r="K421" s="207"/>
      <c r="L421" s="207"/>
      <c r="M421" s="207"/>
      <c r="R421" s="209"/>
      <c r="AB421" s="210"/>
      <c r="AG421" s="210"/>
      <c r="AJ421" s="210"/>
    </row>
    <row r="422" spans="1:36" s="208" customFormat="1" x14ac:dyDescent="0.25">
      <c r="A422" s="207"/>
      <c r="C422" s="207"/>
      <c r="K422" s="207"/>
      <c r="L422" s="207"/>
      <c r="M422" s="207"/>
      <c r="R422" s="209"/>
      <c r="AB422" s="210"/>
      <c r="AG422" s="210"/>
      <c r="AJ422" s="210"/>
    </row>
    <row r="423" spans="1:36" s="208" customFormat="1" x14ac:dyDescent="0.25">
      <c r="A423" s="207"/>
      <c r="C423" s="207"/>
      <c r="K423" s="207"/>
      <c r="L423" s="207"/>
      <c r="M423" s="207"/>
      <c r="R423" s="209"/>
      <c r="AB423" s="210"/>
      <c r="AG423" s="210"/>
      <c r="AJ423" s="210"/>
    </row>
    <row r="424" spans="1:36" s="208" customFormat="1" x14ac:dyDescent="0.25">
      <c r="A424" s="207"/>
      <c r="C424" s="207"/>
      <c r="K424" s="207"/>
      <c r="L424" s="207"/>
      <c r="M424" s="207"/>
      <c r="R424" s="209"/>
      <c r="AB424" s="210"/>
      <c r="AG424" s="210"/>
      <c r="AJ424" s="210"/>
    </row>
    <row r="425" spans="1:36" s="208" customFormat="1" x14ac:dyDescent="0.25">
      <c r="A425" s="207"/>
      <c r="C425" s="207"/>
      <c r="K425" s="207"/>
      <c r="L425" s="207"/>
      <c r="M425" s="207"/>
      <c r="R425" s="209"/>
      <c r="AB425" s="210"/>
      <c r="AG425" s="210"/>
      <c r="AJ425" s="210"/>
    </row>
    <row r="426" spans="1:36" s="208" customFormat="1" x14ac:dyDescent="0.25">
      <c r="A426" s="207"/>
      <c r="C426" s="207"/>
      <c r="K426" s="207"/>
      <c r="L426" s="207"/>
      <c r="M426" s="207"/>
      <c r="R426" s="209"/>
      <c r="AB426" s="210"/>
      <c r="AG426" s="210"/>
      <c r="AJ426" s="210"/>
    </row>
    <row r="427" spans="1:36" s="208" customFormat="1" x14ac:dyDescent="0.25">
      <c r="A427" s="207"/>
      <c r="C427" s="207"/>
      <c r="K427" s="207"/>
      <c r="L427" s="207"/>
      <c r="M427" s="207"/>
      <c r="R427" s="209"/>
      <c r="AB427" s="210"/>
      <c r="AG427" s="210"/>
      <c r="AJ427" s="210"/>
    </row>
    <row r="428" spans="1:36" s="208" customFormat="1" x14ac:dyDescent="0.25">
      <c r="A428" s="207"/>
      <c r="C428" s="207"/>
      <c r="K428" s="207"/>
      <c r="L428" s="207"/>
      <c r="M428" s="207"/>
      <c r="R428" s="209"/>
      <c r="AB428" s="210"/>
      <c r="AG428" s="210"/>
      <c r="AJ428" s="210"/>
    </row>
    <row r="429" spans="1:36" s="208" customFormat="1" x14ac:dyDescent="0.25">
      <c r="A429" s="207"/>
      <c r="C429" s="207"/>
      <c r="K429" s="207"/>
      <c r="L429" s="207"/>
      <c r="M429" s="207"/>
      <c r="R429" s="209"/>
      <c r="AB429" s="210"/>
      <c r="AG429" s="210"/>
      <c r="AJ429" s="210"/>
    </row>
    <row r="430" spans="1:36" s="208" customFormat="1" x14ac:dyDescent="0.25">
      <c r="A430" s="207"/>
      <c r="C430" s="207"/>
      <c r="K430" s="207"/>
      <c r="L430" s="207"/>
      <c r="M430" s="207"/>
      <c r="R430" s="209"/>
      <c r="AB430" s="210"/>
      <c r="AG430" s="210"/>
      <c r="AJ430" s="210"/>
    </row>
    <row r="431" spans="1:36" s="208" customFormat="1" x14ac:dyDescent="0.25">
      <c r="A431" s="207"/>
      <c r="C431" s="207"/>
      <c r="K431" s="207"/>
      <c r="L431" s="207"/>
      <c r="M431" s="207"/>
      <c r="R431" s="209"/>
      <c r="AB431" s="210"/>
      <c r="AG431" s="210"/>
      <c r="AJ431" s="210"/>
    </row>
    <row r="432" spans="1:36" s="208" customFormat="1" x14ac:dyDescent="0.25">
      <c r="A432" s="207"/>
      <c r="C432" s="207"/>
      <c r="K432" s="207"/>
      <c r="L432" s="207"/>
      <c r="M432" s="207"/>
      <c r="R432" s="209"/>
      <c r="AB432" s="210"/>
      <c r="AG432" s="210"/>
      <c r="AJ432" s="210"/>
    </row>
    <row r="433" spans="1:36" s="208" customFormat="1" x14ac:dyDescent="0.25">
      <c r="A433" s="207"/>
      <c r="C433" s="207"/>
      <c r="K433" s="207"/>
      <c r="L433" s="207"/>
      <c r="M433" s="207"/>
      <c r="R433" s="209"/>
      <c r="AB433" s="210"/>
      <c r="AG433" s="210"/>
      <c r="AJ433" s="210"/>
    </row>
    <row r="434" spans="1:36" s="208" customFormat="1" x14ac:dyDescent="0.25">
      <c r="A434" s="207"/>
      <c r="C434" s="207"/>
      <c r="K434" s="207"/>
      <c r="L434" s="207"/>
      <c r="M434" s="207"/>
      <c r="R434" s="209"/>
      <c r="AB434" s="210"/>
      <c r="AG434" s="210"/>
      <c r="AJ434" s="210"/>
    </row>
    <row r="435" spans="1:36" s="208" customFormat="1" x14ac:dyDescent="0.25">
      <c r="A435" s="207"/>
      <c r="C435" s="207"/>
      <c r="K435" s="207"/>
      <c r="L435" s="207"/>
      <c r="M435" s="207"/>
      <c r="R435" s="209"/>
      <c r="AB435" s="210"/>
      <c r="AG435" s="210"/>
      <c r="AJ435" s="210"/>
    </row>
    <row r="436" spans="1:36" s="208" customFormat="1" x14ac:dyDescent="0.25">
      <c r="A436" s="207"/>
      <c r="C436" s="207"/>
      <c r="K436" s="207"/>
      <c r="L436" s="207"/>
      <c r="M436" s="207"/>
      <c r="R436" s="209"/>
      <c r="AB436" s="210"/>
      <c r="AG436" s="210"/>
      <c r="AJ436" s="210"/>
    </row>
    <row r="437" spans="1:36" s="208" customFormat="1" x14ac:dyDescent="0.25">
      <c r="A437" s="207"/>
      <c r="C437" s="207"/>
      <c r="K437" s="207"/>
      <c r="L437" s="207"/>
      <c r="M437" s="207"/>
      <c r="R437" s="209"/>
      <c r="AB437" s="210"/>
      <c r="AG437" s="210"/>
      <c r="AJ437" s="210"/>
    </row>
    <row r="438" spans="1:36" s="208" customFormat="1" x14ac:dyDescent="0.25">
      <c r="A438" s="207"/>
      <c r="C438" s="207"/>
      <c r="K438" s="207"/>
      <c r="L438" s="207"/>
      <c r="M438" s="207"/>
      <c r="R438" s="209"/>
      <c r="AB438" s="210"/>
      <c r="AG438" s="210"/>
      <c r="AJ438" s="210"/>
    </row>
    <row r="439" spans="1:36" s="208" customFormat="1" x14ac:dyDescent="0.25">
      <c r="A439" s="207"/>
      <c r="C439" s="207"/>
      <c r="K439" s="207"/>
      <c r="L439" s="207"/>
      <c r="M439" s="207"/>
      <c r="R439" s="209"/>
      <c r="AB439" s="210"/>
      <c r="AG439" s="210"/>
      <c r="AJ439" s="210"/>
    </row>
    <row r="440" spans="1:36" s="208" customFormat="1" x14ac:dyDescent="0.25">
      <c r="A440" s="207"/>
      <c r="C440" s="207"/>
      <c r="K440" s="207"/>
      <c r="L440" s="207"/>
      <c r="M440" s="207"/>
      <c r="R440" s="209"/>
      <c r="AB440" s="210"/>
      <c r="AG440" s="210"/>
      <c r="AJ440" s="210"/>
    </row>
    <row r="441" spans="1:36" s="208" customFormat="1" x14ac:dyDescent="0.25">
      <c r="A441" s="207"/>
      <c r="C441" s="207"/>
      <c r="K441" s="207"/>
      <c r="L441" s="207"/>
      <c r="M441" s="207"/>
      <c r="R441" s="209"/>
      <c r="AB441" s="210"/>
      <c r="AG441" s="210"/>
      <c r="AJ441" s="210"/>
    </row>
    <row r="442" spans="1:36" s="208" customFormat="1" x14ac:dyDescent="0.25">
      <c r="A442" s="207"/>
      <c r="C442" s="207"/>
      <c r="K442" s="207"/>
      <c r="L442" s="207"/>
      <c r="M442" s="207"/>
      <c r="R442" s="209"/>
      <c r="AB442" s="210"/>
      <c r="AG442" s="210"/>
      <c r="AJ442" s="210"/>
    </row>
    <row r="443" spans="1:36" s="208" customFormat="1" x14ac:dyDescent="0.25">
      <c r="A443" s="207"/>
      <c r="C443" s="207"/>
      <c r="K443" s="207"/>
      <c r="L443" s="207"/>
      <c r="M443" s="207"/>
      <c r="R443" s="209"/>
      <c r="AB443" s="210"/>
      <c r="AG443" s="210"/>
      <c r="AJ443" s="210"/>
    </row>
    <row r="444" spans="1:36" s="208" customFormat="1" x14ac:dyDescent="0.25">
      <c r="A444" s="207"/>
      <c r="C444" s="207"/>
      <c r="K444" s="207"/>
      <c r="L444" s="207"/>
      <c r="M444" s="207"/>
      <c r="R444" s="209"/>
      <c r="AB444" s="210"/>
      <c r="AG444" s="210"/>
      <c r="AJ444" s="210"/>
    </row>
    <row r="445" spans="1:36" s="208" customFormat="1" x14ac:dyDescent="0.25">
      <c r="A445" s="207"/>
      <c r="C445" s="207"/>
      <c r="K445" s="207"/>
      <c r="L445" s="207"/>
      <c r="M445" s="207"/>
      <c r="R445" s="209"/>
      <c r="AB445" s="210"/>
      <c r="AG445" s="210"/>
      <c r="AJ445" s="210"/>
    </row>
    <row r="446" spans="1:36" s="208" customFormat="1" x14ac:dyDescent="0.25">
      <c r="A446" s="207"/>
      <c r="C446" s="207"/>
      <c r="K446" s="207"/>
      <c r="L446" s="207"/>
      <c r="M446" s="207"/>
      <c r="R446" s="209"/>
      <c r="AB446" s="210"/>
      <c r="AG446" s="210"/>
      <c r="AJ446" s="210"/>
    </row>
    <row r="447" spans="1:36" s="208" customFormat="1" x14ac:dyDescent="0.25">
      <c r="A447" s="207"/>
      <c r="C447" s="207"/>
      <c r="K447" s="207"/>
      <c r="L447" s="207"/>
      <c r="M447" s="207"/>
      <c r="R447" s="209"/>
      <c r="AB447" s="210"/>
      <c r="AG447" s="210"/>
      <c r="AJ447" s="210"/>
    </row>
    <row r="448" spans="1:36" s="208" customFormat="1" x14ac:dyDescent="0.25">
      <c r="A448" s="207"/>
      <c r="C448" s="207"/>
      <c r="K448" s="207"/>
      <c r="L448" s="207"/>
      <c r="M448" s="207"/>
      <c r="R448" s="209"/>
      <c r="AB448" s="210"/>
      <c r="AG448" s="210"/>
      <c r="AJ448" s="210"/>
    </row>
    <row r="449" spans="1:36" s="208" customFormat="1" x14ac:dyDescent="0.25">
      <c r="A449" s="207"/>
      <c r="C449" s="207"/>
      <c r="K449" s="207"/>
      <c r="L449" s="207"/>
      <c r="M449" s="207"/>
      <c r="R449" s="209"/>
      <c r="AB449" s="210"/>
      <c r="AG449" s="210"/>
      <c r="AJ449" s="210"/>
    </row>
    <row r="450" spans="1:36" s="208" customFormat="1" x14ac:dyDescent="0.25">
      <c r="A450" s="207"/>
      <c r="C450" s="207"/>
      <c r="K450" s="207"/>
      <c r="L450" s="207"/>
      <c r="M450" s="207"/>
      <c r="R450" s="209"/>
      <c r="AB450" s="210"/>
      <c r="AG450" s="210"/>
      <c r="AJ450" s="210"/>
    </row>
    <row r="451" spans="1:36" s="208" customFormat="1" x14ac:dyDescent="0.25">
      <c r="A451" s="207"/>
      <c r="C451" s="207"/>
      <c r="K451" s="207"/>
      <c r="L451" s="207"/>
      <c r="M451" s="207"/>
      <c r="R451" s="209"/>
      <c r="AB451" s="210"/>
      <c r="AG451" s="210"/>
      <c r="AJ451" s="210"/>
    </row>
    <row r="452" spans="1:36" s="208" customFormat="1" x14ac:dyDescent="0.25">
      <c r="A452" s="207"/>
      <c r="C452" s="207"/>
      <c r="K452" s="207"/>
      <c r="L452" s="207"/>
      <c r="M452" s="207"/>
      <c r="R452" s="209"/>
      <c r="AB452" s="210"/>
      <c r="AG452" s="210"/>
      <c r="AJ452" s="210"/>
    </row>
    <row r="453" spans="1:36" s="208" customFormat="1" x14ac:dyDescent="0.25">
      <c r="A453" s="207"/>
      <c r="C453" s="207"/>
      <c r="K453" s="207"/>
      <c r="L453" s="207"/>
      <c r="M453" s="207"/>
      <c r="R453" s="209"/>
      <c r="AB453" s="210"/>
      <c r="AG453" s="210"/>
      <c r="AJ453" s="210"/>
    </row>
    <row r="454" spans="1:36" s="208" customFormat="1" x14ac:dyDescent="0.25">
      <c r="A454" s="207"/>
      <c r="C454" s="207"/>
      <c r="K454" s="207"/>
      <c r="L454" s="207"/>
      <c r="M454" s="207"/>
      <c r="R454" s="209"/>
      <c r="AB454" s="210"/>
      <c r="AG454" s="210"/>
      <c r="AJ454" s="210"/>
    </row>
    <row r="455" spans="1:36" s="208" customFormat="1" x14ac:dyDescent="0.25">
      <c r="A455" s="207"/>
      <c r="C455" s="207"/>
      <c r="K455" s="207"/>
      <c r="L455" s="207"/>
      <c r="M455" s="207"/>
      <c r="R455" s="209"/>
      <c r="AB455" s="210"/>
      <c r="AG455" s="210"/>
      <c r="AJ455" s="210"/>
    </row>
    <row r="456" spans="1:36" s="208" customFormat="1" x14ac:dyDescent="0.25">
      <c r="A456" s="207"/>
      <c r="C456" s="207"/>
      <c r="K456" s="207"/>
      <c r="L456" s="207"/>
      <c r="M456" s="207"/>
      <c r="R456" s="209"/>
      <c r="AB456" s="210"/>
      <c r="AG456" s="210"/>
      <c r="AJ456" s="210"/>
    </row>
    <row r="457" spans="1:36" s="208" customFormat="1" x14ac:dyDescent="0.25">
      <c r="A457" s="207"/>
      <c r="C457" s="207"/>
      <c r="K457" s="207"/>
      <c r="L457" s="207"/>
      <c r="M457" s="207"/>
      <c r="R457" s="209"/>
      <c r="AB457" s="210"/>
      <c r="AG457" s="210"/>
      <c r="AJ457" s="210"/>
    </row>
    <row r="458" spans="1:36" s="208" customFormat="1" x14ac:dyDescent="0.25">
      <c r="A458" s="207"/>
      <c r="C458" s="207"/>
      <c r="K458" s="207"/>
      <c r="L458" s="207"/>
      <c r="M458" s="207"/>
      <c r="R458" s="209"/>
      <c r="AB458" s="210"/>
      <c r="AG458" s="210"/>
      <c r="AJ458" s="210"/>
    </row>
    <row r="459" spans="1:36" s="208" customFormat="1" x14ac:dyDescent="0.25">
      <c r="A459" s="207"/>
      <c r="C459" s="207"/>
      <c r="K459" s="207"/>
      <c r="L459" s="207"/>
      <c r="M459" s="207"/>
      <c r="R459" s="209"/>
      <c r="AB459" s="210"/>
      <c r="AG459" s="210"/>
      <c r="AJ459" s="210"/>
    </row>
    <row r="460" spans="1:36" s="208" customFormat="1" x14ac:dyDescent="0.25">
      <c r="A460" s="207"/>
      <c r="C460" s="207"/>
      <c r="K460" s="207"/>
      <c r="L460" s="207"/>
      <c r="M460" s="207"/>
      <c r="R460" s="209"/>
      <c r="AB460" s="210"/>
      <c r="AG460" s="210"/>
      <c r="AJ460" s="210"/>
    </row>
    <row r="461" spans="1:36" s="208" customFormat="1" x14ac:dyDescent="0.25">
      <c r="A461" s="207"/>
      <c r="C461" s="207"/>
      <c r="K461" s="207"/>
      <c r="L461" s="207"/>
      <c r="M461" s="207"/>
      <c r="R461" s="209"/>
      <c r="AB461" s="210"/>
      <c r="AG461" s="210"/>
      <c r="AJ461" s="210"/>
    </row>
    <row r="462" spans="1:36" s="208" customFormat="1" x14ac:dyDescent="0.25">
      <c r="A462" s="207"/>
      <c r="C462" s="207"/>
      <c r="K462" s="207"/>
      <c r="L462" s="207"/>
      <c r="M462" s="207"/>
      <c r="R462" s="209"/>
      <c r="AB462" s="210"/>
      <c r="AG462" s="210"/>
      <c r="AJ462" s="210"/>
    </row>
    <row r="463" spans="1:36" s="208" customFormat="1" x14ac:dyDescent="0.25">
      <c r="A463" s="207"/>
      <c r="C463" s="207"/>
      <c r="K463" s="207"/>
      <c r="L463" s="207"/>
      <c r="M463" s="207"/>
      <c r="R463" s="209"/>
      <c r="AB463" s="210"/>
      <c r="AG463" s="210"/>
      <c r="AJ463" s="210"/>
    </row>
    <row r="464" spans="1:36" s="208" customFormat="1" x14ac:dyDescent="0.25">
      <c r="A464" s="207"/>
      <c r="C464" s="207"/>
      <c r="K464" s="207"/>
      <c r="L464" s="207"/>
      <c r="M464" s="207"/>
      <c r="R464" s="209"/>
      <c r="AB464" s="210"/>
      <c r="AG464" s="210"/>
      <c r="AJ464" s="210"/>
    </row>
    <row r="465" spans="1:36" s="208" customFormat="1" x14ac:dyDescent="0.25">
      <c r="A465" s="207"/>
      <c r="C465" s="207"/>
      <c r="K465" s="207"/>
      <c r="L465" s="207"/>
      <c r="M465" s="207"/>
      <c r="R465" s="209"/>
      <c r="AB465" s="210"/>
      <c r="AG465" s="210"/>
      <c r="AJ465" s="210"/>
    </row>
    <row r="466" spans="1:36" s="208" customFormat="1" x14ac:dyDescent="0.25">
      <c r="A466" s="207"/>
      <c r="C466" s="207"/>
      <c r="K466" s="207"/>
      <c r="L466" s="207"/>
      <c r="M466" s="207"/>
      <c r="R466" s="209"/>
      <c r="AB466" s="210"/>
      <c r="AG466" s="210"/>
      <c r="AJ466" s="210"/>
    </row>
    <row r="467" spans="1:36" s="208" customFormat="1" x14ac:dyDescent="0.25">
      <c r="A467" s="207"/>
      <c r="C467" s="207"/>
      <c r="K467" s="207"/>
      <c r="L467" s="207"/>
      <c r="M467" s="207"/>
      <c r="R467" s="209"/>
      <c r="AB467" s="210"/>
      <c r="AG467" s="210"/>
      <c r="AJ467" s="210"/>
    </row>
    <row r="468" spans="1:36" s="208" customFormat="1" x14ac:dyDescent="0.25">
      <c r="A468" s="207"/>
      <c r="C468" s="207"/>
      <c r="K468" s="207"/>
      <c r="L468" s="207"/>
      <c r="M468" s="207"/>
      <c r="R468" s="209"/>
      <c r="AB468" s="210"/>
      <c r="AG468" s="210"/>
      <c r="AJ468" s="210"/>
    </row>
    <row r="469" spans="1:36" s="208" customFormat="1" x14ac:dyDescent="0.25">
      <c r="A469" s="207"/>
      <c r="C469" s="207"/>
      <c r="K469" s="207"/>
      <c r="L469" s="207"/>
      <c r="M469" s="207"/>
      <c r="R469" s="209"/>
      <c r="AB469" s="210"/>
      <c r="AG469" s="210"/>
      <c r="AJ469" s="210"/>
    </row>
    <row r="470" spans="1:36" s="208" customFormat="1" x14ac:dyDescent="0.25">
      <c r="A470" s="207"/>
      <c r="C470" s="207"/>
      <c r="K470" s="207"/>
      <c r="L470" s="207"/>
      <c r="M470" s="207"/>
      <c r="R470" s="209"/>
      <c r="AB470" s="210"/>
      <c r="AG470" s="210"/>
      <c r="AJ470" s="210"/>
    </row>
    <row r="471" spans="1:36" s="208" customFormat="1" x14ac:dyDescent="0.25">
      <c r="A471" s="207"/>
      <c r="C471" s="207"/>
      <c r="K471" s="207"/>
      <c r="L471" s="207"/>
      <c r="M471" s="207"/>
      <c r="R471" s="209"/>
      <c r="AB471" s="210"/>
      <c r="AG471" s="210"/>
      <c r="AJ471" s="210"/>
    </row>
    <row r="472" spans="1:36" s="208" customFormat="1" x14ac:dyDescent="0.25">
      <c r="A472" s="207"/>
      <c r="C472" s="207"/>
      <c r="K472" s="207"/>
      <c r="L472" s="207"/>
      <c r="M472" s="207"/>
      <c r="R472" s="209"/>
      <c r="AB472" s="210"/>
      <c r="AG472" s="210"/>
      <c r="AJ472" s="210"/>
    </row>
    <row r="473" spans="1:36" s="208" customFormat="1" x14ac:dyDescent="0.25">
      <c r="A473" s="207"/>
      <c r="C473" s="207"/>
      <c r="K473" s="207"/>
      <c r="L473" s="207"/>
      <c r="M473" s="207"/>
      <c r="R473" s="209"/>
      <c r="AB473" s="210"/>
      <c r="AG473" s="210"/>
      <c r="AJ473" s="210"/>
    </row>
    <row r="474" spans="1:36" s="208" customFormat="1" x14ac:dyDescent="0.25">
      <c r="A474" s="207"/>
      <c r="C474" s="207"/>
      <c r="K474" s="207"/>
      <c r="L474" s="207"/>
      <c r="M474" s="207"/>
      <c r="R474" s="209"/>
      <c r="AB474" s="210"/>
      <c r="AG474" s="210"/>
      <c r="AJ474" s="210"/>
    </row>
    <row r="475" spans="1:36" s="208" customFormat="1" x14ac:dyDescent="0.25">
      <c r="A475" s="207"/>
      <c r="C475" s="207"/>
      <c r="K475" s="207"/>
      <c r="L475" s="207"/>
      <c r="M475" s="207"/>
      <c r="R475" s="209"/>
      <c r="AB475" s="210"/>
      <c r="AG475" s="210"/>
      <c r="AJ475" s="210"/>
    </row>
    <row r="476" spans="1:36" s="208" customFormat="1" x14ac:dyDescent="0.25">
      <c r="A476" s="207"/>
      <c r="C476" s="207"/>
      <c r="K476" s="207"/>
      <c r="L476" s="207"/>
      <c r="M476" s="207"/>
      <c r="R476" s="209"/>
      <c r="AB476" s="210"/>
      <c r="AG476" s="210"/>
      <c r="AJ476" s="210"/>
    </row>
    <row r="477" spans="1:36" s="208" customFormat="1" x14ac:dyDescent="0.25">
      <c r="A477" s="207"/>
      <c r="C477" s="207"/>
      <c r="K477" s="207"/>
      <c r="L477" s="207"/>
      <c r="M477" s="207"/>
      <c r="R477" s="209"/>
      <c r="AB477" s="210"/>
      <c r="AG477" s="210"/>
      <c r="AJ477" s="210"/>
    </row>
    <row r="478" spans="1:36" s="208" customFormat="1" x14ac:dyDescent="0.25">
      <c r="A478" s="207"/>
      <c r="C478" s="207"/>
      <c r="K478" s="207"/>
      <c r="L478" s="207"/>
      <c r="M478" s="207"/>
      <c r="R478" s="209"/>
      <c r="AB478" s="210"/>
      <c r="AG478" s="210"/>
      <c r="AJ478" s="210"/>
    </row>
    <row r="479" spans="1:36" s="208" customFormat="1" x14ac:dyDescent="0.25">
      <c r="A479" s="207"/>
      <c r="C479" s="207"/>
      <c r="K479" s="207"/>
      <c r="L479" s="207"/>
      <c r="M479" s="207"/>
      <c r="R479" s="209"/>
      <c r="AB479" s="210"/>
      <c r="AG479" s="210"/>
      <c r="AJ479" s="210"/>
    </row>
    <row r="480" spans="1:36" s="208" customFormat="1" x14ac:dyDescent="0.25">
      <c r="A480" s="207"/>
      <c r="C480" s="207"/>
      <c r="K480" s="207"/>
      <c r="L480" s="207"/>
      <c r="M480" s="207"/>
      <c r="R480" s="209"/>
      <c r="AB480" s="210"/>
      <c r="AG480" s="210"/>
      <c r="AJ480" s="210"/>
    </row>
    <row r="481" spans="1:36" s="208" customFormat="1" x14ac:dyDescent="0.25">
      <c r="A481" s="207"/>
      <c r="C481" s="207"/>
      <c r="K481" s="207"/>
      <c r="L481" s="207"/>
      <c r="M481" s="207"/>
      <c r="R481" s="209"/>
      <c r="AB481" s="210"/>
      <c r="AG481" s="210"/>
      <c r="AJ481" s="210"/>
    </row>
    <row r="482" spans="1:36" s="208" customFormat="1" x14ac:dyDescent="0.25">
      <c r="A482" s="207"/>
      <c r="C482" s="207"/>
      <c r="K482" s="207"/>
      <c r="L482" s="207"/>
      <c r="M482" s="207"/>
      <c r="R482" s="209"/>
      <c r="AB482" s="210"/>
      <c r="AG482" s="210"/>
      <c r="AJ482" s="210"/>
    </row>
    <row r="483" spans="1:36" s="208" customFormat="1" x14ac:dyDescent="0.25">
      <c r="A483" s="207"/>
      <c r="C483" s="207"/>
      <c r="K483" s="207"/>
      <c r="L483" s="207"/>
      <c r="M483" s="207"/>
      <c r="R483" s="209"/>
      <c r="AB483" s="210"/>
      <c r="AG483" s="210"/>
      <c r="AJ483" s="210"/>
    </row>
    <row r="484" spans="1:36" s="208" customFormat="1" x14ac:dyDescent="0.25">
      <c r="A484" s="207"/>
      <c r="C484" s="207"/>
      <c r="K484" s="207"/>
      <c r="L484" s="207"/>
      <c r="M484" s="207"/>
      <c r="R484" s="209"/>
      <c r="AB484" s="210"/>
      <c r="AG484" s="210"/>
      <c r="AJ484" s="210"/>
    </row>
    <row r="485" spans="1:36" s="208" customFormat="1" x14ac:dyDescent="0.25">
      <c r="A485" s="207"/>
      <c r="C485" s="207"/>
      <c r="K485" s="207"/>
      <c r="L485" s="207"/>
      <c r="M485" s="207"/>
      <c r="R485" s="209"/>
      <c r="AB485" s="210"/>
      <c r="AG485" s="210"/>
      <c r="AJ485" s="210"/>
    </row>
    <row r="486" spans="1:36" s="208" customFormat="1" x14ac:dyDescent="0.25">
      <c r="A486" s="207"/>
      <c r="C486" s="207"/>
      <c r="K486" s="207"/>
      <c r="L486" s="207"/>
      <c r="M486" s="207"/>
      <c r="R486" s="209"/>
      <c r="AB486" s="210"/>
      <c r="AG486" s="210"/>
      <c r="AJ486" s="210"/>
    </row>
    <row r="487" spans="1:36" s="208" customFormat="1" x14ac:dyDescent="0.25">
      <c r="A487" s="207"/>
      <c r="C487" s="207"/>
      <c r="K487" s="207"/>
      <c r="L487" s="207"/>
      <c r="M487" s="207"/>
      <c r="R487" s="209"/>
      <c r="AB487" s="210"/>
      <c r="AG487" s="210"/>
      <c r="AJ487" s="210"/>
    </row>
    <row r="488" spans="1:36" s="208" customFormat="1" x14ac:dyDescent="0.25">
      <c r="A488" s="207"/>
      <c r="C488" s="207"/>
      <c r="K488" s="207"/>
      <c r="L488" s="207"/>
      <c r="M488" s="207"/>
      <c r="R488" s="209"/>
      <c r="AB488" s="210"/>
      <c r="AG488" s="210"/>
      <c r="AJ488" s="210"/>
    </row>
    <row r="489" spans="1:36" s="208" customFormat="1" x14ac:dyDescent="0.25">
      <c r="A489" s="207"/>
      <c r="C489" s="207"/>
      <c r="K489" s="207"/>
      <c r="L489" s="207"/>
      <c r="M489" s="207"/>
      <c r="R489" s="209"/>
      <c r="AB489" s="210"/>
      <c r="AG489" s="210"/>
      <c r="AJ489" s="210"/>
    </row>
    <row r="490" spans="1:36" s="208" customFormat="1" x14ac:dyDescent="0.25">
      <c r="A490" s="207"/>
      <c r="C490" s="207"/>
      <c r="K490" s="207"/>
      <c r="L490" s="207"/>
      <c r="M490" s="207"/>
      <c r="R490" s="209"/>
      <c r="AB490" s="210"/>
      <c r="AG490" s="210"/>
      <c r="AJ490" s="210"/>
    </row>
    <row r="491" spans="1:36" s="208" customFormat="1" x14ac:dyDescent="0.25">
      <c r="A491" s="207"/>
      <c r="C491" s="207"/>
      <c r="K491" s="207"/>
      <c r="L491" s="207"/>
      <c r="M491" s="207"/>
      <c r="R491" s="209"/>
      <c r="AB491" s="210"/>
      <c r="AG491" s="210"/>
      <c r="AJ491" s="210"/>
    </row>
    <row r="492" spans="1:36" s="208" customFormat="1" x14ac:dyDescent="0.25">
      <c r="A492" s="207"/>
      <c r="C492" s="207"/>
      <c r="K492" s="207"/>
      <c r="L492" s="207"/>
      <c r="M492" s="207"/>
      <c r="R492" s="209"/>
      <c r="AB492" s="210"/>
      <c r="AG492" s="210"/>
      <c r="AJ492" s="210"/>
    </row>
    <row r="493" spans="1:36" s="208" customFormat="1" x14ac:dyDescent="0.25">
      <c r="A493" s="207"/>
      <c r="C493" s="207"/>
      <c r="K493" s="207"/>
      <c r="L493" s="207"/>
      <c r="M493" s="207"/>
      <c r="R493" s="209"/>
      <c r="AB493" s="210"/>
      <c r="AG493" s="210"/>
      <c r="AJ493" s="210"/>
    </row>
    <row r="494" spans="1:36" s="208" customFormat="1" x14ac:dyDescent="0.25">
      <c r="A494" s="207"/>
      <c r="C494" s="207"/>
      <c r="K494" s="207"/>
      <c r="L494" s="207"/>
      <c r="M494" s="207"/>
      <c r="R494" s="209"/>
      <c r="AB494" s="210"/>
      <c r="AG494" s="210"/>
      <c r="AJ494" s="210"/>
    </row>
    <row r="495" spans="1:36" s="208" customFormat="1" x14ac:dyDescent="0.25">
      <c r="A495" s="207"/>
      <c r="C495" s="207"/>
      <c r="K495" s="207"/>
      <c r="L495" s="207"/>
      <c r="M495" s="207"/>
      <c r="R495" s="209"/>
      <c r="AB495" s="210"/>
      <c r="AG495" s="210"/>
      <c r="AJ495" s="210"/>
    </row>
    <row r="496" spans="1:36" s="208" customFormat="1" x14ac:dyDescent="0.25">
      <c r="A496" s="207"/>
      <c r="C496" s="207"/>
      <c r="K496" s="207"/>
      <c r="L496" s="207"/>
      <c r="M496" s="207"/>
      <c r="R496" s="209"/>
      <c r="AB496" s="210"/>
      <c r="AG496" s="210"/>
      <c r="AJ496" s="210"/>
    </row>
    <row r="497" spans="1:36" s="208" customFormat="1" x14ac:dyDescent="0.25">
      <c r="A497" s="207"/>
      <c r="C497" s="207"/>
      <c r="K497" s="207"/>
      <c r="L497" s="207"/>
      <c r="M497" s="207"/>
      <c r="R497" s="209"/>
      <c r="AB497" s="210"/>
      <c r="AG497" s="210"/>
      <c r="AJ497" s="210"/>
    </row>
    <row r="498" spans="1:36" s="208" customFormat="1" x14ac:dyDescent="0.25">
      <c r="A498" s="207"/>
      <c r="C498" s="207"/>
      <c r="K498" s="207"/>
      <c r="L498" s="207"/>
      <c r="M498" s="207"/>
      <c r="R498" s="209"/>
      <c r="AB498" s="210"/>
      <c r="AG498" s="210"/>
      <c r="AJ498" s="210"/>
    </row>
    <row r="499" spans="1:36" s="208" customFormat="1" x14ac:dyDescent="0.25">
      <c r="A499" s="207"/>
      <c r="C499" s="207"/>
      <c r="K499" s="207"/>
      <c r="L499" s="207"/>
      <c r="M499" s="207"/>
      <c r="R499" s="209"/>
      <c r="AB499" s="210"/>
      <c r="AG499" s="210"/>
      <c r="AJ499" s="210"/>
    </row>
    <row r="500" spans="1:36" s="208" customFormat="1" x14ac:dyDescent="0.25">
      <c r="A500" s="207"/>
      <c r="C500" s="207"/>
      <c r="K500" s="207"/>
      <c r="L500" s="207"/>
      <c r="M500" s="207"/>
      <c r="R500" s="209"/>
      <c r="AB500" s="210"/>
      <c r="AG500" s="210"/>
      <c r="AJ500" s="210"/>
    </row>
    <row r="501" spans="1:36" s="208" customFormat="1" x14ac:dyDescent="0.25">
      <c r="A501" s="207"/>
      <c r="C501" s="207"/>
      <c r="K501" s="207"/>
      <c r="L501" s="207"/>
      <c r="M501" s="207"/>
      <c r="R501" s="209"/>
      <c r="AB501" s="210"/>
      <c r="AG501" s="210"/>
      <c r="AJ501" s="210"/>
    </row>
    <row r="502" spans="1:36" s="208" customFormat="1" x14ac:dyDescent="0.25">
      <c r="A502" s="207"/>
      <c r="C502" s="207"/>
      <c r="K502" s="207"/>
      <c r="L502" s="207"/>
      <c r="M502" s="207"/>
      <c r="R502" s="209"/>
      <c r="AB502" s="210"/>
      <c r="AG502" s="210"/>
      <c r="AJ502" s="210"/>
    </row>
    <row r="503" spans="1:36" s="208" customFormat="1" x14ac:dyDescent="0.25">
      <c r="A503" s="207"/>
      <c r="C503" s="207"/>
      <c r="K503" s="207"/>
      <c r="L503" s="207"/>
      <c r="M503" s="207"/>
      <c r="R503" s="209"/>
      <c r="AB503" s="210"/>
      <c r="AG503" s="210"/>
      <c r="AJ503" s="210"/>
    </row>
    <row r="504" spans="1:36" s="208" customFormat="1" x14ac:dyDescent="0.25">
      <c r="A504" s="207"/>
      <c r="C504" s="207"/>
      <c r="K504" s="207"/>
      <c r="L504" s="207"/>
      <c r="M504" s="207"/>
      <c r="R504" s="209"/>
      <c r="AB504" s="210"/>
      <c r="AG504" s="210"/>
      <c r="AJ504" s="210"/>
    </row>
    <row r="505" spans="1:36" s="208" customFormat="1" x14ac:dyDescent="0.25">
      <c r="A505" s="207"/>
      <c r="C505" s="207"/>
      <c r="K505" s="207"/>
      <c r="L505" s="207"/>
      <c r="M505" s="207"/>
      <c r="R505" s="209"/>
      <c r="AB505" s="210"/>
      <c r="AG505" s="210"/>
      <c r="AJ505" s="210"/>
    </row>
    <row r="506" spans="1:36" s="208" customFormat="1" x14ac:dyDescent="0.25">
      <c r="A506" s="207"/>
      <c r="C506" s="207"/>
      <c r="K506" s="207"/>
      <c r="L506" s="207"/>
      <c r="M506" s="207"/>
      <c r="R506" s="209"/>
      <c r="AB506" s="210"/>
      <c r="AG506" s="210"/>
      <c r="AJ506" s="210"/>
    </row>
    <row r="507" spans="1:36" s="208" customFormat="1" x14ac:dyDescent="0.25">
      <c r="A507" s="207"/>
      <c r="C507" s="207"/>
      <c r="K507" s="207"/>
      <c r="L507" s="207"/>
      <c r="M507" s="207"/>
      <c r="R507" s="209"/>
      <c r="AB507" s="210"/>
      <c r="AG507" s="210"/>
      <c r="AJ507" s="210"/>
    </row>
    <row r="508" spans="1:36" s="208" customFormat="1" x14ac:dyDescent="0.25">
      <c r="A508" s="207"/>
      <c r="C508" s="207"/>
      <c r="K508" s="207"/>
      <c r="L508" s="207"/>
      <c r="M508" s="207"/>
      <c r="R508" s="209"/>
      <c r="AB508" s="210"/>
      <c r="AG508" s="210"/>
      <c r="AJ508" s="210"/>
    </row>
    <row r="509" spans="1:36" s="208" customFormat="1" x14ac:dyDescent="0.25">
      <c r="A509" s="207"/>
      <c r="C509" s="207"/>
      <c r="K509" s="207"/>
      <c r="L509" s="207"/>
      <c r="M509" s="207"/>
      <c r="R509" s="209"/>
      <c r="AB509" s="210"/>
      <c r="AG509" s="210"/>
      <c r="AJ509" s="210"/>
    </row>
    <row r="510" spans="1:36" s="208" customFormat="1" x14ac:dyDescent="0.25">
      <c r="A510" s="207"/>
      <c r="C510" s="207"/>
      <c r="K510" s="207"/>
      <c r="L510" s="207"/>
      <c r="M510" s="207"/>
      <c r="R510" s="209"/>
      <c r="AB510" s="210"/>
      <c r="AG510" s="210"/>
      <c r="AJ510" s="210"/>
    </row>
    <row r="511" spans="1:36" s="208" customFormat="1" x14ac:dyDescent="0.25">
      <c r="A511" s="207"/>
      <c r="C511" s="207"/>
      <c r="K511" s="207"/>
      <c r="L511" s="207"/>
      <c r="M511" s="207"/>
      <c r="R511" s="209"/>
      <c r="AB511" s="210"/>
      <c r="AG511" s="210"/>
      <c r="AJ511" s="210"/>
    </row>
    <row r="512" spans="1:36" s="208" customFormat="1" x14ac:dyDescent="0.25">
      <c r="A512" s="207"/>
      <c r="C512" s="207"/>
      <c r="K512" s="207"/>
      <c r="L512" s="207"/>
      <c r="M512" s="207"/>
      <c r="R512" s="209"/>
      <c r="AB512" s="210"/>
      <c r="AG512" s="210"/>
      <c r="AJ512" s="210"/>
    </row>
    <row r="513" spans="1:36" s="208" customFormat="1" x14ac:dyDescent="0.25">
      <c r="A513" s="207"/>
      <c r="C513" s="207"/>
      <c r="K513" s="207"/>
      <c r="L513" s="207"/>
      <c r="M513" s="207"/>
      <c r="R513" s="209"/>
      <c r="AB513" s="210"/>
      <c r="AG513" s="210"/>
      <c r="AJ513" s="210"/>
    </row>
    <row r="514" spans="1:36" s="208" customFormat="1" x14ac:dyDescent="0.25">
      <c r="A514" s="207"/>
      <c r="C514" s="207"/>
      <c r="K514" s="207"/>
      <c r="L514" s="207"/>
      <c r="M514" s="207"/>
      <c r="R514" s="209"/>
      <c r="AB514" s="210"/>
      <c r="AG514" s="210"/>
      <c r="AJ514" s="210"/>
    </row>
    <row r="515" spans="1:36" s="208" customFormat="1" x14ac:dyDescent="0.25">
      <c r="A515" s="207"/>
      <c r="C515" s="207"/>
      <c r="K515" s="207"/>
      <c r="L515" s="207"/>
      <c r="M515" s="207"/>
      <c r="R515" s="209"/>
      <c r="AB515" s="210"/>
      <c r="AG515" s="210"/>
      <c r="AJ515" s="210"/>
    </row>
    <row r="516" spans="1:36" s="208" customFormat="1" x14ac:dyDescent="0.25">
      <c r="A516" s="207"/>
      <c r="C516" s="207"/>
      <c r="K516" s="207"/>
      <c r="L516" s="207"/>
      <c r="M516" s="207"/>
      <c r="R516" s="209"/>
      <c r="AB516" s="210"/>
      <c r="AG516" s="210"/>
      <c r="AJ516" s="210"/>
    </row>
    <row r="517" spans="1:36" s="208" customFormat="1" x14ac:dyDescent="0.25">
      <c r="A517" s="207"/>
      <c r="C517" s="207"/>
      <c r="K517" s="207"/>
      <c r="L517" s="207"/>
      <c r="M517" s="207"/>
      <c r="R517" s="209"/>
      <c r="AB517" s="210"/>
      <c r="AG517" s="210"/>
      <c r="AJ517" s="210"/>
    </row>
    <row r="518" spans="1:36" s="208" customFormat="1" x14ac:dyDescent="0.25">
      <c r="A518" s="207"/>
      <c r="C518" s="207"/>
      <c r="K518" s="207"/>
      <c r="L518" s="207"/>
      <c r="M518" s="207"/>
      <c r="R518" s="209"/>
      <c r="AB518" s="210"/>
      <c r="AG518" s="210"/>
      <c r="AJ518" s="210"/>
    </row>
    <row r="519" spans="1:36" s="208" customFormat="1" x14ac:dyDescent="0.25">
      <c r="A519" s="207"/>
      <c r="C519" s="207"/>
      <c r="K519" s="207"/>
      <c r="L519" s="207"/>
      <c r="M519" s="207"/>
      <c r="R519" s="209"/>
      <c r="AB519" s="210"/>
      <c r="AG519" s="210"/>
      <c r="AJ519" s="210"/>
    </row>
    <row r="520" spans="1:36" s="208" customFormat="1" x14ac:dyDescent="0.25">
      <c r="A520" s="207"/>
      <c r="C520" s="207"/>
      <c r="K520" s="207"/>
      <c r="L520" s="207"/>
      <c r="M520" s="207"/>
      <c r="R520" s="209"/>
      <c r="AB520" s="210"/>
      <c r="AG520" s="210"/>
      <c r="AJ520" s="210"/>
    </row>
    <row r="521" spans="1:36" s="208" customFormat="1" x14ac:dyDescent="0.25">
      <c r="A521" s="207"/>
      <c r="C521" s="207"/>
      <c r="K521" s="207"/>
      <c r="L521" s="207"/>
      <c r="M521" s="207"/>
      <c r="R521" s="209"/>
      <c r="AB521" s="210"/>
      <c r="AG521" s="210"/>
      <c r="AJ521" s="210"/>
    </row>
    <row r="522" spans="1:36" s="208" customFormat="1" x14ac:dyDescent="0.25">
      <c r="A522" s="207"/>
      <c r="C522" s="207"/>
      <c r="K522" s="207"/>
      <c r="L522" s="207"/>
      <c r="M522" s="207"/>
      <c r="R522" s="209"/>
      <c r="AB522" s="210"/>
      <c r="AG522" s="210"/>
      <c r="AJ522" s="210"/>
    </row>
    <row r="523" spans="1:36" s="208" customFormat="1" x14ac:dyDescent="0.25">
      <c r="A523" s="207"/>
      <c r="C523" s="207"/>
      <c r="K523" s="207"/>
      <c r="L523" s="207"/>
      <c r="M523" s="207"/>
      <c r="R523" s="209"/>
      <c r="AB523" s="210"/>
      <c r="AG523" s="210"/>
      <c r="AJ523" s="210"/>
    </row>
    <row r="524" spans="1:36" s="208" customFormat="1" x14ac:dyDescent="0.25">
      <c r="A524" s="207"/>
      <c r="C524" s="207"/>
      <c r="K524" s="207"/>
      <c r="L524" s="207"/>
      <c r="M524" s="207"/>
      <c r="R524" s="209"/>
      <c r="AB524" s="210"/>
      <c r="AG524" s="210"/>
      <c r="AJ524" s="210"/>
    </row>
    <row r="525" spans="1:36" s="208" customFormat="1" x14ac:dyDescent="0.25">
      <c r="A525" s="207"/>
      <c r="C525" s="207"/>
      <c r="K525" s="207"/>
      <c r="L525" s="207"/>
      <c r="M525" s="207"/>
      <c r="R525" s="209"/>
      <c r="AB525" s="210"/>
      <c r="AG525" s="210"/>
      <c r="AJ525" s="210"/>
    </row>
    <row r="526" spans="1:36" s="208" customFormat="1" x14ac:dyDescent="0.25">
      <c r="A526" s="207"/>
      <c r="C526" s="207"/>
      <c r="K526" s="207"/>
      <c r="L526" s="207"/>
      <c r="M526" s="207"/>
      <c r="R526" s="209"/>
      <c r="AB526" s="210"/>
      <c r="AG526" s="210"/>
      <c r="AJ526" s="210"/>
    </row>
    <row r="527" spans="1:36" s="208" customFormat="1" x14ac:dyDescent="0.25">
      <c r="A527" s="207"/>
      <c r="C527" s="207"/>
      <c r="K527" s="207"/>
      <c r="L527" s="207"/>
      <c r="M527" s="207"/>
      <c r="R527" s="209"/>
      <c r="AB527" s="210"/>
      <c r="AG527" s="210"/>
      <c r="AJ527" s="210"/>
    </row>
    <row r="528" spans="1:36" s="208" customFormat="1" x14ac:dyDescent="0.25">
      <c r="A528" s="207"/>
      <c r="C528" s="207"/>
      <c r="K528" s="207"/>
      <c r="L528" s="207"/>
      <c r="M528" s="207"/>
      <c r="R528" s="209"/>
      <c r="AB528" s="210"/>
      <c r="AG528" s="210"/>
      <c r="AJ528" s="210"/>
    </row>
    <row r="529" spans="1:36" s="208" customFormat="1" x14ac:dyDescent="0.25">
      <c r="A529" s="207"/>
      <c r="C529" s="207"/>
      <c r="K529" s="207"/>
      <c r="L529" s="207"/>
      <c r="M529" s="207"/>
      <c r="R529" s="209"/>
      <c r="AB529" s="210"/>
      <c r="AG529" s="210"/>
      <c r="AJ529" s="210"/>
    </row>
    <row r="530" spans="1:36" s="208" customFormat="1" x14ac:dyDescent="0.25">
      <c r="A530" s="207"/>
      <c r="C530" s="207"/>
      <c r="K530" s="207"/>
      <c r="L530" s="207"/>
      <c r="M530" s="207"/>
      <c r="R530" s="209"/>
      <c r="AB530" s="210"/>
      <c r="AG530" s="210"/>
      <c r="AJ530" s="210"/>
    </row>
    <row r="531" spans="1:36" s="208" customFormat="1" x14ac:dyDescent="0.25">
      <c r="A531" s="207"/>
      <c r="C531" s="207"/>
      <c r="K531" s="207"/>
      <c r="L531" s="207"/>
      <c r="M531" s="207"/>
      <c r="R531" s="209"/>
      <c r="AB531" s="210"/>
      <c r="AG531" s="210"/>
      <c r="AJ531" s="210"/>
    </row>
    <row r="532" spans="1:36" s="208" customFormat="1" x14ac:dyDescent="0.25">
      <c r="A532" s="207"/>
      <c r="C532" s="207"/>
      <c r="K532" s="207"/>
      <c r="L532" s="207"/>
      <c r="M532" s="207"/>
      <c r="R532" s="209"/>
      <c r="AB532" s="210"/>
      <c r="AG532" s="210"/>
      <c r="AJ532" s="210"/>
    </row>
    <row r="533" spans="1:36" s="208" customFormat="1" x14ac:dyDescent="0.25">
      <c r="A533" s="207"/>
      <c r="C533" s="207"/>
      <c r="K533" s="207"/>
      <c r="L533" s="207"/>
      <c r="M533" s="207"/>
      <c r="R533" s="209"/>
      <c r="AB533" s="210"/>
      <c r="AG533" s="210"/>
      <c r="AJ533" s="210"/>
    </row>
    <row r="534" spans="1:36" s="208" customFormat="1" x14ac:dyDescent="0.25">
      <c r="A534" s="207"/>
      <c r="C534" s="207"/>
      <c r="K534" s="207"/>
      <c r="L534" s="207"/>
      <c r="M534" s="207"/>
      <c r="R534" s="209"/>
      <c r="AB534" s="210"/>
      <c r="AG534" s="210"/>
      <c r="AJ534" s="210"/>
    </row>
    <row r="535" spans="1:36" s="208" customFormat="1" x14ac:dyDescent="0.25">
      <c r="A535" s="207"/>
      <c r="C535" s="207"/>
      <c r="K535" s="207"/>
      <c r="L535" s="207"/>
      <c r="M535" s="207"/>
      <c r="R535" s="209"/>
      <c r="AB535" s="210"/>
      <c r="AG535" s="210"/>
      <c r="AJ535" s="210"/>
    </row>
    <row r="536" spans="1:36" s="208" customFormat="1" x14ac:dyDescent="0.25">
      <c r="A536" s="207"/>
      <c r="C536" s="207"/>
      <c r="K536" s="207"/>
      <c r="L536" s="207"/>
      <c r="M536" s="207"/>
      <c r="R536" s="209"/>
      <c r="AB536" s="210"/>
      <c r="AG536" s="210"/>
      <c r="AJ536" s="210"/>
    </row>
    <row r="537" spans="1:36" s="208" customFormat="1" x14ac:dyDescent="0.25">
      <c r="A537" s="207"/>
      <c r="C537" s="207"/>
      <c r="K537" s="207"/>
      <c r="L537" s="207"/>
      <c r="M537" s="207"/>
      <c r="R537" s="209"/>
      <c r="AB537" s="210"/>
      <c r="AG537" s="210"/>
      <c r="AJ537" s="210"/>
    </row>
    <row r="538" spans="1:36" s="208" customFormat="1" x14ac:dyDescent="0.25">
      <c r="A538" s="207"/>
      <c r="C538" s="207"/>
      <c r="K538" s="207"/>
      <c r="L538" s="207"/>
      <c r="M538" s="207"/>
      <c r="R538" s="209"/>
      <c r="AB538" s="210"/>
      <c r="AG538" s="210"/>
      <c r="AJ538" s="210"/>
    </row>
    <row r="539" spans="1:36" s="208" customFormat="1" x14ac:dyDescent="0.25">
      <c r="A539" s="207"/>
      <c r="C539" s="207"/>
      <c r="K539" s="207"/>
      <c r="L539" s="207"/>
      <c r="M539" s="207"/>
      <c r="R539" s="209"/>
      <c r="AB539" s="210"/>
      <c r="AG539" s="210"/>
      <c r="AJ539" s="210"/>
    </row>
    <row r="540" spans="1:36" s="208" customFormat="1" x14ac:dyDescent="0.25">
      <c r="A540" s="207"/>
      <c r="C540" s="207"/>
      <c r="K540" s="207"/>
      <c r="L540" s="207"/>
      <c r="M540" s="207"/>
      <c r="R540" s="209"/>
      <c r="AB540" s="210"/>
      <c r="AG540" s="210"/>
      <c r="AJ540" s="210"/>
    </row>
    <row r="541" spans="1:36" s="208" customFormat="1" x14ac:dyDescent="0.25">
      <c r="A541" s="207"/>
      <c r="C541" s="207"/>
      <c r="K541" s="207"/>
      <c r="L541" s="207"/>
      <c r="M541" s="207"/>
      <c r="R541" s="209"/>
      <c r="AB541" s="210"/>
      <c r="AG541" s="210"/>
      <c r="AJ541" s="210"/>
    </row>
    <row r="542" spans="1:36" s="208" customFormat="1" x14ac:dyDescent="0.25">
      <c r="A542" s="207"/>
      <c r="C542" s="207"/>
      <c r="K542" s="207"/>
      <c r="L542" s="207"/>
      <c r="M542" s="207"/>
      <c r="R542" s="209"/>
      <c r="AB542" s="210"/>
      <c r="AG542" s="210"/>
      <c r="AJ542" s="210"/>
    </row>
    <row r="543" spans="1:36" s="208" customFormat="1" x14ac:dyDescent="0.25">
      <c r="A543" s="207"/>
      <c r="C543" s="207"/>
      <c r="K543" s="207"/>
      <c r="L543" s="207"/>
      <c r="M543" s="207"/>
      <c r="R543" s="209"/>
      <c r="AB543" s="210"/>
      <c r="AG543" s="210"/>
      <c r="AJ543" s="210"/>
    </row>
    <row r="544" spans="1:36" s="208" customFormat="1" x14ac:dyDescent="0.25">
      <c r="A544" s="207"/>
      <c r="C544" s="207"/>
      <c r="K544" s="207"/>
      <c r="L544" s="207"/>
      <c r="M544" s="207"/>
      <c r="R544" s="209"/>
      <c r="AB544" s="210"/>
      <c r="AG544" s="210"/>
      <c r="AJ544" s="210"/>
    </row>
    <row r="545" spans="1:36" s="208" customFormat="1" x14ac:dyDescent="0.25">
      <c r="A545" s="207"/>
      <c r="C545" s="207"/>
      <c r="K545" s="207"/>
      <c r="L545" s="207"/>
      <c r="M545" s="207"/>
      <c r="R545" s="209"/>
      <c r="AB545" s="210"/>
      <c r="AG545" s="210"/>
      <c r="AJ545" s="210"/>
    </row>
    <row r="546" spans="1:36" s="208" customFormat="1" x14ac:dyDescent="0.25">
      <c r="A546" s="207"/>
      <c r="C546" s="207"/>
      <c r="K546" s="207"/>
      <c r="L546" s="207"/>
      <c r="M546" s="207"/>
      <c r="R546" s="209"/>
      <c r="AB546" s="210"/>
      <c r="AG546" s="210"/>
      <c r="AJ546" s="210"/>
    </row>
    <row r="547" spans="1:36" s="208" customFormat="1" x14ac:dyDescent="0.25">
      <c r="A547" s="207"/>
      <c r="C547" s="207"/>
      <c r="K547" s="207"/>
      <c r="L547" s="207"/>
      <c r="M547" s="207"/>
      <c r="R547" s="209"/>
      <c r="AB547" s="210"/>
      <c r="AG547" s="210"/>
      <c r="AJ547" s="210"/>
    </row>
    <row r="548" spans="1:36" s="208" customFormat="1" x14ac:dyDescent="0.25">
      <c r="A548" s="207"/>
      <c r="C548" s="207"/>
      <c r="K548" s="207"/>
      <c r="L548" s="207"/>
      <c r="M548" s="207"/>
      <c r="R548" s="209"/>
      <c r="AB548" s="210"/>
      <c r="AG548" s="210"/>
      <c r="AJ548" s="210"/>
    </row>
    <row r="549" spans="1:36" s="208" customFormat="1" x14ac:dyDescent="0.25">
      <c r="A549" s="207"/>
      <c r="C549" s="207"/>
      <c r="K549" s="207"/>
      <c r="L549" s="207"/>
      <c r="M549" s="207"/>
      <c r="R549" s="209"/>
      <c r="AB549" s="210"/>
      <c r="AG549" s="210"/>
      <c r="AJ549" s="210"/>
    </row>
    <row r="550" spans="1:36" s="208" customFormat="1" x14ac:dyDescent="0.25">
      <c r="A550" s="207"/>
      <c r="C550" s="207"/>
      <c r="K550" s="207"/>
      <c r="L550" s="207"/>
      <c r="M550" s="207"/>
      <c r="R550" s="209"/>
      <c r="AB550" s="210"/>
      <c r="AG550" s="210"/>
      <c r="AJ550" s="210"/>
    </row>
    <row r="551" spans="1:36" s="208" customFormat="1" x14ac:dyDescent="0.25">
      <c r="A551" s="207"/>
      <c r="C551" s="207"/>
      <c r="K551" s="207"/>
      <c r="L551" s="207"/>
      <c r="M551" s="207"/>
      <c r="R551" s="209"/>
      <c r="AB551" s="210"/>
      <c r="AG551" s="210"/>
      <c r="AJ551" s="210"/>
    </row>
    <row r="552" spans="1:36" s="208" customFormat="1" x14ac:dyDescent="0.25">
      <c r="A552" s="207"/>
      <c r="C552" s="207"/>
      <c r="K552" s="207"/>
      <c r="L552" s="207"/>
      <c r="M552" s="207"/>
      <c r="R552" s="209"/>
      <c r="AB552" s="210"/>
      <c r="AG552" s="210"/>
      <c r="AJ552" s="210"/>
    </row>
    <row r="553" spans="1:36" s="208" customFormat="1" x14ac:dyDescent="0.25">
      <c r="A553" s="207"/>
      <c r="C553" s="207"/>
      <c r="K553" s="207"/>
      <c r="L553" s="207"/>
      <c r="M553" s="207"/>
      <c r="R553" s="209"/>
      <c r="AB553" s="210"/>
      <c r="AG553" s="210"/>
      <c r="AJ553" s="210"/>
    </row>
    <row r="554" spans="1:36" s="208" customFormat="1" x14ac:dyDescent="0.25">
      <c r="A554" s="207"/>
      <c r="C554" s="207"/>
      <c r="K554" s="207"/>
      <c r="L554" s="207"/>
      <c r="M554" s="207"/>
      <c r="R554" s="209"/>
      <c r="AB554" s="210"/>
      <c r="AG554" s="210"/>
      <c r="AJ554" s="210"/>
    </row>
    <row r="555" spans="1:36" s="208" customFormat="1" x14ac:dyDescent="0.25">
      <c r="A555" s="207"/>
      <c r="C555" s="207"/>
      <c r="K555" s="207"/>
      <c r="L555" s="207"/>
      <c r="M555" s="207"/>
      <c r="R555" s="209"/>
      <c r="AB555" s="210"/>
      <c r="AG555" s="210"/>
      <c r="AJ555" s="210"/>
    </row>
    <row r="556" spans="1:36" s="208" customFormat="1" x14ac:dyDescent="0.25">
      <c r="A556" s="207"/>
      <c r="C556" s="207"/>
      <c r="K556" s="207"/>
      <c r="L556" s="207"/>
      <c r="M556" s="207"/>
      <c r="R556" s="209"/>
      <c r="AB556" s="210"/>
      <c r="AG556" s="210"/>
      <c r="AJ556" s="210"/>
    </row>
    <row r="557" spans="1:36" s="208" customFormat="1" x14ac:dyDescent="0.25">
      <c r="A557" s="207"/>
      <c r="C557" s="207"/>
      <c r="K557" s="207"/>
      <c r="L557" s="207"/>
      <c r="M557" s="207"/>
      <c r="R557" s="209"/>
      <c r="AB557" s="210"/>
      <c r="AG557" s="210"/>
      <c r="AJ557" s="210"/>
    </row>
    <row r="558" spans="1:36" s="208" customFormat="1" x14ac:dyDescent="0.25">
      <c r="A558" s="207"/>
      <c r="C558" s="207"/>
      <c r="K558" s="207"/>
      <c r="L558" s="207"/>
      <c r="M558" s="207"/>
      <c r="R558" s="209"/>
      <c r="AB558" s="210"/>
      <c r="AG558" s="210"/>
      <c r="AJ558" s="210"/>
    </row>
    <row r="559" spans="1:36" s="208" customFormat="1" x14ac:dyDescent="0.25">
      <c r="A559" s="207"/>
      <c r="C559" s="207"/>
      <c r="K559" s="207"/>
      <c r="L559" s="207"/>
      <c r="M559" s="207"/>
      <c r="R559" s="209"/>
      <c r="AB559" s="210"/>
      <c r="AG559" s="210"/>
      <c r="AJ559" s="210"/>
    </row>
    <row r="560" spans="1:36" s="208" customFormat="1" x14ac:dyDescent="0.25">
      <c r="A560" s="207"/>
      <c r="C560" s="207"/>
      <c r="K560" s="207"/>
      <c r="L560" s="207"/>
      <c r="M560" s="207"/>
      <c r="R560" s="209"/>
      <c r="AB560" s="210"/>
      <c r="AG560" s="210"/>
      <c r="AJ560" s="210"/>
    </row>
    <row r="561" spans="1:36" s="208" customFormat="1" x14ac:dyDescent="0.25">
      <c r="A561" s="207"/>
      <c r="C561" s="207"/>
      <c r="K561" s="207"/>
      <c r="L561" s="207"/>
      <c r="M561" s="207"/>
      <c r="R561" s="209"/>
      <c r="AB561" s="210"/>
      <c r="AG561" s="210"/>
      <c r="AJ561" s="210"/>
    </row>
    <row r="562" spans="1:36" s="208" customFormat="1" x14ac:dyDescent="0.25">
      <c r="A562" s="207"/>
      <c r="C562" s="207"/>
      <c r="K562" s="207"/>
      <c r="L562" s="207"/>
      <c r="M562" s="207"/>
      <c r="R562" s="209"/>
      <c r="AB562" s="210"/>
      <c r="AG562" s="210"/>
      <c r="AJ562" s="210"/>
    </row>
    <row r="563" spans="1:36" s="208" customFormat="1" x14ac:dyDescent="0.25">
      <c r="A563" s="207"/>
      <c r="C563" s="207"/>
      <c r="K563" s="207"/>
      <c r="L563" s="207"/>
      <c r="M563" s="207"/>
      <c r="R563" s="209"/>
      <c r="AB563" s="210"/>
      <c r="AG563" s="210"/>
      <c r="AJ563" s="210"/>
    </row>
    <row r="564" spans="1:36" s="208" customFormat="1" x14ac:dyDescent="0.25">
      <c r="A564" s="207"/>
      <c r="C564" s="207"/>
      <c r="K564" s="207"/>
      <c r="L564" s="207"/>
      <c r="M564" s="207"/>
      <c r="R564" s="209"/>
      <c r="AB564" s="210"/>
      <c r="AG564" s="210"/>
      <c r="AJ564" s="210"/>
    </row>
    <row r="565" spans="1:36" s="208" customFormat="1" x14ac:dyDescent="0.25">
      <c r="A565" s="207"/>
      <c r="C565" s="207"/>
      <c r="K565" s="207"/>
      <c r="L565" s="207"/>
      <c r="M565" s="207"/>
      <c r="R565" s="209"/>
      <c r="AB565" s="210"/>
      <c r="AG565" s="210"/>
      <c r="AJ565" s="210"/>
    </row>
    <row r="566" spans="1:36" s="208" customFormat="1" x14ac:dyDescent="0.25">
      <c r="A566" s="207"/>
      <c r="C566" s="207"/>
      <c r="K566" s="207"/>
      <c r="L566" s="207"/>
      <c r="M566" s="207"/>
      <c r="R566" s="209"/>
      <c r="AB566" s="210"/>
      <c r="AG566" s="210"/>
      <c r="AJ566" s="210"/>
    </row>
    <row r="567" spans="1:36" s="208" customFormat="1" x14ac:dyDescent="0.25">
      <c r="A567" s="207"/>
      <c r="C567" s="207"/>
      <c r="K567" s="207"/>
      <c r="L567" s="207"/>
      <c r="M567" s="207"/>
      <c r="R567" s="209"/>
      <c r="AB567" s="210"/>
      <c r="AG567" s="210"/>
      <c r="AJ567" s="210"/>
    </row>
    <row r="568" spans="1:36" s="208" customFormat="1" x14ac:dyDescent="0.25">
      <c r="A568" s="207"/>
      <c r="C568" s="207"/>
      <c r="K568" s="207"/>
      <c r="L568" s="207"/>
      <c r="M568" s="207"/>
      <c r="R568" s="209"/>
      <c r="AB568" s="210"/>
      <c r="AG568" s="210"/>
      <c r="AJ568" s="210"/>
    </row>
    <row r="569" spans="1:36" s="208" customFormat="1" x14ac:dyDescent="0.25">
      <c r="A569" s="207"/>
      <c r="C569" s="207"/>
      <c r="K569" s="207"/>
      <c r="L569" s="207"/>
      <c r="M569" s="207"/>
      <c r="R569" s="209"/>
      <c r="AB569" s="210"/>
      <c r="AG569" s="210"/>
      <c r="AJ569" s="210"/>
    </row>
    <row r="570" spans="1:36" s="208" customFormat="1" x14ac:dyDescent="0.25">
      <c r="A570" s="207"/>
      <c r="C570" s="207"/>
      <c r="K570" s="207"/>
      <c r="L570" s="207"/>
      <c r="M570" s="207"/>
      <c r="R570" s="209"/>
      <c r="AB570" s="210"/>
      <c r="AG570" s="210"/>
      <c r="AJ570" s="210"/>
    </row>
    <row r="571" spans="1:36" s="208" customFormat="1" x14ac:dyDescent="0.25">
      <c r="A571" s="207"/>
      <c r="C571" s="207"/>
      <c r="K571" s="207"/>
      <c r="L571" s="207"/>
      <c r="M571" s="207"/>
      <c r="R571" s="209"/>
      <c r="AB571" s="210"/>
      <c r="AG571" s="210"/>
      <c r="AJ571" s="210"/>
    </row>
    <row r="572" spans="1:36" s="208" customFormat="1" x14ac:dyDescent="0.25">
      <c r="A572" s="207"/>
      <c r="C572" s="207"/>
      <c r="K572" s="207"/>
      <c r="L572" s="207"/>
      <c r="M572" s="207"/>
      <c r="R572" s="209"/>
      <c r="AB572" s="210"/>
      <c r="AG572" s="210"/>
      <c r="AJ572" s="210"/>
    </row>
    <row r="573" spans="1:36" s="208" customFormat="1" x14ac:dyDescent="0.25">
      <c r="A573" s="207"/>
      <c r="C573" s="207"/>
      <c r="K573" s="207"/>
      <c r="L573" s="207"/>
      <c r="M573" s="207"/>
      <c r="R573" s="209"/>
      <c r="AB573" s="210"/>
      <c r="AG573" s="210"/>
      <c r="AJ573" s="210"/>
    </row>
    <row r="574" spans="1:36" s="208" customFormat="1" x14ac:dyDescent="0.25">
      <c r="A574" s="207"/>
      <c r="C574" s="207"/>
      <c r="K574" s="207"/>
      <c r="L574" s="207"/>
      <c r="M574" s="207"/>
      <c r="R574" s="209"/>
      <c r="AB574" s="210"/>
      <c r="AG574" s="210"/>
      <c r="AJ574" s="210"/>
    </row>
    <row r="575" spans="1:36" s="208" customFormat="1" x14ac:dyDescent="0.25">
      <c r="A575" s="207"/>
      <c r="C575" s="207"/>
      <c r="K575" s="207"/>
      <c r="L575" s="207"/>
      <c r="M575" s="207"/>
      <c r="R575" s="209"/>
      <c r="AB575" s="210"/>
      <c r="AG575" s="210"/>
      <c r="AJ575" s="210"/>
    </row>
    <row r="576" spans="1:36" s="208" customFormat="1" x14ac:dyDescent="0.25">
      <c r="A576" s="207"/>
      <c r="C576" s="207"/>
      <c r="K576" s="207"/>
      <c r="L576" s="207"/>
      <c r="M576" s="207"/>
      <c r="R576" s="209"/>
      <c r="AB576" s="210"/>
      <c r="AG576" s="210"/>
      <c r="AJ576" s="210"/>
    </row>
    <row r="577" spans="1:36" s="208" customFormat="1" x14ac:dyDescent="0.25">
      <c r="A577" s="207"/>
      <c r="C577" s="207"/>
      <c r="K577" s="207"/>
      <c r="L577" s="207"/>
      <c r="M577" s="207"/>
      <c r="R577" s="209"/>
      <c r="AB577" s="210"/>
      <c r="AG577" s="210"/>
      <c r="AJ577" s="210"/>
    </row>
    <row r="578" spans="1:36" s="208" customFormat="1" x14ac:dyDescent="0.25">
      <c r="A578" s="207"/>
      <c r="C578" s="207"/>
      <c r="K578" s="207"/>
      <c r="L578" s="207"/>
      <c r="M578" s="207"/>
      <c r="R578" s="209"/>
      <c r="AB578" s="210"/>
      <c r="AG578" s="210"/>
      <c r="AJ578" s="210"/>
    </row>
    <row r="579" spans="1:36" s="208" customFormat="1" x14ac:dyDescent="0.25">
      <c r="A579" s="207"/>
      <c r="C579" s="207"/>
      <c r="K579" s="207"/>
      <c r="L579" s="207"/>
      <c r="M579" s="207"/>
      <c r="R579" s="209"/>
      <c r="AB579" s="210"/>
      <c r="AG579" s="210"/>
      <c r="AJ579" s="210"/>
    </row>
    <row r="580" spans="1:36" s="208" customFormat="1" x14ac:dyDescent="0.25">
      <c r="A580" s="207"/>
      <c r="C580" s="207"/>
      <c r="K580" s="207"/>
      <c r="L580" s="207"/>
      <c r="M580" s="207"/>
      <c r="R580" s="209"/>
      <c r="AB580" s="210"/>
      <c r="AG580" s="210"/>
      <c r="AJ580" s="210"/>
    </row>
    <row r="581" spans="1:36" s="208" customFormat="1" x14ac:dyDescent="0.25">
      <c r="A581" s="207"/>
      <c r="C581" s="207"/>
      <c r="K581" s="207"/>
      <c r="L581" s="207"/>
      <c r="M581" s="207"/>
      <c r="R581" s="209"/>
      <c r="AB581" s="210"/>
      <c r="AG581" s="210"/>
      <c r="AJ581" s="210"/>
    </row>
    <row r="582" spans="1:36" s="208" customFormat="1" x14ac:dyDescent="0.25">
      <c r="A582" s="207"/>
      <c r="C582" s="207"/>
      <c r="K582" s="207"/>
      <c r="L582" s="207"/>
      <c r="M582" s="207"/>
      <c r="R582" s="209"/>
      <c r="AB582" s="210"/>
      <c r="AG582" s="210"/>
      <c r="AJ582" s="210"/>
    </row>
    <row r="583" spans="1:36" s="208" customFormat="1" x14ac:dyDescent="0.25">
      <c r="A583" s="207"/>
      <c r="C583" s="207"/>
      <c r="K583" s="207"/>
      <c r="L583" s="207"/>
      <c r="M583" s="207"/>
      <c r="R583" s="209"/>
      <c r="AB583" s="210"/>
      <c r="AG583" s="210"/>
      <c r="AJ583" s="210"/>
    </row>
    <row r="584" spans="1:36" s="208" customFormat="1" x14ac:dyDescent="0.25">
      <c r="A584" s="207"/>
      <c r="C584" s="207"/>
      <c r="K584" s="207"/>
      <c r="L584" s="207"/>
      <c r="M584" s="207"/>
      <c r="R584" s="209"/>
      <c r="AB584" s="210"/>
      <c r="AG584" s="210"/>
      <c r="AJ584" s="210"/>
    </row>
    <row r="585" spans="1:36" s="208" customFormat="1" x14ac:dyDescent="0.25">
      <c r="A585" s="207"/>
      <c r="C585" s="207"/>
      <c r="K585" s="207"/>
      <c r="L585" s="207"/>
      <c r="M585" s="207"/>
      <c r="R585" s="209"/>
      <c r="AB585" s="210"/>
      <c r="AG585" s="210"/>
      <c r="AJ585" s="210"/>
    </row>
    <row r="586" spans="1:36" s="208" customFormat="1" x14ac:dyDescent="0.25">
      <c r="A586" s="207"/>
      <c r="C586" s="207"/>
      <c r="K586" s="207"/>
      <c r="L586" s="207"/>
      <c r="M586" s="207"/>
      <c r="R586" s="209"/>
      <c r="AB586" s="210"/>
      <c r="AG586" s="210"/>
      <c r="AJ586" s="210"/>
    </row>
    <row r="587" spans="1:36" s="208" customFormat="1" x14ac:dyDescent="0.25">
      <c r="A587" s="207"/>
      <c r="C587" s="207"/>
      <c r="K587" s="207"/>
      <c r="L587" s="207"/>
      <c r="M587" s="207"/>
      <c r="R587" s="209"/>
      <c r="AB587" s="210"/>
      <c r="AG587" s="210"/>
      <c r="AJ587" s="210"/>
    </row>
    <row r="588" spans="1:36" s="208" customFormat="1" x14ac:dyDescent="0.25">
      <c r="A588" s="207"/>
      <c r="C588" s="207"/>
      <c r="K588" s="207"/>
      <c r="L588" s="207"/>
      <c r="M588" s="207"/>
      <c r="R588" s="209"/>
      <c r="AB588" s="210"/>
      <c r="AG588" s="210"/>
      <c r="AJ588" s="210"/>
    </row>
    <row r="589" spans="1:36" s="208" customFormat="1" x14ac:dyDescent="0.25">
      <c r="A589" s="207"/>
      <c r="C589" s="207"/>
      <c r="K589" s="207"/>
      <c r="L589" s="207"/>
      <c r="M589" s="207"/>
      <c r="R589" s="209"/>
      <c r="AB589" s="210"/>
      <c r="AG589" s="210"/>
      <c r="AJ589" s="210"/>
    </row>
    <row r="590" spans="1:36" s="208" customFormat="1" x14ac:dyDescent="0.25">
      <c r="A590" s="207"/>
      <c r="C590" s="207"/>
      <c r="K590" s="207"/>
      <c r="L590" s="207"/>
      <c r="M590" s="207"/>
      <c r="R590" s="209"/>
      <c r="AB590" s="210"/>
      <c r="AG590" s="210"/>
      <c r="AJ590" s="210"/>
    </row>
    <row r="591" spans="1:36" s="208" customFormat="1" x14ac:dyDescent="0.25">
      <c r="A591" s="207"/>
      <c r="C591" s="207"/>
      <c r="K591" s="207"/>
      <c r="L591" s="207"/>
      <c r="M591" s="207"/>
      <c r="R591" s="209"/>
      <c r="AB591" s="210"/>
      <c r="AG591" s="210"/>
      <c r="AJ591" s="210"/>
    </row>
    <row r="592" spans="1:36" s="208" customFormat="1" x14ac:dyDescent="0.25">
      <c r="A592" s="207"/>
      <c r="C592" s="207"/>
      <c r="K592" s="207"/>
      <c r="L592" s="207"/>
      <c r="M592" s="207"/>
      <c r="R592" s="209"/>
      <c r="AB592" s="210"/>
      <c r="AG592" s="210"/>
      <c r="AJ592" s="210"/>
    </row>
    <row r="593" spans="1:36" s="208" customFormat="1" x14ac:dyDescent="0.25">
      <c r="A593" s="207"/>
      <c r="C593" s="207"/>
      <c r="K593" s="207"/>
      <c r="L593" s="207"/>
      <c r="M593" s="207"/>
      <c r="R593" s="209"/>
      <c r="AB593" s="210"/>
      <c r="AG593" s="210"/>
      <c r="AJ593" s="210"/>
    </row>
    <row r="594" spans="1:36" s="208" customFormat="1" x14ac:dyDescent="0.25">
      <c r="A594" s="207"/>
      <c r="C594" s="207"/>
      <c r="K594" s="207"/>
      <c r="L594" s="207"/>
      <c r="M594" s="207"/>
      <c r="R594" s="209"/>
      <c r="AB594" s="210"/>
      <c r="AG594" s="210"/>
      <c r="AJ594" s="210"/>
    </row>
    <row r="595" spans="1:36" s="208" customFormat="1" x14ac:dyDescent="0.25">
      <c r="A595" s="207"/>
      <c r="C595" s="207"/>
      <c r="K595" s="207"/>
      <c r="L595" s="207"/>
      <c r="M595" s="207"/>
      <c r="R595" s="209"/>
      <c r="AB595" s="210"/>
      <c r="AG595" s="210"/>
      <c r="AJ595" s="210"/>
    </row>
    <row r="596" spans="1:36" s="208" customFormat="1" x14ac:dyDescent="0.25">
      <c r="A596" s="207"/>
      <c r="C596" s="207"/>
      <c r="K596" s="207"/>
      <c r="L596" s="207"/>
      <c r="M596" s="207"/>
      <c r="R596" s="209"/>
      <c r="AB596" s="210"/>
      <c r="AG596" s="210"/>
      <c r="AJ596" s="210"/>
    </row>
    <row r="597" spans="1:36" s="208" customFormat="1" x14ac:dyDescent="0.25">
      <c r="A597" s="207"/>
      <c r="C597" s="207"/>
      <c r="K597" s="207"/>
      <c r="L597" s="207"/>
      <c r="M597" s="207"/>
      <c r="R597" s="209"/>
      <c r="AB597" s="210"/>
      <c r="AG597" s="210"/>
      <c r="AJ597" s="210"/>
    </row>
    <row r="598" spans="1:36" s="208" customFormat="1" x14ac:dyDescent="0.25">
      <c r="A598" s="207"/>
      <c r="C598" s="207"/>
      <c r="K598" s="207"/>
      <c r="L598" s="207"/>
      <c r="M598" s="207"/>
      <c r="R598" s="209"/>
      <c r="AB598" s="210"/>
      <c r="AG598" s="210"/>
      <c r="AJ598" s="210"/>
    </row>
    <row r="599" spans="1:36" s="208" customFormat="1" x14ac:dyDescent="0.25">
      <c r="A599" s="207"/>
      <c r="C599" s="207"/>
      <c r="K599" s="207"/>
      <c r="L599" s="207"/>
      <c r="M599" s="207"/>
      <c r="R599" s="209"/>
      <c r="AB599" s="210"/>
      <c r="AG599" s="210"/>
      <c r="AJ599" s="210"/>
    </row>
    <row r="600" spans="1:36" s="208" customFormat="1" x14ac:dyDescent="0.25">
      <c r="A600" s="207"/>
      <c r="C600" s="207"/>
      <c r="K600" s="207"/>
      <c r="L600" s="207"/>
      <c r="M600" s="207"/>
      <c r="R600" s="209"/>
      <c r="AB600" s="210"/>
      <c r="AG600" s="210"/>
      <c r="AJ600" s="210"/>
    </row>
    <row r="601" spans="1:36" s="208" customFormat="1" x14ac:dyDescent="0.25">
      <c r="A601" s="207"/>
      <c r="C601" s="207"/>
      <c r="K601" s="207"/>
      <c r="L601" s="207"/>
      <c r="M601" s="207"/>
      <c r="R601" s="209"/>
      <c r="AB601" s="210"/>
      <c r="AG601" s="210"/>
      <c r="AJ601" s="210"/>
    </row>
    <row r="602" spans="1:36" s="208" customFormat="1" x14ac:dyDescent="0.25">
      <c r="A602" s="207"/>
      <c r="C602" s="207"/>
      <c r="K602" s="207"/>
      <c r="L602" s="207"/>
      <c r="M602" s="207"/>
      <c r="R602" s="209"/>
      <c r="AB602" s="210"/>
      <c r="AG602" s="210"/>
      <c r="AJ602" s="210"/>
    </row>
    <row r="603" spans="1:36" s="208" customFormat="1" x14ac:dyDescent="0.25">
      <c r="A603" s="207"/>
      <c r="C603" s="207"/>
      <c r="K603" s="207"/>
      <c r="L603" s="207"/>
      <c r="M603" s="207"/>
      <c r="R603" s="209"/>
      <c r="AB603" s="210"/>
      <c r="AG603" s="210"/>
      <c r="AJ603" s="210"/>
    </row>
    <row r="604" spans="1:36" s="208" customFormat="1" x14ac:dyDescent="0.25">
      <c r="A604" s="207"/>
      <c r="C604" s="207"/>
      <c r="K604" s="207"/>
      <c r="L604" s="207"/>
      <c r="M604" s="207"/>
      <c r="R604" s="209"/>
      <c r="AB604" s="210"/>
      <c r="AG604" s="210"/>
      <c r="AJ604" s="210"/>
    </row>
    <row r="605" spans="1:36" s="208" customFormat="1" x14ac:dyDescent="0.25">
      <c r="A605" s="207"/>
      <c r="C605" s="207"/>
      <c r="K605" s="207"/>
      <c r="L605" s="207"/>
      <c r="M605" s="207"/>
      <c r="R605" s="209"/>
      <c r="AB605" s="210"/>
      <c r="AG605" s="210"/>
      <c r="AJ605" s="210"/>
    </row>
    <row r="606" spans="1:36" s="208" customFormat="1" x14ac:dyDescent="0.25">
      <c r="A606" s="207"/>
      <c r="C606" s="207"/>
      <c r="K606" s="207"/>
      <c r="L606" s="207"/>
      <c r="M606" s="207"/>
      <c r="R606" s="209"/>
      <c r="AB606" s="210"/>
      <c r="AG606" s="210"/>
      <c r="AJ606" s="210"/>
    </row>
    <row r="607" spans="1:36" s="208" customFormat="1" x14ac:dyDescent="0.25">
      <c r="A607" s="207"/>
      <c r="C607" s="207"/>
      <c r="K607" s="207"/>
      <c r="L607" s="207"/>
      <c r="M607" s="207"/>
      <c r="R607" s="209"/>
      <c r="AB607" s="210"/>
      <c r="AG607" s="210"/>
      <c r="AJ607" s="210"/>
    </row>
    <row r="608" spans="1:36" s="208" customFormat="1" x14ac:dyDescent="0.25">
      <c r="A608" s="207"/>
      <c r="C608" s="207"/>
      <c r="K608" s="207"/>
      <c r="L608" s="207"/>
      <c r="M608" s="207"/>
      <c r="R608" s="209"/>
      <c r="AB608" s="210"/>
      <c r="AG608" s="210"/>
      <c r="AJ608" s="210"/>
    </row>
    <row r="609" spans="1:36" s="208" customFormat="1" x14ac:dyDescent="0.25">
      <c r="A609" s="207"/>
      <c r="C609" s="207"/>
      <c r="K609" s="207"/>
      <c r="L609" s="207"/>
      <c r="M609" s="207"/>
      <c r="R609" s="209"/>
      <c r="AB609" s="210"/>
      <c r="AG609" s="210"/>
      <c r="AJ609" s="210"/>
    </row>
    <row r="610" spans="1:36" s="208" customFormat="1" x14ac:dyDescent="0.25">
      <c r="A610" s="207"/>
      <c r="C610" s="207"/>
      <c r="K610" s="207"/>
      <c r="L610" s="207"/>
      <c r="M610" s="207"/>
      <c r="R610" s="209"/>
      <c r="AB610" s="210"/>
      <c r="AG610" s="210"/>
      <c r="AJ610" s="210"/>
    </row>
    <row r="611" spans="1:36" s="208" customFormat="1" x14ac:dyDescent="0.25">
      <c r="A611" s="207"/>
      <c r="C611" s="207"/>
      <c r="K611" s="207"/>
      <c r="L611" s="207"/>
      <c r="M611" s="207"/>
      <c r="R611" s="209"/>
      <c r="AB611" s="210"/>
      <c r="AG611" s="210"/>
      <c r="AJ611" s="210"/>
    </row>
    <row r="612" spans="1:36" s="208" customFormat="1" x14ac:dyDescent="0.25">
      <c r="A612" s="207"/>
      <c r="C612" s="207"/>
      <c r="K612" s="207"/>
      <c r="L612" s="207"/>
      <c r="M612" s="207"/>
      <c r="R612" s="209"/>
      <c r="AB612" s="210"/>
      <c r="AG612" s="210"/>
      <c r="AJ612" s="210"/>
    </row>
    <row r="613" spans="1:36" s="208" customFormat="1" x14ac:dyDescent="0.25">
      <c r="A613" s="207"/>
      <c r="C613" s="207"/>
      <c r="K613" s="207"/>
      <c r="L613" s="207"/>
      <c r="M613" s="207"/>
      <c r="R613" s="209"/>
      <c r="AB613" s="210"/>
      <c r="AG613" s="210"/>
      <c r="AJ613" s="210"/>
    </row>
    <row r="614" spans="1:36" s="208" customFormat="1" x14ac:dyDescent="0.25">
      <c r="A614" s="207"/>
      <c r="C614" s="207"/>
      <c r="K614" s="207"/>
      <c r="L614" s="207"/>
      <c r="M614" s="207"/>
      <c r="R614" s="209"/>
      <c r="AB614" s="210"/>
      <c r="AG614" s="210"/>
      <c r="AJ614" s="210"/>
    </row>
    <row r="615" spans="1:36" s="208" customFormat="1" x14ac:dyDescent="0.25">
      <c r="A615" s="207"/>
      <c r="C615" s="207"/>
      <c r="K615" s="207"/>
      <c r="L615" s="207"/>
      <c r="M615" s="207"/>
      <c r="R615" s="209"/>
      <c r="AB615" s="210"/>
      <c r="AG615" s="210"/>
      <c r="AJ615" s="210"/>
    </row>
    <row r="616" spans="1:36" s="208" customFormat="1" x14ac:dyDescent="0.25">
      <c r="A616" s="207"/>
      <c r="C616" s="207"/>
      <c r="K616" s="207"/>
      <c r="L616" s="207"/>
      <c r="M616" s="207"/>
      <c r="R616" s="209"/>
      <c r="AB616" s="210"/>
      <c r="AG616" s="210"/>
      <c r="AJ616" s="210"/>
    </row>
    <row r="617" spans="1:36" s="208" customFormat="1" x14ac:dyDescent="0.25">
      <c r="A617" s="207"/>
      <c r="C617" s="207"/>
      <c r="K617" s="207"/>
      <c r="L617" s="207"/>
      <c r="M617" s="207"/>
      <c r="R617" s="209"/>
      <c r="AB617" s="210"/>
      <c r="AG617" s="210"/>
      <c r="AJ617" s="210"/>
    </row>
    <row r="618" spans="1:36" s="208" customFormat="1" x14ac:dyDescent="0.25">
      <c r="A618" s="207"/>
      <c r="C618" s="207"/>
      <c r="K618" s="207"/>
      <c r="L618" s="207"/>
      <c r="M618" s="207"/>
      <c r="R618" s="209"/>
      <c r="AB618" s="210"/>
      <c r="AG618" s="210"/>
      <c r="AJ618" s="210"/>
    </row>
    <row r="619" spans="1:36" s="208" customFormat="1" x14ac:dyDescent="0.25">
      <c r="A619" s="207"/>
      <c r="C619" s="207"/>
      <c r="K619" s="207"/>
      <c r="L619" s="207"/>
      <c r="M619" s="207"/>
      <c r="R619" s="209"/>
      <c r="AB619" s="210"/>
      <c r="AG619" s="210"/>
      <c r="AJ619" s="210"/>
    </row>
    <row r="620" spans="1:36" s="208" customFormat="1" x14ac:dyDescent="0.25">
      <c r="A620" s="207"/>
      <c r="C620" s="207"/>
      <c r="K620" s="207"/>
      <c r="L620" s="207"/>
      <c r="M620" s="207"/>
      <c r="R620" s="209"/>
      <c r="AB620" s="210"/>
      <c r="AG620" s="210"/>
      <c r="AJ620" s="210"/>
    </row>
    <row r="621" spans="1:36" s="208" customFormat="1" x14ac:dyDescent="0.25">
      <c r="A621" s="207"/>
      <c r="C621" s="207"/>
      <c r="K621" s="207"/>
      <c r="L621" s="207"/>
      <c r="M621" s="207"/>
      <c r="R621" s="209"/>
      <c r="AB621" s="210"/>
      <c r="AG621" s="210"/>
      <c r="AJ621" s="210"/>
    </row>
    <row r="622" spans="1:36" s="208" customFormat="1" x14ac:dyDescent="0.25">
      <c r="A622" s="207"/>
      <c r="C622" s="207"/>
      <c r="K622" s="207"/>
      <c r="L622" s="207"/>
      <c r="M622" s="207"/>
      <c r="R622" s="209"/>
      <c r="AB622" s="210"/>
      <c r="AG622" s="210"/>
      <c r="AJ622" s="210"/>
    </row>
    <row r="623" spans="1:36" s="208" customFormat="1" x14ac:dyDescent="0.25">
      <c r="A623" s="207"/>
      <c r="C623" s="207"/>
      <c r="K623" s="207"/>
      <c r="L623" s="207"/>
      <c r="M623" s="207"/>
      <c r="R623" s="209"/>
      <c r="AB623" s="210"/>
      <c r="AG623" s="210"/>
      <c r="AJ623" s="210"/>
    </row>
    <row r="624" spans="1:36" s="208" customFormat="1" x14ac:dyDescent="0.25">
      <c r="A624" s="207"/>
      <c r="C624" s="207"/>
      <c r="K624" s="207"/>
      <c r="L624" s="207"/>
      <c r="M624" s="207"/>
      <c r="R624" s="209"/>
      <c r="AB624" s="210"/>
      <c r="AG624" s="210"/>
      <c r="AJ624" s="210"/>
    </row>
    <row r="625" spans="1:36" s="208" customFormat="1" x14ac:dyDescent="0.25">
      <c r="A625" s="207"/>
      <c r="C625" s="207"/>
      <c r="K625" s="207"/>
      <c r="L625" s="207"/>
      <c r="M625" s="207"/>
      <c r="R625" s="209"/>
      <c r="AB625" s="210"/>
      <c r="AG625" s="210"/>
      <c r="AJ625" s="210"/>
    </row>
    <row r="626" spans="1:36" s="208" customFormat="1" x14ac:dyDescent="0.25">
      <c r="A626" s="207"/>
      <c r="C626" s="207"/>
      <c r="K626" s="207"/>
      <c r="L626" s="207"/>
      <c r="M626" s="207"/>
      <c r="R626" s="209"/>
      <c r="AB626" s="210"/>
      <c r="AG626" s="210"/>
      <c r="AJ626" s="210"/>
    </row>
    <row r="627" spans="1:36" s="208" customFormat="1" x14ac:dyDescent="0.25">
      <c r="A627" s="207"/>
      <c r="C627" s="207"/>
      <c r="K627" s="207"/>
      <c r="L627" s="207"/>
      <c r="M627" s="207"/>
      <c r="R627" s="209"/>
      <c r="AB627" s="210"/>
      <c r="AG627" s="210"/>
      <c r="AJ627" s="210"/>
    </row>
    <row r="628" spans="1:36" s="208" customFormat="1" x14ac:dyDescent="0.25">
      <c r="A628" s="207"/>
      <c r="C628" s="207"/>
      <c r="K628" s="207"/>
      <c r="L628" s="207"/>
      <c r="M628" s="207"/>
      <c r="R628" s="209"/>
      <c r="AB628" s="210"/>
      <c r="AG628" s="210"/>
      <c r="AJ628" s="210"/>
    </row>
    <row r="629" spans="1:36" s="208" customFormat="1" x14ac:dyDescent="0.25">
      <c r="A629" s="207"/>
      <c r="C629" s="207"/>
      <c r="K629" s="207"/>
      <c r="L629" s="207"/>
      <c r="M629" s="207"/>
      <c r="R629" s="209"/>
      <c r="AB629" s="210"/>
      <c r="AG629" s="210"/>
      <c r="AJ629" s="210"/>
    </row>
    <row r="630" spans="1:36" s="208" customFormat="1" x14ac:dyDescent="0.25">
      <c r="A630" s="207"/>
      <c r="C630" s="207"/>
      <c r="K630" s="207"/>
      <c r="L630" s="207"/>
      <c r="M630" s="207"/>
      <c r="R630" s="209"/>
      <c r="AB630" s="210"/>
      <c r="AG630" s="210"/>
      <c r="AJ630" s="210"/>
    </row>
    <row r="631" spans="1:36" s="208" customFormat="1" x14ac:dyDescent="0.25">
      <c r="A631" s="207"/>
      <c r="C631" s="207"/>
      <c r="K631" s="207"/>
      <c r="L631" s="207"/>
      <c r="M631" s="207"/>
      <c r="R631" s="209"/>
      <c r="AB631" s="210"/>
      <c r="AG631" s="210"/>
      <c r="AJ631" s="210"/>
    </row>
    <row r="632" spans="1:36" s="208" customFormat="1" x14ac:dyDescent="0.25">
      <c r="A632" s="207"/>
      <c r="C632" s="207"/>
      <c r="K632" s="207"/>
      <c r="L632" s="207"/>
      <c r="M632" s="207"/>
      <c r="R632" s="209"/>
      <c r="AB632" s="210"/>
      <c r="AG632" s="210"/>
      <c r="AJ632" s="210"/>
    </row>
    <row r="633" spans="1:36" s="208" customFormat="1" x14ac:dyDescent="0.25">
      <c r="A633" s="207"/>
      <c r="C633" s="207"/>
      <c r="K633" s="207"/>
      <c r="L633" s="207"/>
      <c r="M633" s="207"/>
      <c r="R633" s="209"/>
      <c r="AB633" s="210"/>
      <c r="AG633" s="210"/>
      <c r="AJ633" s="210"/>
    </row>
    <row r="634" spans="1:36" s="208" customFormat="1" x14ac:dyDescent="0.25">
      <c r="A634" s="207"/>
      <c r="C634" s="207"/>
      <c r="K634" s="207"/>
      <c r="L634" s="207"/>
      <c r="M634" s="207"/>
      <c r="R634" s="209"/>
      <c r="AB634" s="210"/>
      <c r="AG634" s="210"/>
      <c r="AJ634" s="210"/>
    </row>
    <row r="635" spans="1:36" s="208" customFormat="1" x14ac:dyDescent="0.25">
      <c r="A635" s="207"/>
      <c r="C635" s="207"/>
      <c r="K635" s="207"/>
      <c r="L635" s="207"/>
      <c r="M635" s="207"/>
      <c r="R635" s="209"/>
      <c r="AB635" s="210"/>
      <c r="AG635" s="210"/>
      <c r="AJ635" s="210"/>
    </row>
    <row r="636" spans="1:36" s="208" customFormat="1" x14ac:dyDescent="0.25">
      <c r="A636" s="207"/>
      <c r="C636" s="207"/>
      <c r="K636" s="207"/>
      <c r="L636" s="207"/>
      <c r="M636" s="207"/>
      <c r="R636" s="209"/>
      <c r="AB636" s="210"/>
      <c r="AG636" s="210"/>
      <c r="AJ636" s="210"/>
    </row>
    <row r="637" spans="1:36" s="208" customFormat="1" x14ac:dyDescent="0.25">
      <c r="A637" s="207"/>
      <c r="C637" s="207"/>
      <c r="K637" s="207"/>
      <c r="L637" s="207"/>
      <c r="M637" s="207"/>
      <c r="R637" s="209"/>
      <c r="AB637" s="210"/>
      <c r="AG637" s="210"/>
      <c r="AJ637" s="210"/>
    </row>
    <row r="638" spans="1:36" s="208" customFormat="1" x14ac:dyDescent="0.25">
      <c r="A638" s="207"/>
      <c r="C638" s="207"/>
      <c r="K638" s="207"/>
      <c r="L638" s="207"/>
      <c r="M638" s="207"/>
      <c r="R638" s="209"/>
      <c r="AB638" s="210"/>
      <c r="AG638" s="210"/>
      <c r="AJ638" s="210"/>
    </row>
    <row r="639" spans="1:36" s="208" customFormat="1" x14ac:dyDescent="0.25">
      <c r="A639" s="207"/>
      <c r="C639" s="207"/>
      <c r="K639" s="207"/>
      <c r="L639" s="207"/>
      <c r="M639" s="207"/>
      <c r="R639" s="209"/>
      <c r="AB639" s="210"/>
      <c r="AG639" s="210"/>
      <c r="AJ639" s="210"/>
    </row>
    <row r="640" spans="1:36" s="208" customFormat="1" x14ac:dyDescent="0.25">
      <c r="A640" s="207"/>
      <c r="C640" s="207"/>
      <c r="K640" s="207"/>
      <c r="L640" s="207"/>
      <c r="M640" s="207"/>
      <c r="R640" s="209"/>
      <c r="AB640" s="210"/>
      <c r="AG640" s="210"/>
      <c r="AJ640" s="210"/>
    </row>
    <row r="641" spans="1:36" s="208" customFormat="1" x14ac:dyDescent="0.25">
      <c r="A641" s="207"/>
      <c r="C641" s="207"/>
      <c r="K641" s="207"/>
      <c r="L641" s="207"/>
      <c r="M641" s="207"/>
      <c r="R641" s="209"/>
      <c r="AB641" s="210"/>
      <c r="AG641" s="210"/>
      <c r="AJ641" s="210"/>
    </row>
    <row r="642" spans="1:36" s="208" customFormat="1" x14ac:dyDescent="0.25">
      <c r="A642" s="207"/>
      <c r="C642" s="207"/>
      <c r="K642" s="207"/>
      <c r="L642" s="207"/>
      <c r="M642" s="207"/>
      <c r="R642" s="209"/>
      <c r="AB642" s="210"/>
      <c r="AG642" s="210"/>
      <c r="AJ642" s="210"/>
    </row>
    <row r="643" spans="1:36" s="208" customFormat="1" x14ac:dyDescent="0.25">
      <c r="A643" s="207"/>
      <c r="C643" s="207"/>
      <c r="K643" s="207"/>
      <c r="L643" s="207"/>
      <c r="M643" s="207"/>
      <c r="R643" s="209"/>
      <c r="AB643" s="210"/>
      <c r="AG643" s="210"/>
      <c r="AJ643" s="210"/>
    </row>
    <row r="644" spans="1:36" s="208" customFormat="1" x14ac:dyDescent="0.25">
      <c r="A644" s="207"/>
      <c r="C644" s="207"/>
      <c r="K644" s="207"/>
      <c r="L644" s="207"/>
      <c r="M644" s="207"/>
      <c r="R644" s="209"/>
      <c r="AB644" s="210"/>
      <c r="AG644" s="210"/>
      <c r="AJ644" s="210"/>
    </row>
    <row r="645" spans="1:36" s="208" customFormat="1" x14ac:dyDescent="0.25">
      <c r="A645" s="207"/>
      <c r="C645" s="207"/>
      <c r="K645" s="207"/>
      <c r="L645" s="207"/>
      <c r="M645" s="207"/>
      <c r="R645" s="209"/>
      <c r="AB645" s="210"/>
      <c r="AG645" s="210"/>
      <c r="AJ645" s="210"/>
    </row>
    <row r="646" spans="1:36" s="208" customFormat="1" x14ac:dyDescent="0.25">
      <c r="A646" s="207"/>
      <c r="C646" s="207"/>
      <c r="K646" s="207"/>
      <c r="L646" s="207"/>
      <c r="M646" s="207"/>
      <c r="R646" s="209"/>
      <c r="AB646" s="210"/>
      <c r="AG646" s="210"/>
      <c r="AJ646" s="210"/>
    </row>
    <row r="647" spans="1:36" s="208" customFormat="1" x14ac:dyDescent="0.25">
      <c r="A647" s="207"/>
      <c r="C647" s="207"/>
      <c r="K647" s="207"/>
      <c r="L647" s="207"/>
      <c r="M647" s="207"/>
      <c r="R647" s="209"/>
      <c r="AB647" s="210"/>
      <c r="AG647" s="210"/>
      <c r="AJ647" s="210"/>
    </row>
    <row r="648" spans="1:36" s="208" customFormat="1" x14ac:dyDescent="0.25">
      <c r="A648" s="207"/>
      <c r="C648" s="207"/>
      <c r="K648" s="207"/>
      <c r="L648" s="207"/>
      <c r="M648" s="207"/>
      <c r="R648" s="209"/>
      <c r="AB648" s="210"/>
      <c r="AG648" s="210"/>
      <c r="AJ648" s="210"/>
    </row>
    <row r="649" spans="1:36" s="208" customFormat="1" x14ac:dyDescent="0.25">
      <c r="A649" s="207"/>
      <c r="C649" s="207"/>
      <c r="K649" s="207"/>
      <c r="L649" s="207"/>
      <c r="M649" s="207"/>
      <c r="R649" s="209"/>
      <c r="AB649" s="210"/>
      <c r="AG649" s="210"/>
      <c r="AJ649" s="210"/>
    </row>
    <row r="650" spans="1:36" s="208" customFormat="1" x14ac:dyDescent="0.25">
      <c r="A650" s="207"/>
      <c r="C650" s="207"/>
      <c r="K650" s="207"/>
      <c r="L650" s="207"/>
      <c r="M650" s="207"/>
      <c r="R650" s="209"/>
      <c r="AB650" s="210"/>
      <c r="AG650" s="210"/>
      <c r="AJ650" s="210"/>
    </row>
    <row r="651" spans="1:36" s="208" customFormat="1" x14ac:dyDescent="0.25">
      <c r="A651" s="207"/>
      <c r="C651" s="207"/>
      <c r="K651" s="207"/>
      <c r="L651" s="207"/>
      <c r="M651" s="207"/>
      <c r="R651" s="209"/>
      <c r="AB651" s="210"/>
      <c r="AG651" s="210"/>
      <c r="AJ651" s="210"/>
    </row>
    <row r="652" spans="1:36" s="208" customFormat="1" x14ac:dyDescent="0.25">
      <c r="A652" s="207"/>
      <c r="C652" s="207"/>
      <c r="K652" s="207"/>
      <c r="L652" s="207"/>
      <c r="M652" s="207"/>
      <c r="R652" s="209"/>
      <c r="AB652" s="210"/>
      <c r="AG652" s="210"/>
      <c r="AJ652" s="210"/>
    </row>
    <row r="653" spans="1:36" s="208" customFormat="1" x14ac:dyDescent="0.25">
      <c r="A653" s="207"/>
      <c r="C653" s="207"/>
      <c r="K653" s="207"/>
      <c r="L653" s="207"/>
      <c r="M653" s="207"/>
      <c r="R653" s="209"/>
      <c r="AB653" s="210"/>
      <c r="AG653" s="210"/>
      <c r="AJ653" s="210"/>
    </row>
    <row r="654" spans="1:36" s="208" customFormat="1" x14ac:dyDescent="0.25">
      <c r="A654" s="207"/>
      <c r="C654" s="207"/>
      <c r="K654" s="207"/>
      <c r="L654" s="207"/>
      <c r="M654" s="207"/>
      <c r="R654" s="209"/>
      <c r="AB654" s="210"/>
      <c r="AG654" s="210"/>
      <c r="AJ654" s="210"/>
    </row>
    <row r="655" spans="1:36" s="208" customFormat="1" x14ac:dyDescent="0.25">
      <c r="A655" s="207"/>
      <c r="C655" s="207"/>
      <c r="K655" s="207"/>
      <c r="L655" s="207"/>
      <c r="M655" s="207"/>
      <c r="R655" s="209"/>
      <c r="AB655" s="210"/>
      <c r="AG655" s="210"/>
      <c r="AJ655" s="210"/>
    </row>
    <row r="656" spans="1:36" s="208" customFormat="1" x14ac:dyDescent="0.25">
      <c r="A656" s="207"/>
      <c r="C656" s="207"/>
      <c r="K656" s="207"/>
      <c r="L656" s="207"/>
      <c r="M656" s="207"/>
      <c r="R656" s="209"/>
      <c r="AB656" s="210"/>
      <c r="AG656" s="210"/>
      <c r="AJ656" s="210"/>
    </row>
    <row r="657" spans="1:36" s="208" customFormat="1" x14ac:dyDescent="0.25">
      <c r="A657" s="207"/>
      <c r="C657" s="207"/>
      <c r="K657" s="207"/>
      <c r="L657" s="207"/>
      <c r="M657" s="207"/>
      <c r="R657" s="209"/>
      <c r="AB657" s="210"/>
      <c r="AG657" s="210"/>
      <c r="AJ657" s="210"/>
    </row>
    <row r="658" spans="1:36" s="208" customFormat="1" x14ac:dyDescent="0.25">
      <c r="A658" s="207"/>
      <c r="C658" s="207"/>
      <c r="K658" s="207"/>
      <c r="L658" s="207"/>
      <c r="M658" s="207"/>
      <c r="R658" s="209"/>
      <c r="AB658" s="210"/>
      <c r="AG658" s="210"/>
      <c r="AJ658" s="210"/>
    </row>
    <row r="659" spans="1:36" s="208" customFormat="1" x14ac:dyDescent="0.25">
      <c r="A659" s="207"/>
      <c r="C659" s="207"/>
      <c r="K659" s="207"/>
      <c r="L659" s="207"/>
      <c r="M659" s="207"/>
      <c r="R659" s="209"/>
      <c r="AB659" s="210"/>
      <c r="AG659" s="210"/>
      <c r="AJ659" s="210"/>
    </row>
    <row r="660" spans="1:36" s="208" customFormat="1" x14ac:dyDescent="0.25">
      <c r="A660" s="207"/>
      <c r="C660" s="207"/>
      <c r="K660" s="207"/>
      <c r="L660" s="207"/>
      <c r="M660" s="207"/>
      <c r="R660" s="209"/>
      <c r="AB660" s="210"/>
      <c r="AG660" s="210"/>
      <c r="AJ660" s="210"/>
    </row>
    <row r="661" spans="1:36" s="208" customFormat="1" x14ac:dyDescent="0.25">
      <c r="A661" s="207"/>
      <c r="C661" s="207"/>
      <c r="K661" s="207"/>
      <c r="L661" s="207"/>
      <c r="M661" s="207"/>
      <c r="R661" s="209"/>
      <c r="AB661" s="210"/>
      <c r="AG661" s="210"/>
      <c r="AJ661" s="210"/>
    </row>
    <row r="662" spans="1:36" s="208" customFormat="1" x14ac:dyDescent="0.25">
      <c r="A662" s="207"/>
      <c r="C662" s="207"/>
      <c r="K662" s="207"/>
      <c r="L662" s="207"/>
      <c r="M662" s="207"/>
      <c r="R662" s="209"/>
      <c r="AB662" s="210"/>
      <c r="AG662" s="210"/>
      <c r="AJ662" s="210"/>
    </row>
    <row r="663" spans="1:36" s="208" customFormat="1" x14ac:dyDescent="0.25">
      <c r="A663" s="207"/>
      <c r="C663" s="207"/>
      <c r="K663" s="207"/>
      <c r="L663" s="207"/>
      <c r="M663" s="207"/>
      <c r="R663" s="209"/>
      <c r="AB663" s="210"/>
      <c r="AG663" s="210"/>
      <c r="AJ663" s="210"/>
    </row>
    <row r="664" spans="1:36" s="208" customFormat="1" x14ac:dyDescent="0.25">
      <c r="A664" s="207"/>
      <c r="C664" s="207"/>
      <c r="K664" s="207"/>
      <c r="L664" s="207"/>
      <c r="M664" s="207"/>
      <c r="R664" s="209"/>
      <c r="AB664" s="210"/>
      <c r="AG664" s="210"/>
      <c r="AJ664" s="210"/>
    </row>
    <row r="665" spans="1:36" s="208" customFormat="1" x14ac:dyDescent="0.25">
      <c r="A665" s="207"/>
      <c r="C665" s="207"/>
      <c r="K665" s="207"/>
      <c r="L665" s="207"/>
      <c r="M665" s="207"/>
      <c r="R665" s="209"/>
      <c r="AB665" s="210"/>
      <c r="AG665" s="210"/>
      <c r="AJ665" s="210"/>
    </row>
    <row r="666" spans="1:36" s="208" customFormat="1" x14ac:dyDescent="0.25">
      <c r="A666" s="207"/>
      <c r="C666" s="207"/>
      <c r="K666" s="207"/>
      <c r="L666" s="207"/>
      <c r="M666" s="207"/>
      <c r="R666" s="209"/>
      <c r="AB666" s="210"/>
      <c r="AG666" s="210"/>
      <c r="AJ666" s="210"/>
    </row>
    <row r="667" spans="1:36" s="208" customFormat="1" x14ac:dyDescent="0.25">
      <c r="A667" s="207"/>
      <c r="C667" s="207"/>
      <c r="K667" s="207"/>
      <c r="L667" s="207"/>
      <c r="M667" s="207"/>
      <c r="R667" s="209"/>
      <c r="AB667" s="210"/>
      <c r="AG667" s="210"/>
      <c r="AJ667" s="210"/>
    </row>
    <row r="668" spans="1:36" s="208" customFormat="1" x14ac:dyDescent="0.25">
      <c r="A668" s="207"/>
      <c r="C668" s="207"/>
      <c r="K668" s="207"/>
      <c r="L668" s="207"/>
      <c r="M668" s="207"/>
      <c r="R668" s="209"/>
      <c r="AB668" s="210"/>
      <c r="AG668" s="210"/>
      <c r="AJ668" s="210"/>
    </row>
    <row r="669" spans="1:36" s="208" customFormat="1" x14ac:dyDescent="0.25">
      <c r="A669" s="207"/>
      <c r="C669" s="207"/>
      <c r="K669" s="207"/>
      <c r="L669" s="207"/>
      <c r="M669" s="207"/>
      <c r="R669" s="209"/>
      <c r="AB669" s="210"/>
      <c r="AG669" s="210"/>
      <c r="AJ669" s="210"/>
    </row>
    <row r="670" spans="1:36" s="208" customFormat="1" x14ac:dyDescent="0.25">
      <c r="A670" s="207"/>
      <c r="C670" s="207"/>
      <c r="K670" s="207"/>
      <c r="L670" s="207"/>
      <c r="M670" s="207"/>
      <c r="R670" s="209"/>
      <c r="AB670" s="210"/>
      <c r="AG670" s="210"/>
      <c r="AJ670" s="210"/>
    </row>
    <row r="671" spans="1:36" s="208" customFormat="1" x14ac:dyDescent="0.25">
      <c r="A671" s="207"/>
      <c r="C671" s="207"/>
      <c r="K671" s="207"/>
      <c r="L671" s="207"/>
      <c r="M671" s="207"/>
      <c r="R671" s="209"/>
      <c r="AB671" s="210"/>
      <c r="AG671" s="210"/>
      <c r="AJ671" s="210"/>
    </row>
    <row r="672" spans="1:36" s="208" customFormat="1" x14ac:dyDescent="0.25">
      <c r="A672" s="207"/>
      <c r="C672" s="207"/>
      <c r="K672" s="207"/>
      <c r="L672" s="207"/>
      <c r="M672" s="207"/>
      <c r="R672" s="209"/>
      <c r="AB672" s="210"/>
      <c r="AG672" s="210"/>
      <c r="AJ672" s="210"/>
    </row>
    <row r="673" spans="1:36" s="208" customFormat="1" x14ac:dyDescent="0.25">
      <c r="A673" s="207"/>
      <c r="C673" s="207"/>
      <c r="K673" s="207"/>
      <c r="L673" s="207"/>
      <c r="M673" s="207"/>
      <c r="R673" s="209"/>
      <c r="AB673" s="210"/>
      <c r="AG673" s="210"/>
      <c r="AJ673" s="210"/>
    </row>
    <row r="674" spans="1:36" s="208" customFormat="1" x14ac:dyDescent="0.25">
      <c r="A674" s="207"/>
      <c r="C674" s="207"/>
      <c r="K674" s="207"/>
      <c r="L674" s="207"/>
      <c r="M674" s="207"/>
      <c r="R674" s="209"/>
      <c r="AB674" s="210"/>
      <c r="AG674" s="210"/>
      <c r="AJ674" s="210"/>
    </row>
    <row r="675" spans="1:36" s="208" customFormat="1" x14ac:dyDescent="0.25">
      <c r="A675" s="207"/>
      <c r="C675" s="207"/>
      <c r="K675" s="207"/>
      <c r="L675" s="207"/>
      <c r="M675" s="207"/>
      <c r="R675" s="209"/>
      <c r="AB675" s="210"/>
      <c r="AG675" s="210"/>
      <c r="AJ675" s="210"/>
    </row>
    <row r="676" spans="1:36" s="208" customFormat="1" x14ac:dyDescent="0.25">
      <c r="A676" s="207"/>
      <c r="C676" s="207"/>
      <c r="K676" s="207"/>
      <c r="L676" s="207"/>
      <c r="M676" s="207"/>
      <c r="R676" s="209"/>
      <c r="AB676" s="210"/>
      <c r="AG676" s="210"/>
      <c r="AJ676" s="210"/>
    </row>
    <row r="677" spans="1:36" s="208" customFormat="1" x14ac:dyDescent="0.25">
      <c r="A677" s="207"/>
      <c r="C677" s="207"/>
      <c r="K677" s="207"/>
      <c r="L677" s="207"/>
      <c r="M677" s="207"/>
      <c r="R677" s="209"/>
      <c r="AB677" s="210"/>
      <c r="AG677" s="210"/>
      <c r="AJ677" s="210"/>
    </row>
    <row r="678" spans="1:36" s="208" customFormat="1" x14ac:dyDescent="0.25">
      <c r="A678" s="207"/>
      <c r="C678" s="207"/>
      <c r="K678" s="207"/>
      <c r="L678" s="207"/>
      <c r="M678" s="207"/>
      <c r="R678" s="209"/>
      <c r="AB678" s="210"/>
      <c r="AG678" s="210"/>
      <c r="AJ678" s="210"/>
    </row>
    <row r="679" spans="1:36" s="208" customFormat="1" x14ac:dyDescent="0.25">
      <c r="A679" s="207"/>
      <c r="C679" s="207"/>
      <c r="K679" s="207"/>
      <c r="L679" s="207"/>
      <c r="M679" s="207"/>
      <c r="R679" s="209"/>
      <c r="AB679" s="210"/>
      <c r="AG679" s="210"/>
      <c r="AJ679" s="210"/>
    </row>
    <row r="680" spans="1:36" s="208" customFormat="1" x14ac:dyDescent="0.25">
      <c r="A680" s="207"/>
      <c r="C680" s="207"/>
      <c r="K680" s="207"/>
      <c r="L680" s="207"/>
      <c r="M680" s="207"/>
      <c r="R680" s="209"/>
      <c r="AB680" s="210"/>
      <c r="AG680" s="210"/>
      <c r="AJ680" s="210"/>
    </row>
    <row r="681" spans="1:36" s="208" customFormat="1" x14ac:dyDescent="0.25">
      <c r="A681" s="207"/>
      <c r="C681" s="207"/>
      <c r="K681" s="207"/>
      <c r="L681" s="207"/>
      <c r="M681" s="207"/>
      <c r="R681" s="209"/>
      <c r="AB681" s="210"/>
      <c r="AG681" s="210"/>
      <c r="AJ681" s="210"/>
    </row>
    <row r="682" spans="1:36" s="208" customFormat="1" x14ac:dyDescent="0.25">
      <c r="A682" s="207"/>
      <c r="C682" s="207"/>
      <c r="K682" s="207"/>
      <c r="L682" s="207"/>
      <c r="M682" s="207"/>
      <c r="R682" s="209"/>
      <c r="AB682" s="210"/>
      <c r="AG682" s="210"/>
      <c r="AJ682" s="210"/>
    </row>
    <row r="683" spans="1:36" s="208" customFormat="1" x14ac:dyDescent="0.25">
      <c r="A683" s="207"/>
      <c r="C683" s="207"/>
      <c r="K683" s="207"/>
      <c r="L683" s="207"/>
      <c r="M683" s="207"/>
      <c r="R683" s="209"/>
      <c r="AB683" s="210"/>
      <c r="AG683" s="210"/>
      <c r="AJ683" s="210"/>
    </row>
    <row r="684" spans="1:36" s="208" customFormat="1" x14ac:dyDescent="0.25">
      <c r="A684" s="207"/>
      <c r="C684" s="207"/>
      <c r="K684" s="207"/>
      <c r="L684" s="207"/>
      <c r="M684" s="207"/>
      <c r="R684" s="209"/>
      <c r="AB684" s="210"/>
      <c r="AG684" s="210"/>
      <c r="AJ684" s="210"/>
    </row>
    <row r="685" spans="1:36" s="208" customFormat="1" x14ac:dyDescent="0.25">
      <c r="A685" s="207"/>
      <c r="C685" s="207"/>
      <c r="K685" s="207"/>
      <c r="L685" s="207"/>
      <c r="M685" s="207"/>
      <c r="R685" s="209"/>
      <c r="AB685" s="210"/>
      <c r="AG685" s="210"/>
      <c r="AJ685" s="210"/>
    </row>
    <row r="686" spans="1:36" s="208" customFormat="1" x14ac:dyDescent="0.25">
      <c r="A686" s="207"/>
      <c r="C686" s="207"/>
      <c r="K686" s="207"/>
      <c r="L686" s="207"/>
      <c r="M686" s="207"/>
      <c r="R686" s="209"/>
      <c r="AB686" s="210"/>
      <c r="AG686" s="210"/>
      <c r="AJ686" s="210"/>
    </row>
    <row r="687" spans="1:36" s="208" customFormat="1" x14ac:dyDescent="0.25">
      <c r="A687" s="207"/>
      <c r="C687" s="207"/>
      <c r="K687" s="207"/>
      <c r="L687" s="207"/>
      <c r="M687" s="207"/>
      <c r="R687" s="209"/>
      <c r="AB687" s="210"/>
      <c r="AG687" s="210"/>
      <c r="AJ687" s="210"/>
    </row>
    <row r="688" spans="1:36" s="208" customFormat="1" x14ac:dyDescent="0.25">
      <c r="A688" s="207"/>
      <c r="C688" s="207"/>
      <c r="K688" s="207"/>
      <c r="L688" s="207"/>
      <c r="M688" s="207"/>
      <c r="R688" s="209"/>
      <c r="AB688" s="210"/>
      <c r="AG688" s="210"/>
      <c r="AJ688" s="210"/>
    </row>
    <row r="689" spans="1:36" s="208" customFormat="1" x14ac:dyDescent="0.25">
      <c r="A689" s="207"/>
      <c r="C689" s="207"/>
      <c r="K689" s="207"/>
      <c r="L689" s="207"/>
      <c r="M689" s="207"/>
      <c r="R689" s="209"/>
      <c r="AB689" s="210"/>
      <c r="AG689" s="210"/>
      <c r="AJ689" s="210"/>
    </row>
    <row r="690" spans="1:36" s="208" customFormat="1" x14ac:dyDescent="0.25">
      <c r="A690" s="207"/>
      <c r="C690" s="207"/>
      <c r="K690" s="207"/>
      <c r="L690" s="207"/>
      <c r="M690" s="207"/>
      <c r="R690" s="209"/>
      <c r="AB690" s="210"/>
      <c r="AG690" s="210"/>
      <c r="AJ690" s="210"/>
    </row>
    <row r="691" spans="1:36" s="208" customFormat="1" x14ac:dyDescent="0.25">
      <c r="A691" s="207"/>
      <c r="C691" s="207"/>
      <c r="K691" s="207"/>
      <c r="L691" s="207"/>
      <c r="M691" s="207"/>
      <c r="R691" s="209"/>
      <c r="AB691" s="210"/>
      <c r="AG691" s="210"/>
      <c r="AJ691" s="210"/>
    </row>
    <row r="692" spans="1:36" s="208" customFormat="1" x14ac:dyDescent="0.25">
      <c r="A692" s="207"/>
      <c r="C692" s="207"/>
      <c r="K692" s="207"/>
      <c r="L692" s="207"/>
      <c r="M692" s="207"/>
      <c r="R692" s="209"/>
      <c r="AB692" s="210"/>
      <c r="AG692" s="210"/>
      <c r="AJ692" s="210"/>
    </row>
    <row r="693" spans="1:36" s="208" customFormat="1" x14ac:dyDescent="0.25">
      <c r="A693" s="207"/>
      <c r="C693" s="207"/>
      <c r="K693" s="207"/>
      <c r="L693" s="207"/>
      <c r="M693" s="207"/>
      <c r="R693" s="209"/>
      <c r="AB693" s="210"/>
      <c r="AG693" s="210"/>
      <c r="AJ693" s="210"/>
    </row>
    <row r="694" spans="1:36" s="208" customFormat="1" x14ac:dyDescent="0.25">
      <c r="A694" s="207"/>
      <c r="C694" s="207"/>
      <c r="K694" s="207"/>
      <c r="L694" s="207"/>
      <c r="M694" s="207"/>
      <c r="R694" s="209"/>
      <c r="AB694" s="210"/>
      <c r="AG694" s="210"/>
      <c r="AJ694" s="210"/>
    </row>
    <row r="695" spans="1:36" s="208" customFormat="1" x14ac:dyDescent="0.25">
      <c r="A695" s="207"/>
      <c r="C695" s="207"/>
      <c r="K695" s="207"/>
      <c r="L695" s="207"/>
      <c r="M695" s="207"/>
      <c r="R695" s="209"/>
      <c r="AB695" s="210"/>
      <c r="AG695" s="210"/>
      <c r="AJ695" s="210"/>
    </row>
    <row r="696" spans="1:36" s="208" customFormat="1" x14ac:dyDescent="0.25">
      <c r="A696" s="207"/>
      <c r="C696" s="207"/>
      <c r="K696" s="207"/>
      <c r="L696" s="207"/>
      <c r="M696" s="207"/>
      <c r="R696" s="209"/>
      <c r="AB696" s="210"/>
      <c r="AG696" s="210"/>
      <c r="AJ696" s="210"/>
    </row>
    <row r="697" spans="1:36" s="208" customFormat="1" x14ac:dyDescent="0.25">
      <c r="A697" s="207"/>
      <c r="C697" s="207"/>
      <c r="K697" s="207"/>
      <c r="L697" s="207"/>
      <c r="M697" s="207"/>
      <c r="R697" s="209"/>
      <c r="AB697" s="210"/>
      <c r="AG697" s="210"/>
      <c r="AJ697" s="210"/>
    </row>
    <row r="698" spans="1:36" s="208" customFormat="1" x14ac:dyDescent="0.25">
      <c r="A698" s="207"/>
      <c r="C698" s="207"/>
      <c r="K698" s="207"/>
      <c r="L698" s="207"/>
      <c r="M698" s="207"/>
      <c r="R698" s="209"/>
      <c r="AB698" s="210"/>
      <c r="AG698" s="210"/>
      <c r="AJ698" s="210"/>
    </row>
    <row r="699" spans="1:36" s="208" customFormat="1" x14ac:dyDescent="0.25">
      <c r="A699" s="207"/>
      <c r="C699" s="207"/>
      <c r="K699" s="207"/>
      <c r="L699" s="207"/>
      <c r="M699" s="207"/>
      <c r="R699" s="209"/>
      <c r="AB699" s="210"/>
      <c r="AG699" s="210"/>
      <c r="AJ699" s="210"/>
    </row>
    <row r="700" spans="1:36" s="208" customFormat="1" x14ac:dyDescent="0.25">
      <c r="A700" s="207"/>
      <c r="C700" s="207"/>
      <c r="K700" s="207"/>
      <c r="L700" s="207"/>
      <c r="M700" s="207"/>
      <c r="R700" s="209"/>
      <c r="AB700" s="210"/>
      <c r="AG700" s="210"/>
      <c r="AJ700" s="210"/>
    </row>
    <row r="701" spans="1:36" s="208" customFormat="1" x14ac:dyDescent="0.25">
      <c r="A701" s="207"/>
      <c r="C701" s="207"/>
      <c r="K701" s="207"/>
      <c r="L701" s="207"/>
      <c r="M701" s="207"/>
      <c r="R701" s="209"/>
      <c r="AB701" s="210"/>
      <c r="AG701" s="210"/>
      <c r="AJ701" s="210"/>
    </row>
    <row r="702" spans="1:36" s="208" customFormat="1" x14ac:dyDescent="0.25">
      <c r="A702" s="207"/>
      <c r="C702" s="207"/>
      <c r="K702" s="207"/>
      <c r="L702" s="207"/>
      <c r="M702" s="207"/>
      <c r="R702" s="209"/>
      <c r="AB702" s="210"/>
      <c r="AG702" s="210"/>
      <c r="AJ702" s="210"/>
    </row>
    <row r="703" spans="1:36" s="208" customFormat="1" x14ac:dyDescent="0.25">
      <c r="A703" s="207"/>
      <c r="C703" s="207"/>
      <c r="K703" s="207"/>
      <c r="L703" s="207"/>
      <c r="M703" s="207"/>
      <c r="R703" s="209"/>
      <c r="AB703" s="210"/>
      <c r="AG703" s="210"/>
      <c r="AJ703" s="210"/>
    </row>
    <row r="704" spans="1:36" s="208" customFormat="1" x14ac:dyDescent="0.25">
      <c r="A704" s="207"/>
      <c r="C704" s="207"/>
      <c r="K704" s="207"/>
      <c r="L704" s="207"/>
      <c r="M704" s="207"/>
      <c r="R704" s="209"/>
      <c r="AB704" s="210"/>
      <c r="AG704" s="210"/>
      <c r="AJ704" s="210"/>
    </row>
    <row r="705" spans="1:36" s="208" customFormat="1" x14ac:dyDescent="0.25">
      <c r="A705" s="207"/>
      <c r="C705" s="207"/>
      <c r="K705" s="207"/>
      <c r="L705" s="207"/>
      <c r="M705" s="207"/>
      <c r="R705" s="209"/>
      <c r="AB705" s="210"/>
      <c r="AG705" s="210"/>
      <c r="AJ705" s="210"/>
    </row>
    <row r="706" spans="1:36" s="208" customFormat="1" x14ac:dyDescent="0.25">
      <c r="A706" s="207"/>
      <c r="C706" s="207"/>
      <c r="K706" s="207"/>
      <c r="L706" s="207"/>
      <c r="M706" s="207"/>
      <c r="R706" s="209"/>
      <c r="AB706" s="210"/>
      <c r="AG706" s="210"/>
      <c r="AJ706" s="210"/>
    </row>
    <row r="707" spans="1:36" s="208" customFormat="1" x14ac:dyDescent="0.25">
      <c r="A707" s="207"/>
      <c r="C707" s="207"/>
      <c r="K707" s="207"/>
      <c r="L707" s="207"/>
      <c r="M707" s="207"/>
      <c r="R707" s="209"/>
      <c r="AB707" s="210"/>
      <c r="AG707" s="210"/>
      <c r="AJ707" s="210"/>
    </row>
    <row r="708" spans="1:36" s="208" customFormat="1" x14ac:dyDescent="0.25">
      <c r="A708" s="207"/>
      <c r="C708" s="207"/>
      <c r="K708" s="207"/>
      <c r="L708" s="207"/>
      <c r="M708" s="207"/>
      <c r="R708" s="209"/>
      <c r="AB708" s="210"/>
      <c r="AG708" s="210"/>
      <c r="AJ708" s="210"/>
    </row>
    <row r="709" spans="1:36" s="208" customFormat="1" x14ac:dyDescent="0.25">
      <c r="A709" s="207"/>
      <c r="C709" s="207"/>
      <c r="K709" s="207"/>
      <c r="L709" s="207"/>
      <c r="M709" s="207"/>
      <c r="R709" s="209"/>
      <c r="AB709" s="210"/>
      <c r="AG709" s="210"/>
      <c r="AJ709" s="210"/>
    </row>
    <row r="710" spans="1:36" s="208" customFormat="1" x14ac:dyDescent="0.25">
      <c r="A710" s="207"/>
      <c r="C710" s="207"/>
      <c r="K710" s="207"/>
      <c r="L710" s="207"/>
      <c r="M710" s="207"/>
      <c r="R710" s="209"/>
      <c r="AB710" s="210"/>
      <c r="AG710" s="210"/>
      <c r="AJ710" s="210"/>
    </row>
    <row r="711" spans="1:36" s="208" customFormat="1" x14ac:dyDescent="0.25">
      <c r="A711" s="207"/>
      <c r="C711" s="207"/>
      <c r="K711" s="207"/>
      <c r="L711" s="207"/>
      <c r="M711" s="207"/>
      <c r="R711" s="209"/>
      <c r="AB711" s="210"/>
      <c r="AG711" s="210"/>
      <c r="AJ711" s="210"/>
    </row>
    <row r="712" spans="1:36" s="208" customFormat="1" x14ac:dyDescent="0.25">
      <c r="A712" s="207"/>
      <c r="C712" s="207"/>
      <c r="K712" s="207"/>
      <c r="L712" s="207"/>
      <c r="M712" s="207"/>
      <c r="R712" s="209"/>
      <c r="AB712" s="210"/>
      <c r="AG712" s="210"/>
      <c r="AJ712" s="210"/>
    </row>
    <row r="713" spans="1:36" s="208" customFormat="1" x14ac:dyDescent="0.25">
      <c r="A713" s="207"/>
      <c r="C713" s="207"/>
      <c r="K713" s="207"/>
      <c r="L713" s="207"/>
      <c r="M713" s="207"/>
      <c r="R713" s="209"/>
      <c r="AB713" s="210"/>
      <c r="AG713" s="210"/>
      <c r="AJ713" s="210"/>
    </row>
    <row r="714" spans="1:36" s="208" customFormat="1" x14ac:dyDescent="0.25">
      <c r="A714" s="207"/>
      <c r="C714" s="207"/>
      <c r="K714" s="207"/>
      <c r="L714" s="207"/>
      <c r="M714" s="207"/>
      <c r="R714" s="209"/>
      <c r="AB714" s="210"/>
      <c r="AG714" s="210"/>
      <c r="AJ714" s="210"/>
    </row>
    <row r="715" spans="1:36" s="208" customFormat="1" x14ac:dyDescent="0.25">
      <c r="A715" s="207"/>
      <c r="C715" s="207"/>
      <c r="K715" s="207"/>
      <c r="L715" s="207"/>
      <c r="M715" s="207"/>
      <c r="R715" s="209"/>
      <c r="AB715" s="210"/>
      <c r="AG715" s="210"/>
      <c r="AJ715" s="210"/>
    </row>
    <row r="716" spans="1:36" s="208" customFormat="1" x14ac:dyDescent="0.25">
      <c r="A716" s="207"/>
      <c r="C716" s="207"/>
      <c r="K716" s="207"/>
      <c r="L716" s="207"/>
      <c r="M716" s="207"/>
      <c r="R716" s="209"/>
      <c r="AB716" s="210"/>
      <c r="AG716" s="210"/>
      <c r="AJ716" s="210"/>
    </row>
    <row r="717" spans="1:36" s="208" customFormat="1" x14ac:dyDescent="0.25">
      <c r="A717" s="207"/>
      <c r="C717" s="207"/>
      <c r="K717" s="207"/>
      <c r="L717" s="207"/>
      <c r="M717" s="207"/>
      <c r="R717" s="209"/>
      <c r="AB717" s="210"/>
      <c r="AG717" s="210"/>
      <c r="AJ717" s="210"/>
    </row>
    <row r="718" spans="1:36" s="208" customFormat="1" x14ac:dyDescent="0.25">
      <c r="A718" s="207"/>
      <c r="C718" s="207"/>
      <c r="K718" s="207"/>
      <c r="L718" s="207"/>
      <c r="M718" s="207"/>
      <c r="R718" s="209"/>
      <c r="AB718" s="210"/>
      <c r="AG718" s="210"/>
      <c r="AJ718" s="210"/>
    </row>
    <row r="719" spans="1:36" s="208" customFormat="1" x14ac:dyDescent="0.25">
      <c r="A719" s="207"/>
      <c r="C719" s="207"/>
      <c r="K719" s="207"/>
      <c r="L719" s="207"/>
      <c r="M719" s="207"/>
      <c r="R719" s="209"/>
      <c r="AB719" s="210"/>
      <c r="AG719" s="210"/>
      <c r="AJ719" s="210"/>
    </row>
    <row r="720" spans="1:36" s="208" customFormat="1" x14ac:dyDescent="0.25">
      <c r="A720" s="207"/>
      <c r="C720" s="207"/>
      <c r="K720" s="207"/>
      <c r="L720" s="207"/>
      <c r="M720" s="207"/>
      <c r="R720" s="209"/>
      <c r="AB720" s="210"/>
      <c r="AG720" s="210"/>
      <c r="AJ720" s="210"/>
    </row>
    <row r="721" spans="1:36" s="208" customFormat="1" x14ac:dyDescent="0.25">
      <c r="A721" s="207"/>
      <c r="C721" s="207"/>
      <c r="K721" s="207"/>
      <c r="L721" s="207"/>
      <c r="M721" s="207"/>
      <c r="R721" s="209"/>
      <c r="AB721" s="210"/>
      <c r="AG721" s="210"/>
      <c r="AJ721" s="210"/>
    </row>
    <row r="722" spans="1:36" s="208" customFormat="1" x14ac:dyDescent="0.25">
      <c r="A722" s="207"/>
      <c r="C722" s="207"/>
      <c r="K722" s="207"/>
      <c r="L722" s="207"/>
      <c r="M722" s="207"/>
      <c r="R722" s="209"/>
      <c r="AB722" s="210"/>
      <c r="AG722" s="210"/>
      <c r="AJ722" s="210"/>
    </row>
    <row r="723" spans="1:36" s="208" customFormat="1" x14ac:dyDescent="0.25">
      <c r="A723" s="207"/>
      <c r="C723" s="207"/>
      <c r="K723" s="207"/>
      <c r="L723" s="207"/>
      <c r="M723" s="207"/>
      <c r="R723" s="209"/>
      <c r="AB723" s="210"/>
      <c r="AG723" s="210"/>
      <c r="AJ723" s="210"/>
    </row>
    <row r="724" spans="1:36" s="208" customFormat="1" x14ac:dyDescent="0.25">
      <c r="A724" s="207"/>
      <c r="C724" s="207"/>
      <c r="K724" s="207"/>
      <c r="L724" s="207"/>
      <c r="M724" s="207"/>
      <c r="R724" s="209"/>
      <c r="AB724" s="210"/>
      <c r="AG724" s="210"/>
      <c r="AJ724" s="210"/>
    </row>
    <row r="725" spans="1:36" s="208" customFormat="1" x14ac:dyDescent="0.25">
      <c r="A725" s="207"/>
      <c r="C725" s="207"/>
      <c r="K725" s="207"/>
      <c r="L725" s="207"/>
      <c r="M725" s="207"/>
      <c r="R725" s="209"/>
      <c r="AB725" s="210"/>
      <c r="AG725" s="210"/>
      <c r="AJ725" s="210"/>
    </row>
    <row r="726" spans="1:36" s="208" customFormat="1" x14ac:dyDescent="0.25">
      <c r="A726" s="207"/>
      <c r="C726" s="207"/>
      <c r="K726" s="207"/>
      <c r="L726" s="207"/>
      <c r="M726" s="207"/>
      <c r="R726" s="209"/>
      <c r="AB726" s="210"/>
      <c r="AG726" s="210"/>
      <c r="AJ726" s="210"/>
    </row>
    <row r="727" spans="1:36" s="208" customFormat="1" x14ac:dyDescent="0.25">
      <c r="A727" s="207"/>
      <c r="C727" s="207"/>
      <c r="K727" s="207"/>
      <c r="L727" s="207"/>
      <c r="M727" s="207"/>
      <c r="R727" s="209"/>
      <c r="AB727" s="210"/>
      <c r="AG727" s="210"/>
      <c r="AJ727" s="210"/>
    </row>
    <row r="728" spans="1:36" s="208" customFormat="1" x14ac:dyDescent="0.25">
      <c r="A728" s="207"/>
      <c r="C728" s="207"/>
      <c r="K728" s="207"/>
      <c r="L728" s="207"/>
      <c r="M728" s="207"/>
      <c r="R728" s="209"/>
      <c r="AB728" s="210"/>
      <c r="AG728" s="210"/>
      <c r="AJ728" s="210"/>
    </row>
    <row r="729" spans="1:36" s="208" customFormat="1" x14ac:dyDescent="0.25">
      <c r="A729" s="207"/>
      <c r="C729" s="207"/>
      <c r="K729" s="207"/>
      <c r="L729" s="207"/>
      <c r="M729" s="207"/>
      <c r="R729" s="209"/>
      <c r="AB729" s="210"/>
      <c r="AG729" s="210"/>
      <c r="AJ729" s="210"/>
    </row>
    <row r="730" spans="1:36" s="208" customFormat="1" x14ac:dyDescent="0.25">
      <c r="A730" s="207"/>
      <c r="C730" s="207"/>
      <c r="K730" s="207"/>
      <c r="L730" s="207"/>
      <c r="M730" s="207"/>
      <c r="R730" s="209"/>
      <c r="AB730" s="210"/>
      <c r="AG730" s="210"/>
      <c r="AJ730" s="210"/>
    </row>
    <row r="731" spans="1:36" s="208" customFormat="1" x14ac:dyDescent="0.25">
      <c r="A731" s="207"/>
      <c r="C731" s="207"/>
      <c r="K731" s="207"/>
      <c r="L731" s="207"/>
      <c r="M731" s="207"/>
      <c r="R731" s="209"/>
      <c r="AB731" s="210"/>
      <c r="AG731" s="210"/>
      <c r="AJ731" s="210"/>
    </row>
    <row r="732" spans="1:36" s="208" customFormat="1" x14ac:dyDescent="0.25">
      <c r="A732" s="207"/>
      <c r="C732" s="207"/>
      <c r="K732" s="207"/>
      <c r="L732" s="207"/>
      <c r="M732" s="207"/>
      <c r="R732" s="209"/>
      <c r="AB732" s="210"/>
      <c r="AG732" s="210"/>
      <c r="AJ732" s="210"/>
    </row>
    <row r="733" spans="1:36" s="208" customFormat="1" x14ac:dyDescent="0.25">
      <c r="A733" s="207"/>
      <c r="C733" s="207"/>
      <c r="K733" s="207"/>
      <c r="L733" s="207"/>
      <c r="M733" s="207"/>
      <c r="R733" s="209"/>
      <c r="AB733" s="210"/>
      <c r="AG733" s="210"/>
      <c r="AJ733" s="210"/>
    </row>
    <row r="734" spans="1:36" s="208" customFormat="1" x14ac:dyDescent="0.25">
      <c r="A734" s="207"/>
      <c r="C734" s="207"/>
      <c r="K734" s="207"/>
      <c r="L734" s="207"/>
      <c r="M734" s="207"/>
      <c r="R734" s="209"/>
      <c r="AB734" s="210"/>
      <c r="AG734" s="210"/>
      <c r="AJ734" s="210"/>
    </row>
    <row r="735" spans="1:36" s="208" customFormat="1" x14ac:dyDescent="0.25">
      <c r="A735" s="207"/>
      <c r="C735" s="207"/>
      <c r="K735" s="207"/>
      <c r="L735" s="207"/>
      <c r="M735" s="207"/>
      <c r="R735" s="209"/>
      <c r="AB735" s="210"/>
      <c r="AG735" s="210"/>
      <c r="AJ735" s="210"/>
    </row>
    <row r="736" spans="1:36" s="208" customFormat="1" x14ac:dyDescent="0.25">
      <c r="A736" s="207"/>
      <c r="C736" s="207"/>
      <c r="K736" s="207"/>
      <c r="L736" s="207"/>
      <c r="M736" s="207"/>
      <c r="R736" s="209"/>
      <c r="AB736" s="210"/>
      <c r="AG736" s="210"/>
      <c r="AJ736" s="210"/>
    </row>
    <row r="737" spans="1:36" s="208" customFormat="1" x14ac:dyDescent="0.25">
      <c r="A737" s="207"/>
      <c r="C737" s="207"/>
      <c r="K737" s="207"/>
      <c r="L737" s="207"/>
      <c r="M737" s="207"/>
      <c r="R737" s="209"/>
      <c r="AB737" s="210"/>
      <c r="AG737" s="210"/>
      <c r="AJ737" s="210"/>
    </row>
    <row r="738" spans="1:36" s="208" customFormat="1" x14ac:dyDescent="0.25">
      <c r="A738" s="207"/>
      <c r="C738" s="207"/>
      <c r="K738" s="207"/>
      <c r="L738" s="207"/>
      <c r="M738" s="207"/>
      <c r="R738" s="209"/>
      <c r="AB738" s="210"/>
      <c r="AG738" s="210"/>
      <c r="AJ738" s="210"/>
    </row>
    <row r="739" spans="1:36" s="208" customFormat="1" x14ac:dyDescent="0.25">
      <c r="A739" s="207"/>
      <c r="C739" s="207"/>
      <c r="K739" s="207"/>
      <c r="L739" s="207"/>
      <c r="M739" s="207"/>
      <c r="R739" s="209"/>
      <c r="AB739" s="210"/>
      <c r="AG739" s="210"/>
      <c r="AJ739" s="210"/>
    </row>
    <row r="740" spans="1:36" s="208" customFormat="1" x14ac:dyDescent="0.25">
      <c r="A740" s="207"/>
      <c r="C740" s="207"/>
      <c r="K740" s="207"/>
      <c r="L740" s="207"/>
      <c r="M740" s="207"/>
      <c r="R740" s="209"/>
      <c r="AB740" s="210"/>
      <c r="AG740" s="210"/>
      <c r="AJ740" s="210"/>
    </row>
    <row r="741" spans="1:36" s="208" customFormat="1" x14ac:dyDescent="0.25">
      <c r="A741" s="207"/>
      <c r="C741" s="207"/>
      <c r="K741" s="207"/>
      <c r="L741" s="207"/>
      <c r="M741" s="207"/>
      <c r="R741" s="209"/>
      <c r="AB741" s="210"/>
      <c r="AG741" s="210"/>
      <c r="AJ741" s="210"/>
    </row>
    <row r="742" spans="1:36" s="208" customFormat="1" x14ac:dyDescent="0.25">
      <c r="A742" s="207"/>
      <c r="C742" s="207"/>
      <c r="K742" s="207"/>
      <c r="L742" s="207"/>
      <c r="M742" s="207"/>
      <c r="R742" s="209"/>
      <c r="AB742" s="210"/>
      <c r="AG742" s="210"/>
      <c r="AJ742" s="210"/>
    </row>
    <row r="743" spans="1:36" s="208" customFormat="1" x14ac:dyDescent="0.25">
      <c r="A743" s="207"/>
      <c r="C743" s="207"/>
      <c r="K743" s="207"/>
      <c r="L743" s="207"/>
      <c r="M743" s="207"/>
      <c r="R743" s="209"/>
      <c r="AB743" s="210"/>
      <c r="AG743" s="210"/>
      <c r="AJ743" s="210"/>
    </row>
    <row r="744" spans="1:36" s="208" customFormat="1" x14ac:dyDescent="0.25">
      <c r="A744" s="207"/>
      <c r="C744" s="207"/>
      <c r="K744" s="207"/>
      <c r="L744" s="207"/>
      <c r="M744" s="207"/>
      <c r="R744" s="209"/>
      <c r="AB744" s="210"/>
      <c r="AG744" s="210"/>
      <c r="AJ744" s="210"/>
    </row>
    <row r="745" spans="1:36" s="208" customFormat="1" x14ac:dyDescent="0.25">
      <c r="A745" s="207"/>
      <c r="C745" s="207"/>
      <c r="K745" s="207"/>
      <c r="L745" s="207"/>
      <c r="M745" s="207"/>
      <c r="R745" s="209"/>
      <c r="AB745" s="210"/>
      <c r="AG745" s="210"/>
      <c r="AJ745" s="210"/>
    </row>
    <row r="746" spans="1:36" s="208" customFormat="1" x14ac:dyDescent="0.25">
      <c r="A746" s="207"/>
      <c r="C746" s="207"/>
      <c r="K746" s="207"/>
      <c r="L746" s="207"/>
      <c r="M746" s="207"/>
      <c r="R746" s="209"/>
      <c r="AB746" s="210"/>
      <c r="AG746" s="210"/>
      <c r="AJ746" s="210"/>
    </row>
    <row r="747" spans="1:36" s="208" customFormat="1" x14ac:dyDescent="0.25">
      <c r="A747" s="207"/>
      <c r="C747" s="207"/>
      <c r="K747" s="207"/>
      <c r="L747" s="207"/>
      <c r="M747" s="207"/>
      <c r="R747" s="209"/>
      <c r="AB747" s="210"/>
      <c r="AG747" s="210"/>
      <c r="AJ747" s="210"/>
    </row>
    <row r="748" spans="1:36" s="208" customFormat="1" x14ac:dyDescent="0.25">
      <c r="A748" s="207"/>
      <c r="C748" s="207"/>
      <c r="K748" s="207"/>
      <c r="L748" s="207"/>
      <c r="M748" s="207"/>
      <c r="R748" s="209"/>
      <c r="AB748" s="210"/>
      <c r="AG748" s="210"/>
      <c r="AJ748" s="210"/>
    </row>
    <row r="749" spans="1:36" s="208" customFormat="1" x14ac:dyDescent="0.25">
      <c r="A749" s="207"/>
      <c r="C749" s="207"/>
      <c r="K749" s="207"/>
      <c r="L749" s="207"/>
      <c r="M749" s="207"/>
      <c r="R749" s="209"/>
      <c r="AB749" s="210"/>
      <c r="AG749" s="210"/>
      <c r="AJ749" s="210"/>
    </row>
    <row r="750" spans="1:36" s="208" customFormat="1" x14ac:dyDescent="0.25">
      <c r="A750" s="207"/>
      <c r="C750" s="207"/>
      <c r="K750" s="207"/>
      <c r="L750" s="207"/>
      <c r="M750" s="207"/>
      <c r="R750" s="209"/>
      <c r="AB750" s="210"/>
      <c r="AG750" s="210"/>
      <c r="AJ750" s="210"/>
    </row>
    <row r="751" spans="1:36" s="208" customFormat="1" x14ac:dyDescent="0.25">
      <c r="A751" s="207"/>
      <c r="C751" s="207"/>
      <c r="K751" s="207"/>
      <c r="L751" s="207"/>
      <c r="M751" s="207"/>
      <c r="R751" s="209"/>
      <c r="AB751" s="210"/>
      <c r="AG751" s="210"/>
      <c r="AJ751" s="210"/>
    </row>
    <row r="752" spans="1:36" s="208" customFormat="1" x14ac:dyDescent="0.25">
      <c r="A752" s="207"/>
      <c r="C752" s="207"/>
      <c r="K752" s="207"/>
      <c r="L752" s="207"/>
      <c r="M752" s="207"/>
      <c r="R752" s="209"/>
      <c r="AB752" s="210"/>
      <c r="AG752" s="210"/>
      <c r="AJ752" s="210"/>
    </row>
    <row r="753" spans="1:36" s="208" customFormat="1" x14ac:dyDescent="0.25">
      <c r="A753" s="207"/>
      <c r="C753" s="207"/>
      <c r="K753" s="207"/>
      <c r="L753" s="207"/>
      <c r="M753" s="207"/>
      <c r="R753" s="209"/>
      <c r="AB753" s="210"/>
      <c r="AG753" s="210"/>
      <c r="AJ753" s="210"/>
    </row>
    <row r="754" spans="1:36" s="208" customFormat="1" x14ac:dyDescent="0.25">
      <c r="A754" s="207"/>
      <c r="C754" s="207"/>
      <c r="K754" s="207"/>
      <c r="L754" s="207"/>
      <c r="M754" s="207"/>
      <c r="R754" s="209"/>
      <c r="AB754" s="210"/>
      <c r="AG754" s="210"/>
      <c r="AJ754" s="210"/>
    </row>
    <row r="755" spans="1:36" s="208" customFormat="1" x14ac:dyDescent="0.25">
      <c r="A755" s="207"/>
      <c r="C755" s="207"/>
      <c r="K755" s="207"/>
      <c r="L755" s="207"/>
      <c r="M755" s="207"/>
      <c r="R755" s="209"/>
      <c r="AB755" s="210"/>
      <c r="AG755" s="210"/>
      <c r="AJ755" s="210"/>
    </row>
    <row r="756" spans="1:36" s="208" customFormat="1" x14ac:dyDescent="0.25">
      <c r="A756" s="207"/>
      <c r="C756" s="207"/>
      <c r="K756" s="207"/>
      <c r="L756" s="207"/>
      <c r="M756" s="207"/>
      <c r="R756" s="209"/>
      <c r="AB756" s="210"/>
      <c r="AG756" s="210"/>
      <c r="AJ756" s="210"/>
    </row>
    <row r="757" spans="1:36" s="208" customFormat="1" x14ac:dyDescent="0.25">
      <c r="A757" s="207"/>
      <c r="C757" s="207"/>
      <c r="K757" s="207"/>
      <c r="L757" s="207"/>
      <c r="M757" s="207"/>
      <c r="R757" s="209"/>
      <c r="AB757" s="210"/>
      <c r="AG757" s="210"/>
      <c r="AJ757" s="210"/>
    </row>
    <row r="758" spans="1:36" s="208" customFormat="1" x14ac:dyDescent="0.25">
      <c r="A758" s="207"/>
      <c r="C758" s="207"/>
      <c r="K758" s="207"/>
      <c r="L758" s="207"/>
      <c r="M758" s="207"/>
      <c r="R758" s="209"/>
      <c r="AB758" s="210"/>
      <c r="AG758" s="210"/>
      <c r="AJ758" s="210"/>
    </row>
    <row r="759" spans="1:36" s="208" customFormat="1" x14ac:dyDescent="0.25">
      <c r="A759" s="207"/>
      <c r="C759" s="207"/>
      <c r="K759" s="207"/>
      <c r="L759" s="207"/>
      <c r="M759" s="207"/>
      <c r="R759" s="209"/>
      <c r="AB759" s="210"/>
      <c r="AG759" s="210"/>
      <c r="AJ759" s="210"/>
    </row>
    <row r="760" spans="1:36" s="208" customFormat="1" x14ac:dyDescent="0.25">
      <c r="A760" s="207"/>
      <c r="C760" s="207"/>
      <c r="K760" s="207"/>
      <c r="L760" s="207"/>
      <c r="M760" s="207"/>
      <c r="R760" s="209"/>
      <c r="AB760" s="210"/>
      <c r="AG760" s="210"/>
      <c r="AJ760" s="210"/>
    </row>
    <row r="761" spans="1:36" s="208" customFormat="1" x14ac:dyDescent="0.25">
      <c r="A761" s="207"/>
      <c r="C761" s="207"/>
      <c r="K761" s="207"/>
      <c r="L761" s="207"/>
      <c r="M761" s="207"/>
      <c r="R761" s="209"/>
      <c r="AB761" s="210"/>
      <c r="AG761" s="210"/>
      <c r="AJ761" s="210"/>
    </row>
    <row r="762" spans="1:36" s="208" customFormat="1" x14ac:dyDescent="0.25">
      <c r="A762" s="207"/>
      <c r="C762" s="207"/>
      <c r="K762" s="207"/>
      <c r="L762" s="207"/>
      <c r="M762" s="207"/>
      <c r="R762" s="209"/>
      <c r="AB762" s="210"/>
      <c r="AG762" s="210"/>
      <c r="AJ762" s="210"/>
    </row>
    <row r="763" spans="1:36" s="208" customFormat="1" x14ac:dyDescent="0.25">
      <c r="A763" s="207"/>
      <c r="C763" s="207"/>
      <c r="K763" s="207"/>
      <c r="L763" s="207"/>
      <c r="M763" s="207"/>
      <c r="R763" s="209"/>
      <c r="AB763" s="210"/>
      <c r="AG763" s="210"/>
      <c r="AJ763" s="210"/>
    </row>
    <row r="764" spans="1:36" s="208" customFormat="1" x14ac:dyDescent="0.25">
      <c r="A764" s="207"/>
      <c r="C764" s="207"/>
      <c r="K764" s="207"/>
      <c r="L764" s="207"/>
      <c r="M764" s="207"/>
      <c r="R764" s="209"/>
      <c r="AB764" s="210"/>
      <c r="AG764" s="210"/>
      <c r="AJ764" s="210"/>
    </row>
    <row r="765" spans="1:36" s="208" customFormat="1" x14ac:dyDescent="0.25">
      <c r="A765" s="207"/>
      <c r="C765" s="207"/>
      <c r="K765" s="207"/>
      <c r="L765" s="207"/>
      <c r="M765" s="207"/>
      <c r="R765" s="209"/>
      <c r="AB765" s="210"/>
      <c r="AG765" s="210"/>
      <c r="AJ765" s="210"/>
    </row>
    <row r="766" spans="1:36" s="208" customFormat="1" x14ac:dyDescent="0.25">
      <c r="A766" s="207"/>
      <c r="C766" s="207"/>
      <c r="K766" s="207"/>
      <c r="L766" s="207"/>
      <c r="M766" s="207"/>
      <c r="R766" s="209"/>
      <c r="AB766" s="210"/>
      <c r="AG766" s="210"/>
      <c r="AJ766" s="210"/>
    </row>
    <row r="767" spans="1:36" s="208" customFormat="1" x14ac:dyDescent="0.25">
      <c r="A767" s="207"/>
      <c r="C767" s="207"/>
      <c r="K767" s="207"/>
      <c r="L767" s="207"/>
      <c r="M767" s="207"/>
      <c r="R767" s="209"/>
      <c r="AB767" s="210"/>
      <c r="AG767" s="210"/>
      <c r="AJ767" s="210"/>
    </row>
    <row r="768" spans="1:36" s="208" customFormat="1" x14ac:dyDescent="0.25">
      <c r="A768" s="207"/>
      <c r="C768" s="207"/>
      <c r="K768" s="207"/>
      <c r="L768" s="207"/>
      <c r="M768" s="207"/>
      <c r="R768" s="209"/>
      <c r="AB768" s="210"/>
      <c r="AG768" s="210"/>
      <c r="AJ768" s="210"/>
    </row>
    <row r="769" spans="1:36" s="208" customFormat="1" x14ac:dyDescent="0.25">
      <c r="A769" s="207"/>
      <c r="C769" s="207"/>
      <c r="K769" s="207"/>
      <c r="L769" s="207"/>
      <c r="M769" s="207"/>
      <c r="R769" s="209"/>
      <c r="AB769" s="210"/>
      <c r="AG769" s="210"/>
      <c r="AJ769" s="210"/>
    </row>
    <row r="770" spans="1:36" s="208" customFormat="1" x14ac:dyDescent="0.25">
      <c r="A770" s="207"/>
      <c r="C770" s="207"/>
      <c r="K770" s="207"/>
      <c r="L770" s="207"/>
      <c r="M770" s="207"/>
      <c r="R770" s="209"/>
      <c r="AB770" s="210"/>
      <c r="AG770" s="210"/>
      <c r="AJ770" s="210"/>
    </row>
    <row r="771" spans="1:36" s="208" customFormat="1" x14ac:dyDescent="0.25">
      <c r="A771" s="207"/>
      <c r="C771" s="207"/>
      <c r="K771" s="207"/>
      <c r="L771" s="207"/>
      <c r="M771" s="207"/>
      <c r="R771" s="209"/>
      <c r="AB771" s="210"/>
      <c r="AG771" s="210"/>
      <c r="AJ771" s="210"/>
    </row>
    <row r="772" spans="1:36" s="208" customFormat="1" x14ac:dyDescent="0.25">
      <c r="A772" s="207"/>
      <c r="C772" s="207"/>
      <c r="K772" s="207"/>
      <c r="L772" s="207"/>
      <c r="M772" s="207"/>
      <c r="R772" s="209"/>
      <c r="AB772" s="210"/>
      <c r="AG772" s="210"/>
      <c r="AJ772" s="210"/>
    </row>
    <row r="773" spans="1:36" s="208" customFormat="1" x14ac:dyDescent="0.25">
      <c r="A773" s="207"/>
      <c r="C773" s="207"/>
      <c r="K773" s="207"/>
      <c r="L773" s="207"/>
      <c r="M773" s="207"/>
      <c r="R773" s="209"/>
      <c r="AB773" s="210"/>
      <c r="AG773" s="210"/>
      <c r="AJ773" s="210"/>
    </row>
    <row r="774" spans="1:36" s="208" customFormat="1" x14ac:dyDescent="0.25">
      <c r="A774" s="207"/>
      <c r="C774" s="207"/>
      <c r="K774" s="207"/>
      <c r="L774" s="207"/>
      <c r="M774" s="207"/>
      <c r="R774" s="209"/>
      <c r="AB774" s="210"/>
      <c r="AG774" s="210"/>
      <c r="AJ774" s="210"/>
    </row>
    <row r="775" spans="1:36" s="208" customFormat="1" x14ac:dyDescent="0.25">
      <c r="A775" s="207"/>
      <c r="C775" s="207"/>
      <c r="K775" s="207"/>
      <c r="L775" s="207"/>
      <c r="M775" s="207"/>
      <c r="R775" s="209"/>
      <c r="AB775" s="210"/>
      <c r="AG775" s="210"/>
      <c r="AJ775" s="210"/>
    </row>
    <row r="776" spans="1:36" s="208" customFormat="1" x14ac:dyDescent="0.25">
      <c r="A776" s="207"/>
      <c r="C776" s="207"/>
      <c r="K776" s="207"/>
      <c r="L776" s="207"/>
      <c r="M776" s="207"/>
      <c r="R776" s="209"/>
      <c r="AB776" s="210"/>
      <c r="AG776" s="210"/>
      <c r="AJ776" s="210"/>
    </row>
    <row r="777" spans="1:36" s="208" customFormat="1" x14ac:dyDescent="0.25">
      <c r="A777" s="207"/>
      <c r="C777" s="207"/>
      <c r="K777" s="207"/>
      <c r="L777" s="207"/>
      <c r="M777" s="207"/>
      <c r="R777" s="209"/>
      <c r="AB777" s="210"/>
      <c r="AG777" s="210"/>
      <c r="AJ777" s="210"/>
    </row>
    <row r="778" spans="1:36" s="208" customFormat="1" x14ac:dyDescent="0.25">
      <c r="A778" s="207"/>
      <c r="C778" s="207"/>
      <c r="K778" s="207"/>
      <c r="L778" s="207"/>
      <c r="M778" s="207"/>
      <c r="R778" s="209"/>
      <c r="AB778" s="210"/>
      <c r="AG778" s="210"/>
      <c r="AJ778" s="210"/>
    </row>
    <row r="779" spans="1:36" s="208" customFormat="1" x14ac:dyDescent="0.25">
      <c r="A779" s="207"/>
      <c r="C779" s="207"/>
      <c r="K779" s="207"/>
      <c r="L779" s="207"/>
      <c r="M779" s="207"/>
      <c r="R779" s="209"/>
      <c r="AB779" s="210"/>
      <c r="AG779" s="210"/>
      <c r="AJ779" s="210"/>
    </row>
    <row r="780" spans="1:36" s="208" customFormat="1" x14ac:dyDescent="0.25">
      <c r="A780" s="207"/>
      <c r="C780" s="207"/>
      <c r="K780" s="207"/>
      <c r="L780" s="207"/>
      <c r="M780" s="207"/>
      <c r="R780" s="209"/>
      <c r="AB780" s="210"/>
      <c r="AG780" s="210"/>
      <c r="AJ780" s="210"/>
    </row>
    <row r="781" spans="1:36" s="208" customFormat="1" x14ac:dyDescent="0.25">
      <c r="A781" s="207"/>
      <c r="C781" s="207"/>
      <c r="K781" s="207"/>
      <c r="L781" s="207"/>
      <c r="M781" s="207"/>
      <c r="R781" s="209"/>
      <c r="AB781" s="210"/>
      <c r="AG781" s="210"/>
      <c r="AJ781" s="210"/>
    </row>
    <row r="782" spans="1:36" s="208" customFormat="1" x14ac:dyDescent="0.25">
      <c r="A782" s="207"/>
      <c r="C782" s="207"/>
      <c r="K782" s="207"/>
      <c r="L782" s="207"/>
      <c r="M782" s="207"/>
      <c r="R782" s="209"/>
      <c r="AB782" s="210"/>
      <c r="AG782" s="210"/>
      <c r="AJ782" s="210"/>
    </row>
    <row r="783" spans="1:36" s="208" customFormat="1" x14ac:dyDescent="0.25">
      <c r="A783" s="207"/>
      <c r="C783" s="207"/>
      <c r="K783" s="207"/>
      <c r="L783" s="207"/>
      <c r="M783" s="207"/>
      <c r="R783" s="209"/>
      <c r="AB783" s="210"/>
      <c r="AG783" s="210"/>
      <c r="AJ783" s="210"/>
    </row>
    <row r="784" spans="1:36" s="208" customFormat="1" x14ac:dyDescent="0.25">
      <c r="A784" s="207"/>
      <c r="C784" s="207"/>
      <c r="K784" s="207"/>
      <c r="L784" s="207"/>
      <c r="M784" s="207"/>
      <c r="R784" s="209"/>
      <c r="AB784" s="210"/>
      <c r="AG784" s="210"/>
      <c r="AJ784" s="210"/>
    </row>
    <row r="785" spans="1:36" s="208" customFormat="1" x14ac:dyDescent="0.25">
      <c r="A785" s="207"/>
      <c r="C785" s="207"/>
      <c r="K785" s="207"/>
      <c r="L785" s="207"/>
      <c r="M785" s="207"/>
      <c r="R785" s="209"/>
      <c r="AB785" s="210"/>
      <c r="AG785" s="210"/>
      <c r="AJ785" s="210"/>
    </row>
    <row r="786" spans="1:36" s="208" customFormat="1" x14ac:dyDescent="0.25">
      <c r="A786" s="207"/>
      <c r="C786" s="207"/>
      <c r="K786" s="207"/>
      <c r="L786" s="207"/>
      <c r="M786" s="207"/>
      <c r="R786" s="209"/>
      <c r="AB786" s="210"/>
      <c r="AG786" s="210"/>
      <c r="AJ786" s="210"/>
    </row>
    <row r="787" spans="1:36" s="208" customFormat="1" x14ac:dyDescent="0.25">
      <c r="A787" s="207"/>
      <c r="C787" s="207"/>
      <c r="K787" s="207"/>
      <c r="L787" s="207"/>
      <c r="M787" s="207"/>
      <c r="R787" s="209"/>
      <c r="AB787" s="210"/>
      <c r="AG787" s="210"/>
      <c r="AJ787" s="210"/>
    </row>
    <row r="788" spans="1:36" s="208" customFormat="1" x14ac:dyDescent="0.25">
      <c r="A788" s="207"/>
      <c r="C788" s="207"/>
      <c r="K788" s="207"/>
      <c r="L788" s="207"/>
      <c r="M788" s="207"/>
      <c r="R788" s="209"/>
      <c r="AB788" s="210"/>
      <c r="AG788" s="210"/>
      <c r="AJ788" s="210"/>
    </row>
    <row r="789" spans="1:36" s="208" customFormat="1" x14ac:dyDescent="0.25">
      <c r="A789" s="207"/>
      <c r="C789" s="207"/>
      <c r="K789" s="207"/>
      <c r="L789" s="207"/>
      <c r="M789" s="207"/>
      <c r="R789" s="209"/>
      <c r="AB789" s="210"/>
      <c r="AG789" s="210"/>
      <c r="AJ789" s="210"/>
    </row>
    <row r="790" spans="1:36" s="208" customFormat="1" x14ac:dyDescent="0.25">
      <c r="A790" s="207"/>
      <c r="C790" s="207"/>
      <c r="K790" s="207"/>
      <c r="L790" s="207"/>
      <c r="M790" s="207"/>
      <c r="R790" s="209"/>
      <c r="AB790" s="210"/>
      <c r="AG790" s="210"/>
      <c r="AJ790" s="210"/>
    </row>
    <row r="791" spans="1:36" s="208" customFormat="1" x14ac:dyDescent="0.25">
      <c r="A791" s="207"/>
      <c r="C791" s="207"/>
      <c r="K791" s="207"/>
      <c r="L791" s="207"/>
      <c r="M791" s="207"/>
      <c r="R791" s="209"/>
      <c r="AB791" s="210"/>
      <c r="AG791" s="210"/>
      <c r="AJ791" s="210"/>
    </row>
    <row r="792" spans="1:36" s="208" customFormat="1" x14ac:dyDescent="0.25">
      <c r="A792" s="207"/>
      <c r="C792" s="207"/>
      <c r="K792" s="207"/>
      <c r="L792" s="207"/>
      <c r="M792" s="207"/>
      <c r="R792" s="209"/>
      <c r="AB792" s="210"/>
      <c r="AG792" s="210"/>
      <c r="AJ792" s="210"/>
    </row>
    <row r="793" spans="1:36" s="208" customFormat="1" x14ac:dyDescent="0.25">
      <c r="A793" s="207"/>
      <c r="C793" s="207"/>
      <c r="K793" s="207"/>
      <c r="L793" s="207"/>
      <c r="M793" s="207"/>
      <c r="R793" s="209"/>
      <c r="AB793" s="210"/>
      <c r="AG793" s="210"/>
      <c r="AJ793" s="210"/>
    </row>
    <row r="794" spans="1:36" s="208" customFormat="1" x14ac:dyDescent="0.25">
      <c r="A794" s="207"/>
      <c r="C794" s="207"/>
      <c r="K794" s="207"/>
      <c r="L794" s="207"/>
      <c r="M794" s="207"/>
      <c r="R794" s="209"/>
      <c r="AB794" s="210"/>
      <c r="AG794" s="210"/>
      <c r="AJ794" s="210"/>
    </row>
    <row r="795" spans="1:36" s="208" customFormat="1" x14ac:dyDescent="0.25">
      <c r="A795" s="207"/>
      <c r="C795" s="207"/>
      <c r="K795" s="207"/>
      <c r="L795" s="207"/>
      <c r="M795" s="207"/>
      <c r="R795" s="209"/>
      <c r="AB795" s="210"/>
      <c r="AG795" s="210"/>
      <c r="AJ795" s="210"/>
    </row>
    <row r="796" spans="1:36" s="208" customFormat="1" x14ac:dyDescent="0.25">
      <c r="A796" s="207"/>
      <c r="C796" s="207"/>
      <c r="K796" s="207"/>
      <c r="L796" s="207"/>
      <c r="M796" s="207"/>
      <c r="R796" s="209"/>
      <c r="AB796" s="210"/>
      <c r="AG796" s="210"/>
      <c r="AJ796" s="210"/>
    </row>
    <row r="797" spans="1:36" s="208" customFormat="1" x14ac:dyDescent="0.25">
      <c r="A797" s="207"/>
      <c r="C797" s="207"/>
      <c r="K797" s="207"/>
      <c r="L797" s="207"/>
      <c r="M797" s="207"/>
      <c r="R797" s="209"/>
      <c r="AB797" s="210"/>
      <c r="AG797" s="210"/>
      <c r="AJ797" s="210"/>
    </row>
    <row r="798" spans="1:36" s="208" customFormat="1" x14ac:dyDescent="0.25">
      <c r="A798" s="207"/>
      <c r="C798" s="207"/>
      <c r="K798" s="207"/>
      <c r="L798" s="207"/>
      <c r="M798" s="207"/>
      <c r="R798" s="209"/>
      <c r="AB798" s="210"/>
      <c r="AG798" s="210"/>
      <c r="AJ798" s="210"/>
    </row>
    <row r="799" spans="1:36" s="208" customFormat="1" x14ac:dyDescent="0.25">
      <c r="A799" s="207"/>
      <c r="C799" s="207"/>
      <c r="K799" s="207"/>
      <c r="L799" s="207"/>
      <c r="M799" s="207"/>
      <c r="R799" s="209"/>
      <c r="AB799" s="210"/>
      <c r="AG799" s="210"/>
      <c r="AJ799" s="210"/>
    </row>
    <row r="800" spans="1:36" s="208" customFormat="1" x14ac:dyDescent="0.25">
      <c r="A800" s="207"/>
      <c r="C800" s="207"/>
      <c r="K800" s="207"/>
      <c r="L800" s="207"/>
      <c r="M800" s="207"/>
      <c r="R800" s="209"/>
      <c r="AB800" s="210"/>
      <c r="AG800" s="210"/>
      <c r="AJ800" s="210"/>
    </row>
    <row r="801" spans="1:36" s="208" customFormat="1" x14ac:dyDescent="0.25">
      <c r="A801" s="207"/>
      <c r="C801" s="207"/>
      <c r="K801" s="207"/>
      <c r="L801" s="207"/>
      <c r="M801" s="207"/>
      <c r="R801" s="209"/>
      <c r="AB801" s="210"/>
      <c r="AG801" s="210"/>
      <c r="AJ801" s="210"/>
    </row>
    <row r="802" spans="1:36" s="208" customFormat="1" x14ac:dyDescent="0.25">
      <c r="A802" s="207"/>
      <c r="C802" s="207"/>
      <c r="K802" s="207"/>
      <c r="L802" s="207"/>
      <c r="M802" s="207"/>
      <c r="R802" s="209"/>
      <c r="AB802" s="210"/>
      <c r="AG802" s="210"/>
      <c r="AJ802" s="210"/>
    </row>
    <row r="803" spans="1:36" s="208" customFormat="1" x14ac:dyDescent="0.25">
      <c r="A803" s="207"/>
      <c r="C803" s="207"/>
      <c r="K803" s="207"/>
      <c r="L803" s="207"/>
      <c r="M803" s="207"/>
      <c r="R803" s="209"/>
      <c r="AB803" s="210"/>
      <c r="AG803" s="210"/>
      <c r="AJ803" s="210"/>
    </row>
    <row r="804" spans="1:36" s="208" customFormat="1" x14ac:dyDescent="0.25">
      <c r="A804" s="207"/>
      <c r="C804" s="207"/>
      <c r="K804" s="207"/>
      <c r="L804" s="207"/>
      <c r="M804" s="207"/>
      <c r="R804" s="209"/>
      <c r="AB804" s="210"/>
      <c r="AG804" s="210"/>
      <c r="AJ804" s="210"/>
    </row>
    <row r="805" spans="1:36" s="208" customFormat="1" x14ac:dyDescent="0.25">
      <c r="A805" s="207"/>
      <c r="C805" s="207"/>
      <c r="K805" s="207"/>
      <c r="L805" s="207"/>
      <c r="M805" s="207"/>
      <c r="R805" s="209"/>
      <c r="AB805" s="210"/>
      <c r="AG805" s="210"/>
      <c r="AJ805" s="210"/>
    </row>
    <row r="806" spans="1:36" s="208" customFormat="1" x14ac:dyDescent="0.25">
      <c r="A806" s="207"/>
      <c r="C806" s="207"/>
      <c r="K806" s="207"/>
      <c r="L806" s="207"/>
      <c r="M806" s="207"/>
      <c r="R806" s="209"/>
      <c r="AB806" s="210"/>
      <c r="AG806" s="210"/>
      <c r="AJ806" s="210"/>
    </row>
    <row r="807" spans="1:36" s="208" customFormat="1" x14ac:dyDescent="0.25">
      <c r="A807" s="207"/>
      <c r="C807" s="207"/>
      <c r="K807" s="207"/>
      <c r="L807" s="207"/>
      <c r="M807" s="207"/>
      <c r="R807" s="209"/>
      <c r="AB807" s="210"/>
      <c r="AG807" s="210"/>
      <c r="AJ807" s="210"/>
    </row>
    <row r="808" spans="1:36" s="208" customFormat="1" x14ac:dyDescent="0.25">
      <c r="A808" s="207"/>
      <c r="C808" s="207"/>
      <c r="K808" s="207"/>
      <c r="L808" s="207"/>
      <c r="M808" s="207"/>
      <c r="R808" s="209"/>
      <c r="AB808" s="210"/>
      <c r="AG808" s="210"/>
      <c r="AJ808" s="210"/>
    </row>
    <row r="809" spans="1:36" s="208" customFormat="1" x14ac:dyDescent="0.25">
      <c r="A809" s="207"/>
      <c r="C809" s="207"/>
      <c r="K809" s="207"/>
      <c r="L809" s="207"/>
      <c r="M809" s="207"/>
      <c r="R809" s="209"/>
      <c r="AB809" s="210"/>
      <c r="AG809" s="210"/>
      <c r="AJ809" s="210"/>
    </row>
    <row r="810" spans="1:36" s="208" customFormat="1" x14ac:dyDescent="0.25">
      <c r="A810" s="207"/>
      <c r="C810" s="207"/>
      <c r="K810" s="207"/>
      <c r="L810" s="207"/>
      <c r="M810" s="207"/>
      <c r="R810" s="209"/>
      <c r="AB810" s="210"/>
      <c r="AG810" s="210"/>
      <c r="AJ810" s="210"/>
    </row>
    <row r="811" spans="1:36" s="208" customFormat="1" x14ac:dyDescent="0.25">
      <c r="A811" s="207"/>
      <c r="C811" s="207"/>
      <c r="K811" s="207"/>
      <c r="L811" s="207"/>
      <c r="M811" s="207"/>
      <c r="R811" s="209"/>
      <c r="AB811" s="210"/>
      <c r="AG811" s="210"/>
      <c r="AJ811" s="210"/>
    </row>
    <row r="812" spans="1:36" s="208" customFormat="1" x14ac:dyDescent="0.25">
      <c r="A812" s="207"/>
      <c r="C812" s="207"/>
      <c r="K812" s="207"/>
      <c r="L812" s="207"/>
      <c r="M812" s="207"/>
      <c r="R812" s="209"/>
      <c r="AB812" s="210"/>
      <c r="AG812" s="210"/>
      <c r="AJ812" s="210"/>
    </row>
    <row r="813" spans="1:36" s="208" customFormat="1" x14ac:dyDescent="0.25">
      <c r="A813" s="207"/>
      <c r="C813" s="207"/>
      <c r="K813" s="207"/>
      <c r="L813" s="207"/>
      <c r="M813" s="207"/>
      <c r="R813" s="209"/>
      <c r="AB813" s="210"/>
      <c r="AG813" s="210"/>
      <c r="AJ813" s="210"/>
    </row>
    <row r="814" spans="1:36" s="208" customFormat="1" x14ac:dyDescent="0.25">
      <c r="A814" s="207"/>
      <c r="C814" s="207"/>
      <c r="K814" s="207"/>
      <c r="L814" s="207"/>
      <c r="M814" s="207"/>
      <c r="R814" s="209"/>
      <c r="AB814" s="210"/>
      <c r="AG814" s="210"/>
      <c r="AJ814" s="210"/>
    </row>
    <row r="815" spans="1:36" s="208" customFormat="1" x14ac:dyDescent="0.25">
      <c r="A815" s="207"/>
      <c r="C815" s="207"/>
      <c r="K815" s="207"/>
      <c r="L815" s="207"/>
      <c r="M815" s="207"/>
      <c r="R815" s="209"/>
      <c r="AB815" s="210"/>
      <c r="AG815" s="210"/>
      <c r="AJ815" s="210"/>
    </row>
    <row r="816" spans="1:36" s="208" customFormat="1" x14ac:dyDescent="0.25">
      <c r="A816" s="207"/>
      <c r="C816" s="207"/>
      <c r="K816" s="207"/>
      <c r="L816" s="207"/>
      <c r="M816" s="207"/>
      <c r="R816" s="209"/>
      <c r="AB816" s="210"/>
      <c r="AG816" s="210"/>
      <c r="AJ816" s="210"/>
    </row>
    <row r="817" spans="1:36" s="208" customFormat="1" x14ac:dyDescent="0.25">
      <c r="A817" s="207"/>
      <c r="C817" s="207"/>
      <c r="K817" s="207"/>
      <c r="L817" s="207"/>
      <c r="M817" s="207"/>
      <c r="R817" s="209"/>
      <c r="AB817" s="210"/>
      <c r="AG817" s="210"/>
      <c r="AJ817" s="210"/>
    </row>
    <row r="818" spans="1:36" s="208" customFormat="1" x14ac:dyDescent="0.25">
      <c r="A818" s="207"/>
      <c r="C818" s="207"/>
      <c r="K818" s="207"/>
      <c r="L818" s="207"/>
      <c r="M818" s="207"/>
      <c r="R818" s="209"/>
      <c r="AB818" s="210"/>
      <c r="AG818" s="210"/>
      <c r="AJ818" s="210"/>
    </row>
    <row r="819" spans="1:36" s="208" customFormat="1" x14ac:dyDescent="0.25">
      <c r="A819" s="207"/>
      <c r="C819" s="207"/>
      <c r="K819" s="207"/>
      <c r="L819" s="207"/>
      <c r="M819" s="207"/>
      <c r="R819" s="209"/>
      <c r="AB819" s="210"/>
      <c r="AG819" s="210"/>
      <c r="AJ819" s="210"/>
    </row>
    <row r="820" spans="1:36" s="208" customFormat="1" x14ac:dyDescent="0.25">
      <c r="A820" s="207"/>
      <c r="C820" s="207"/>
      <c r="K820" s="207"/>
      <c r="L820" s="207"/>
      <c r="M820" s="207"/>
      <c r="R820" s="209"/>
      <c r="AB820" s="210"/>
      <c r="AG820" s="210"/>
      <c r="AJ820" s="210"/>
    </row>
    <row r="821" spans="1:36" s="208" customFormat="1" x14ac:dyDescent="0.25">
      <c r="A821" s="207"/>
      <c r="C821" s="207"/>
      <c r="K821" s="207"/>
      <c r="L821" s="207"/>
      <c r="M821" s="207"/>
      <c r="R821" s="209"/>
      <c r="AB821" s="210"/>
      <c r="AG821" s="210"/>
      <c r="AJ821" s="210"/>
    </row>
    <row r="822" spans="1:36" s="208" customFormat="1" x14ac:dyDescent="0.25">
      <c r="A822" s="207"/>
      <c r="C822" s="207"/>
      <c r="K822" s="207"/>
      <c r="L822" s="207"/>
      <c r="M822" s="207"/>
      <c r="R822" s="209"/>
      <c r="AB822" s="210"/>
      <c r="AG822" s="210"/>
      <c r="AJ822" s="210"/>
    </row>
    <row r="823" spans="1:36" s="208" customFormat="1" x14ac:dyDescent="0.25">
      <c r="A823" s="207"/>
      <c r="C823" s="207"/>
      <c r="K823" s="207"/>
      <c r="L823" s="207"/>
      <c r="M823" s="207"/>
      <c r="R823" s="209"/>
      <c r="AB823" s="210"/>
      <c r="AG823" s="210"/>
      <c r="AJ823" s="210"/>
    </row>
    <row r="824" spans="1:36" s="208" customFormat="1" x14ac:dyDescent="0.25">
      <c r="A824" s="207"/>
      <c r="C824" s="207"/>
      <c r="K824" s="207"/>
      <c r="L824" s="207"/>
      <c r="M824" s="207"/>
      <c r="R824" s="209"/>
      <c r="AB824" s="210"/>
      <c r="AG824" s="210"/>
      <c r="AJ824" s="210"/>
    </row>
    <row r="825" spans="1:36" s="208" customFormat="1" x14ac:dyDescent="0.25">
      <c r="A825" s="207"/>
      <c r="C825" s="207"/>
      <c r="K825" s="207"/>
      <c r="L825" s="207"/>
      <c r="M825" s="207"/>
      <c r="R825" s="209"/>
      <c r="AB825" s="210"/>
      <c r="AG825" s="210"/>
      <c r="AJ825" s="210"/>
    </row>
    <row r="826" spans="1:36" s="208" customFormat="1" x14ac:dyDescent="0.25">
      <c r="A826" s="207"/>
      <c r="C826" s="207"/>
      <c r="K826" s="207"/>
      <c r="L826" s="207"/>
      <c r="M826" s="207"/>
      <c r="R826" s="209"/>
      <c r="AB826" s="210"/>
      <c r="AG826" s="210"/>
      <c r="AJ826" s="210"/>
    </row>
    <row r="827" spans="1:36" s="208" customFormat="1" x14ac:dyDescent="0.25">
      <c r="A827" s="207"/>
      <c r="C827" s="207"/>
      <c r="K827" s="207"/>
      <c r="L827" s="207"/>
      <c r="M827" s="207"/>
      <c r="R827" s="209"/>
      <c r="AB827" s="210"/>
      <c r="AG827" s="210"/>
      <c r="AJ827" s="210"/>
    </row>
    <row r="828" spans="1:36" s="208" customFormat="1" x14ac:dyDescent="0.25">
      <c r="A828" s="207"/>
      <c r="C828" s="207"/>
      <c r="K828" s="207"/>
      <c r="L828" s="207"/>
      <c r="M828" s="207"/>
      <c r="R828" s="209"/>
      <c r="AB828" s="210"/>
      <c r="AG828" s="210"/>
      <c r="AJ828" s="210"/>
    </row>
    <row r="829" spans="1:36" s="208" customFormat="1" x14ac:dyDescent="0.25">
      <c r="A829" s="207"/>
      <c r="C829" s="207"/>
      <c r="K829" s="207"/>
      <c r="L829" s="207"/>
      <c r="M829" s="207"/>
      <c r="R829" s="209"/>
      <c r="AB829" s="210"/>
      <c r="AG829" s="210"/>
      <c r="AJ829" s="210"/>
    </row>
    <row r="830" spans="1:36" s="208" customFormat="1" x14ac:dyDescent="0.25">
      <c r="A830" s="207"/>
      <c r="C830" s="207"/>
      <c r="K830" s="207"/>
      <c r="L830" s="207"/>
      <c r="M830" s="207"/>
      <c r="R830" s="209"/>
      <c r="AB830" s="210"/>
      <c r="AG830" s="210"/>
      <c r="AJ830" s="210"/>
    </row>
    <row r="831" spans="1:36" s="208" customFormat="1" x14ac:dyDescent="0.25">
      <c r="A831" s="207"/>
      <c r="C831" s="207"/>
      <c r="K831" s="207"/>
      <c r="L831" s="207"/>
      <c r="M831" s="207"/>
      <c r="R831" s="209"/>
      <c r="AB831" s="210"/>
      <c r="AG831" s="210"/>
      <c r="AJ831" s="210"/>
    </row>
    <row r="832" spans="1:36" s="208" customFormat="1" x14ac:dyDescent="0.25">
      <c r="A832" s="207"/>
      <c r="C832" s="207"/>
      <c r="K832" s="207"/>
      <c r="L832" s="207"/>
      <c r="M832" s="207"/>
      <c r="R832" s="209"/>
      <c r="AB832" s="210"/>
      <c r="AG832" s="210"/>
      <c r="AJ832" s="210"/>
    </row>
    <row r="833" spans="1:36" s="208" customFormat="1" x14ac:dyDescent="0.25">
      <c r="A833" s="207"/>
      <c r="C833" s="207"/>
      <c r="K833" s="207"/>
      <c r="L833" s="207"/>
      <c r="M833" s="207"/>
      <c r="R833" s="209"/>
      <c r="AB833" s="210"/>
      <c r="AG833" s="210"/>
      <c r="AJ833" s="210"/>
    </row>
    <row r="834" spans="1:36" s="208" customFormat="1" x14ac:dyDescent="0.25">
      <c r="A834" s="207"/>
      <c r="C834" s="207"/>
      <c r="K834" s="207"/>
      <c r="L834" s="207"/>
      <c r="M834" s="207"/>
      <c r="R834" s="209"/>
      <c r="AB834" s="210"/>
      <c r="AG834" s="210"/>
      <c r="AJ834" s="210"/>
    </row>
    <row r="835" spans="1:36" s="208" customFormat="1" x14ac:dyDescent="0.25">
      <c r="A835" s="207"/>
      <c r="C835" s="207"/>
      <c r="K835" s="207"/>
      <c r="L835" s="207"/>
      <c r="M835" s="207"/>
      <c r="R835" s="209"/>
      <c r="AB835" s="210"/>
      <c r="AG835" s="210"/>
      <c r="AJ835" s="210"/>
    </row>
    <row r="836" spans="1:36" s="208" customFormat="1" x14ac:dyDescent="0.25">
      <c r="A836" s="207"/>
      <c r="C836" s="207"/>
      <c r="K836" s="207"/>
      <c r="L836" s="207"/>
      <c r="M836" s="207"/>
      <c r="R836" s="209"/>
      <c r="AB836" s="210"/>
      <c r="AG836" s="210"/>
      <c r="AJ836" s="210"/>
    </row>
    <row r="837" spans="1:36" s="208" customFormat="1" x14ac:dyDescent="0.25">
      <c r="A837" s="207"/>
      <c r="C837" s="207"/>
      <c r="K837" s="207"/>
      <c r="L837" s="207"/>
      <c r="M837" s="207"/>
      <c r="R837" s="209"/>
      <c r="AB837" s="210"/>
      <c r="AG837" s="210"/>
      <c r="AJ837" s="210"/>
    </row>
    <row r="838" spans="1:36" s="208" customFormat="1" x14ac:dyDescent="0.25">
      <c r="A838" s="207"/>
      <c r="C838" s="207"/>
      <c r="K838" s="207"/>
      <c r="L838" s="207"/>
      <c r="M838" s="207"/>
      <c r="R838" s="209"/>
      <c r="AB838" s="210"/>
      <c r="AG838" s="210"/>
      <c r="AJ838" s="210"/>
    </row>
    <row r="839" spans="1:36" s="208" customFormat="1" x14ac:dyDescent="0.25">
      <c r="A839" s="207"/>
      <c r="C839" s="207"/>
      <c r="K839" s="207"/>
      <c r="L839" s="207"/>
      <c r="M839" s="207"/>
      <c r="R839" s="209"/>
      <c r="AB839" s="210"/>
      <c r="AG839" s="210"/>
      <c r="AJ839" s="210"/>
    </row>
    <row r="840" spans="1:36" s="208" customFormat="1" x14ac:dyDescent="0.25">
      <c r="A840" s="207"/>
      <c r="C840" s="207"/>
      <c r="K840" s="207"/>
      <c r="L840" s="207"/>
      <c r="M840" s="207"/>
      <c r="R840" s="209"/>
      <c r="AB840" s="210"/>
      <c r="AG840" s="210"/>
      <c r="AJ840" s="210"/>
    </row>
    <row r="841" spans="1:36" s="208" customFormat="1" x14ac:dyDescent="0.25">
      <c r="A841" s="207"/>
      <c r="C841" s="207"/>
      <c r="K841" s="207"/>
      <c r="L841" s="207"/>
      <c r="M841" s="207"/>
      <c r="R841" s="209"/>
      <c r="AB841" s="210"/>
      <c r="AG841" s="210"/>
      <c r="AJ841" s="210"/>
    </row>
    <row r="842" spans="1:36" s="208" customFormat="1" x14ac:dyDescent="0.25">
      <c r="A842" s="207"/>
      <c r="C842" s="207"/>
      <c r="K842" s="207"/>
      <c r="L842" s="207"/>
      <c r="M842" s="207"/>
      <c r="R842" s="209"/>
      <c r="AB842" s="210"/>
      <c r="AG842" s="210"/>
      <c r="AJ842" s="210"/>
    </row>
    <row r="843" spans="1:36" s="208" customFormat="1" x14ac:dyDescent="0.25">
      <c r="A843" s="207"/>
      <c r="C843" s="207"/>
      <c r="K843" s="207"/>
      <c r="L843" s="207"/>
      <c r="M843" s="207"/>
      <c r="R843" s="209"/>
      <c r="AB843" s="210"/>
      <c r="AG843" s="210"/>
      <c r="AJ843" s="210"/>
    </row>
    <row r="844" spans="1:36" s="208" customFormat="1" x14ac:dyDescent="0.25">
      <c r="A844" s="207"/>
      <c r="C844" s="207"/>
      <c r="K844" s="207"/>
      <c r="L844" s="207"/>
      <c r="M844" s="207"/>
      <c r="R844" s="209"/>
      <c r="AB844" s="210"/>
      <c r="AG844" s="210"/>
      <c r="AJ844" s="210"/>
    </row>
    <row r="845" spans="1:36" s="208" customFormat="1" x14ac:dyDescent="0.25">
      <c r="A845" s="207"/>
      <c r="C845" s="207"/>
      <c r="K845" s="207"/>
      <c r="L845" s="207"/>
      <c r="M845" s="207"/>
      <c r="R845" s="209"/>
      <c r="AB845" s="210"/>
      <c r="AG845" s="210"/>
      <c r="AJ845" s="210"/>
    </row>
    <row r="846" spans="1:36" s="208" customFormat="1" x14ac:dyDescent="0.25">
      <c r="A846" s="207"/>
      <c r="C846" s="207"/>
      <c r="K846" s="207"/>
      <c r="L846" s="207"/>
      <c r="M846" s="207"/>
      <c r="R846" s="209"/>
      <c r="AB846" s="210"/>
      <c r="AG846" s="210"/>
      <c r="AJ846" s="210"/>
    </row>
    <row r="847" spans="1:36" s="208" customFormat="1" x14ac:dyDescent="0.25">
      <c r="A847" s="207"/>
      <c r="C847" s="207"/>
      <c r="K847" s="207"/>
      <c r="L847" s="207"/>
      <c r="M847" s="207"/>
      <c r="R847" s="209"/>
      <c r="AB847" s="210"/>
      <c r="AG847" s="210"/>
      <c r="AJ847" s="210"/>
    </row>
    <row r="848" spans="1:36" s="208" customFormat="1" x14ac:dyDescent="0.25">
      <c r="A848" s="207"/>
      <c r="C848" s="207"/>
      <c r="K848" s="207"/>
      <c r="L848" s="207"/>
      <c r="M848" s="207"/>
      <c r="R848" s="209"/>
      <c r="AB848" s="210"/>
      <c r="AG848" s="210"/>
      <c r="AJ848" s="210"/>
    </row>
    <row r="849" spans="1:36" s="208" customFormat="1" x14ac:dyDescent="0.25">
      <c r="A849" s="207"/>
      <c r="C849" s="207"/>
      <c r="K849" s="207"/>
      <c r="L849" s="207"/>
      <c r="M849" s="207"/>
      <c r="R849" s="209"/>
      <c r="AB849" s="210"/>
      <c r="AG849" s="210"/>
      <c r="AJ849" s="210"/>
    </row>
    <row r="850" spans="1:36" s="208" customFormat="1" x14ac:dyDescent="0.25">
      <c r="A850" s="207"/>
      <c r="C850" s="207"/>
      <c r="K850" s="207"/>
      <c r="L850" s="207"/>
      <c r="M850" s="207"/>
      <c r="R850" s="209"/>
      <c r="AB850" s="210"/>
      <c r="AG850" s="210"/>
      <c r="AJ850" s="210"/>
    </row>
    <row r="851" spans="1:36" s="208" customFormat="1" x14ac:dyDescent="0.25">
      <c r="A851" s="207"/>
      <c r="C851" s="207"/>
      <c r="K851" s="207"/>
      <c r="L851" s="207"/>
      <c r="M851" s="207"/>
      <c r="R851" s="209"/>
      <c r="AB851" s="210"/>
      <c r="AG851" s="210"/>
      <c r="AJ851" s="210"/>
    </row>
    <row r="852" spans="1:36" s="208" customFormat="1" x14ac:dyDescent="0.25">
      <c r="A852" s="207"/>
      <c r="C852" s="207"/>
      <c r="K852" s="207"/>
      <c r="L852" s="207"/>
      <c r="M852" s="207"/>
      <c r="R852" s="209"/>
      <c r="AB852" s="210"/>
      <c r="AG852" s="210"/>
      <c r="AJ852" s="210"/>
    </row>
    <row r="853" spans="1:36" s="208" customFormat="1" x14ac:dyDescent="0.25">
      <c r="A853" s="207"/>
      <c r="C853" s="207"/>
      <c r="K853" s="207"/>
      <c r="L853" s="207"/>
      <c r="M853" s="207"/>
      <c r="R853" s="209"/>
      <c r="AB853" s="210"/>
      <c r="AG853" s="210"/>
      <c r="AJ853" s="210"/>
    </row>
    <row r="854" spans="1:36" s="208" customFormat="1" x14ac:dyDescent="0.25">
      <c r="A854" s="207"/>
      <c r="C854" s="207"/>
      <c r="K854" s="207"/>
      <c r="L854" s="207"/>
      <c r="M854" s="207"/>
      <c r="R854" s="209"/>
      <c r="AB854" s="210"/>
      <c r="AG854" s="210"/>
      <c r="AJ854" s="210"/>
    </row>
    <row r="855" spans="1:36" s="208" customFormat="1" x14ac:dyDescent="0.25">
      <c r="A855" s="207"/>
      <c r="C855" s="207"/>
      <c r="K855" s="207"/>
      <c r="L855" s="207"/>
      <c r="M855" s="207"/>
      <c r="R855" s="209"/>
      <c r="AB855" s="210"/>
      <c r="AG855" s="210"/>
      <c r="AJ855" s="210"/>
    </row>
    <row r="856" spans="1:36" s="208" customFormat="1" x14ac:dyDescent="0.25">
      <c r="A856" s="207"/>
      <c r="C856" s="207"/>
      <c r="K856" s="207"/>
      <c r="L856" s="207"/>
      <c r="M856" s="207"/>
      <c r="R856" s="209"/>
      <c r="AB856" s="210"/>
      <c r="AG856" s="210"/>
      <c r="AJ856" s="210"/>
    </row>
    <row r="857" spans="1:36" s="208" customFormat="1" x14ac:dyDescent="0.25">
      <c r="A857" s="207"/>
      <c r="C857" s="207"/>
      <c r="K857" s="207"/>
      <c r="L857" s="207"/>
      <c r="M857" s="207"/>
      <c r="R857" s="209"/>
      <c r="AB857" s="210"/>
      <c r="AG857" s="210"/>
      <c r="AJ857" s="210"/>
    </row>
    <row r="858" spans="1:36" s="208" customFormat="1" x14ac:dyDescent="0.25">
      <c r="A858" s="207"/>
      <c r="C858" s="207"/>
      <c r="K858" s="207"/>
      <c r="L858" s="207"/>
      <c r="M858" s="207"/>
      <c r="R858" s="209"/>
      <c r="AB858" s="210"/>
      <c r="AG858" s="210"/>
      <c r="AJ858" s="210"/>
    </row>
    <row r="859" spans="1:36" s="208" customFormat="1" x14ac:dyDescent="0.25">
      <c r="A859" s="207"/>
      <c r="C859" s="207"/>
      <c r="K859" s="207"/>
      <c r="L859" s="207"/>
      <c r="M859" s="207"/>
      <c r="R859" s="209"/>
      <c r="AB859" s="210"/>
      <c r="AG859" s="210"/>
      <c r="AJ859" s="210"/>
    </row>
    <row r="860" spans="1:36" s="208" customFormat="1" x14ac:dyDescent="0.25">
      <c r="A860" s="207"/>
      <c r="C860" s="207"/>
      <c r="K860" s="207"/>
      <c r="L860" s="207"/>
      <c r="M860" s="207"/>
      <c r="R860" s="209"/>
      <c r="AB860" s="210"/>
      <c r="AG860" s="210"/>
      <c r="AJ860" s="210"/>
    </row>
    <row r="861" spans="1:36" s="208" customFormat="1" x14ac:dyDescent="0.25">
      <c r="A861" s="207"/>
      <c r="C861" s="207"/>
      <c r="K861" s="207"/>
      <c r="L861" s="207"/>
      <c r="M861" s="207"/>
      <c r="R861" s="209"/>
      <c r="AB861" s="210"/>
      <c r="AG861" s="210"/>
      <c r="AJ861" s="210"/>
    </row>
    <row r="862" spans="1:36" s="208" customFormat="1" x14ac:dyDescent="0.25">
      <c r="A862" s="207"/>
      <c r="C862" s="207"/>
      <c r="K862" s="207"/>
      <c r="L862" s="207"/>
      <c r="M862" s="207"/>
      <c r="R862" s="209"/>
      <c r="AB862" s="210"/>
      <c r="AG862" s="210"/>
      <c r="AJ862" s="210"/>
    </row>
    <row r="863" spans="1:36" s="208" customFormat="1" x14ac:dyDescent="0.25">
      <c r="A863" s="207"/>
      <c r="C863" s="207"/>
      <c r="K863" s="207"/>
      <c r="L863" s="207"/>
      <c r="M863" s="207"/>
      <c r="R863" s="209"/>
      <c r="AB863" s="210"/>
      <c r="AG863" s="210"/>
      <c r="AJ863" s="210"/>
    </row>
    <row r="864" spans="1:36" s="208" customFormat="1" x14ac:dyDescent="0.25">
      <c r="A864" s="207"/>
      <c r="C864" s="207"/>
      <c r="K864" s="207"/>
      <c r="L864" s="207"/>
      <c r="M864" s="207"/>
      <c r="R864" s="209"/>
      <c r="AB864" s="210"/>
      <c r="AG864" s="210"/>
      <c r="AJ864" s="210"/>
    </row>
    <row r="865" spans="1:36" s="208" customFormat="1" x14ac:dyDescent="0.25">
      <c r="A865" s="207"/>
      <c r="C865" s="207"/>
      <c r="K865" s="207"/>
      <c r="L865" s="207"/>
      <c r="M865" s="207"/>
      <c r="R865" s="209"/>
      <c r="AB865" s="210"/>
      <c r="AG865" s="210"/>
      <c r="AJ865" s="210"/>
    </row>
    <row r="866" spans="1:36" s="208" customFormat="1" x14ac:dyDescent="0.25">
      <c r="A866" s="207"/>
      <c r="C866" s="207"/>
      <c r="K866" s="207"/>
      <c r="L866" s="207"/>
      <c r="M866" s="207"/>
      <c r="R866" s="209"/>
      <c r="AB866" s="210"/>
      <c r="AG866" s="210"/>
      <c r="AJ866" s="210"/>
    </row>
    <row r="867" spans="1:36" s="208" customFormat="1" x14ac:dyDescent="0.25">
      <c r="A867" s="207"/>
      <c r="C867" s="207"/>
      <c r="K867" s="207"/>
      <c r="L867" s="207"/>
      <c r="M867" s="207"/>
      <c r="R867" s="209"/>
      <c r="AB867" s="210"/>
      <c r="AG867" s="210"/>
      <c r="AJ867" s="210"/>
    </row>
    <row r="868" spans="1:36" s="208" customFormat="1" x14ac:dyDescent="0.25">
      <c r="A868" s="207"/>
      <c r="C868" s="207"/>
      <c r="K868" s="207"/>
      <c r="L868" s="207"/>
      <c r="M868" s="207"/>
      <c r="R868" s="209"/>
      <c r="AB868" s="210"/>
      <c r="AG868" s="210"/>
      <c r="AJ868" s="210"/>
    </row>
    <row r="869" spans="1:36" s="208" customFormat="1" x14ac:dyDescent="0.25">
      <c r="A869" s="207"/>
      <c r="C869" s="207"/>
      <c r="K869" s="207"/>
      <c r="L869" s="207"/>
      <c r="M869" s="207"/>
      <c r="R869" s="209"/>
      <c r="AB869" s="210"/>
      <c r="AG869" s="210"/>
      <c r="AJ869" s="210"/>
    </row>
    <row r="870" spans="1:36" s="208" customFormat="1" x14ac:dyDescent="0.25">
      <c r="A870" s="207"/>
      <c r="C870" s="207"/>
      <c r="K870" s="207"/>
      <c r="L870" s="207"/>
      <c r="M870" s="207"/>
      <c r="R870" s="209"/>
      <c r="AB870" s="210"/>
      <c r="AG870" s="210"/>
      <c r="AJ870" s="210"/>
    </row>
    <row r="871" spans="1:36" s="208" customFormat="1" x14ac:dyDescent="0.25">
      <c r="A871" s="207"/>
      <c r="C871" s="207"/>
      <c r="K871" s="207"/>
      <c r="L871" s="207"/>
      <c r="M871" s="207"/>
      <c r="R871" s="209"/>
      <c r="AB871" s="210"/>
      <c r="AG871" s="210"/>
      <c r="AJ871" s="210"/>
    </row>
    <row r="872" spans="1:36" s="208" customFormat="1" x14ac:dyDescent="0.25">
      <c r="A872" s="207"/>
      <c r="C872" s="207"/>
      <c r="K872" s="207"/>
      <c r="L872" s="207"/>
      <c r="M872" s="207"/>
      <c r="R872" s="209"/>
      <c r="AB872" s="210"/>
      <c r="AG872" s="210"/>
      <c r="AJ872" s="210"/>
    </row>
    <row r="873" spans="1:36" s="208" customFormat="1" x14ac:dyDescent="0.25">
      <c r="A873" s="207"/>
      <c r="C873" s="207"/>
      <c r="K873" s="207"/>
      <c r="L873" s="207"/>
      <c r="M873" s="207"/>
      <c r="R873" s="209"/>
      <c r="AB873" s="210"/>
      <c r="AG873" s="210"/>
      <c r="AJ873" s="210"/>
    </row>
    <row r="874" spans="1:36" s="208" customFormat="1" x14ac:dyDescent="0.25">
      <c r="A874" s="207"/>
      <c r="C874" s="207"/>
      <c r="K874" s="207"/>
      <c r="L874" s="207"/>
      <c r="M874" s="207"/>
      <c r="R874" s="209"/>
      <c r="AB874" s="210"/>
      <c r="AG874" s="210"/>
      <c r="AJ874" s="210"/>
    </row>
    <row r="875" spans="1:36" s="208" customFormat="1" x14ac:dyDescent="0.25">
      <c r="A875" s="207"/>
      <c r="C875" s="207"/>
      <c r="K875" s="207"/>
      <c r="L875" s="207"/>
      <c r="M875" s="207"/>
      <c r="R875" s="209"/>
      <c r="AB875" s="210"/>
      <c r="AG875" s="210"/>
      <c r="AJ875" s="210"/>
    </row>
    <row r="876" spans="1:36" s="208" customFormat="1" x14ac:dyDescent="0.25">
      <c r="A876" s="207"/>
      <c r="C876" s="207"/>
      <c r="K876" s="207"/>
      <c r="L876" s="207"/>
      <c r="M876" s="207"/>
      <c r="R876" s="209"/>
      <c r="AB876" s="210"/>
      <c r="AG876" s="210"/>
      <c r="AJ876" s="210"/>
    </row>
    <row r="877" spans="1:36" s="208" customFormat="1" x14ac:dyDescent="0.25">
      <c r="A877" s="207"/>
      <c r="C877" s="207"/>
      <c r="K877" s="207"/>
      <c r="L877" s="207"/>
      <c r="M877" s="207"/>
      <c r="R877" s="209"/>
      <c r="AB877" s="210"/>
      <c r="AG877" s="210"/>
      <c r="AJ877" s="210"/>
    </row>
    <row r="878" spans="1:36" s="208" customFormat="1" x14ac:dyDescent="0.25">
      <c r="A878" s="207"/>
      <c r="C878" s="207"/>
      <c r="K878" s="207"/>
      <c r="L878" s="207"/>
      <c r="M878" s="207"/>
      <c r="R878" s="209"/>
      <c r="AB878" s="210"/>
      <c r="AG878" s="210"/>
      <c r="AJ878" s="210"/>
    </row>
    <row r="879" spans="1:36" s="208" customFormat="1" x14ac:dyDescent="0.25">
      <c r="A879" s="207"/>
      <c r="C879" s="207"/>
      <c r="K879" s="207"/>
      <c r="L879" s="207"/>
      <c r="M879" s="207"/>
      <c r="R879" s="209"/>
      <c r="AB879" s="210"/>
      <c r="AG879" s="210"/>
      <c r="AJ879" s="210"/>
    </row>
    <row r="880" spans="1:36" s="208" customFormat="1" x14ac:dyDescent="0.25">
      <c r="A880" s="207"/>
      <c r="C880" s="207"/>
      <c r="K880" s="207"/>
      <c r="L880" s="207"/>
      <c r="M880" s="207"/>
      <c r="R880" s="209"/>
      <c r="AB880" s="210"/>
      <c r="AG880" s="210"/>
      <c r="AJ880" s="210"/>
    </row>
    <row r="881" spans="1:36" s="208" customFormat="1" x14ac:dyDescent="0.25">
      <c r="A881" s="207"/>
      <c r="C881" s="207"/>
      <c r="K881" s="207"/>
      <c r="L881" s="207"/>
      <c r="M881" s="207"/>
      <c r="R881" s="209"/>
      <c r="AB881" s="210"/>
      <c r="AG881" s="210"/>
      <c r="AJ881" s="210"/>
    </row>
    <row r="882" spans="1:36" s="208" customFormat="1" x14ac:dyDescent="0.25">
      <c r="A882" s="207"/>
      <c r="C882" s="207"/>
      <c r="K882" s="207"/>
      <c r="L882" s="207"/>
      <c r="M882" s="207"/>
      <c r="R882" s="209"/>
      <c r="AB882" s="210"/>
      <c r="AG882" s="210"/>
      <c r="AJ882" s="210"/>
    </row>
    <row r="883" spans="1:36" s="208" customFormat="1" x14ac:dyDescent="0.25">
      <c r="A883" s="207"/>
      <c r="C883" s="207"/>
      <c r="K883" s="207"/>
      <c r="L883" s="207"/>
      <c r="M883" s="207"/>
      <c r="R883" s="209"/>
      <c r="AB883" s="210"/>
      <c r="AG883" s="210"/>
      <c r="AJ883" s="210"/>
    </row>
    <row r="884" spans="1:36" s="208" customFormat="1" x14ac:dyDescent="0.25">
      <c r="A884" s="207"/>
      <c r="C884" s="207"/>
      <c r="K884" s="207"/>
      <c r="L884" s="207"/>
      <c r="M884" s="207"/>
      <c r="R884" s="209"/>
      <c r="AB884" s="210"/>
      <c r="AG884" s="210"/>
      <c r="AJ884" s="210"/>
    </row>
    <row r="885" spans="1:36" s="208" customFormat="1" x14ac:dyDescent="0.25">
      <c r="A885" s="207"/>
      <c r="C885" s="207"/>
      <c r="K885" s="207"/>
      <c r="L885" s="207"/>
      <c r="M885" s="207"/>
      <c r="R885" s="209"/>
      <c r="AB885" s="210"/>
      <c r="AG885" s="210"/>
      <c r="AJ885" s="210"/>
    </row>
    <row r="886" spans="1:36" s="208" customFormat="1" x14ac:dyDescent="0.25">
      <c r="A886" s="207"/>
      <c r="C886" s="207"/>
      <c r="K886" s="207"/>
      <c r="L886" s="207"/>
      <c r="M886" s="207"/>
      <c r="R886" s="209"/>
      <c r="AB886" s="210"/>
      <c r="AG886" s="210"/>
      <c r="AJ886" s="210"/>
    </row>
    <row r="887" spans="1:36" s="208" customFormat="1" x14ac:dyDescent="0.25">
      <c r="A887" s="207"/>
      <c r="C887" s="207"/>
      <c r="K887" s="207"/>
      <c r="L887" s="207"/>
      <c r="M887" s="207"/>
      <c r="R887" s="209"/>
      <c r="AB887" s="210"/>
      <c r="AG887" s="210"/>
      <c r="AJ887" s="210"/>
    </row>
    <row r="888" spans="1:36" s="208" customFormat="1" x14ac:dyDescent="0.25">
      <c r="A888" s="207"/>
      <c r="C888" s="207"/>
      <c r="K888" s="207"/>
      <c r="L888" s="207"/>
      <c r="M888" s="207"/>
      <c r="R888" s="209"/>
      <c r="AB888" s="210"/>
      <c r="AG888" s="210"/>
      <c r="AJ888" s="210"/>
    </row>
    <row r="889" spans="1:36" s="208" customFormat="1" x14ac:dyDescent="0.25">
      <c r="A889" s="207"/>
      <c r="C889" s="207"/>
      <c r="K889" s="207"/>
      <c r="L889" s="207"/>
      <c r="M889" s="207"/>
      <c r="R889" s="209"/>
      <c r="AB889" s="210"/>
      <c r="AG889" s="210"/>
      <c r="AJ889" s="210"/>
    </row>
    <row r="890" spans="1:36" s="208" customFormat="1" x14ac:dyDescent="0.25">
      <c r="A890" s="207"/>
      <c r="C890" s="207"/>
      <c r="K890" s="207"/>
      <c r="L890" s="207"/>
      <c r="M890" s="207"/>
      <c r="R890" s="209"/>
      <c r="AB890" s="210"/>
      <c r="AG890" s="210"/>
      <c r="AJ890" s="210"/>
    </row>
    <row r="891" spans="1:36" s="208" customFormat="1" x14ac:dyDescent="0.25">
      <c r="A891" s="207"/>
      <c r="C891" s="207"/>
      <c r="K891" s="207"/>
      <c r="L891" s="207"/>
      <c r="M891" s="207"/>
      <c r="R891" s="209"/>
      <c r="AB891" s="210"/>
      <c r="AG891" s="210"/>
      <c r="AJ891" s="210"/>
    </row>
    <row r="892" spans="1:36" s="208" customFormat="1" x14ac:dyDescent="0.25">
      <c r="A892" s="207"/>
      <c r="C892" s="207"/>
      <c r="K892" s="207"/>
      <c r="L892" s="207"/>
      <c r="M892" s="207"/>
      <c r="R892" s="209"/>
      <c r="AB892" s="210"/>
      <c r="AG892" s="210"/>
      <c r="AJ892" s="210"/>
    </row>
    <row r="893" spans="1:36" s="208" customFormat="1" x14ac:dyDescent="0.25">
      <c r="A893" s="207"/>
      <c r="C893" s="207"/>
      <c r="K893" s="207"/>
      <c r="L893" s="207"/>
      <c r="M893" s="207"/>
      <c r="R893" s="209"/>
      <c r="AB893" s="210"/>
      <c r="AG893" s="210"/>
      <c r="AJ893" s="210"/>
    </row>
    <row r="894" spans="1:36" s="208" customFormat="1" x14ac:dyDescent="0.25">
      <c r="A894" s="207"/>
      <c r="C894" s="207"/>
      <c r="K894" s="207"/>
      <c r="L894" s="207"/>
      <c r="M894" s="207"/>
      <c r="R894" s="209"/>
      <c r="AB894" s="210"/>
      <c r="AG894" s="210"/>
      <c r="AJ894" s="210"/>
    </row>
    <row r="895" spans="1:36" s="208" customFormat="1" x14ac:dyDescent="0.25">
      <c r="A895" s="207"/>
      <c r="C895" s="207"/>
      <c r="K895" s="207"/>
      <c r="L895" s="207"/>
      <c r="M895" s="207"/>
      <c r="R895" s="209"/>
      <c r="AB895" s="210"/>
      <c r="AG895" s="210"/>
      <c r="AJ895" s="210"/>
    </row>
    <row r="896" spans="1:36" s="208" customFormat="1" x14ac:dyDescent="0.25">
      <c r="A896" s="207"/>
      <c r="C896" s="207"/>
      <c r="K896" s="207"/>
      <c r="L896" s="207"/>
      <c r="M896" s="207"/>
      <c r="R896" s="209"/>
      <c r="AB896" s="210"/>
      <c r="AG896" s="210"/>
      <c r="AJ896" s="210"/>
    </row>
    <row r="897" spans="1:36" s="208" customFormat="1" x14ac:dyDescent="0.25">
      <c r="A897" s="207"/>
      <c r="C897" s="207"/>
      <c r="K897" s="207"/>
      <c r="L897" s="207"/>
      <c r="M897" s="207"/>
      <c r="R897" s="209"/>
      <c r="AB897" s="210"/>
      <c r="AG897" s="210"/>
      <c r="AJ897" s="210"/>
    </row>
    <row r="898" spans="1:36" s="208" customFormat="1" x14ac:dyDescent="0.25">
      <c r="A898" s="207"/>
      <c r="C898" s="207"/>
      <c r="K898" s="207"/>
      <c r="L898" s="207"/>
      <c r="M898" s="207"/>
      <c r="R898" s="209"/>
      <c r="AB898" s="210"/>
      <c r="AG898" s="210"/>
      <c r="AJ898" s="210"/>
    </row>
    <row r="899" spans="1:36" s="208" customFormat="1" x14ac:dyDescent="0.25">
      <c r="A899" s="207"/>
      <c r="C899" s="207"/>
      <c r="K899" s="207"/>
      <c r="L899" s="207"/>
      <c r="M899" s="207"/>
      <c r="R899" s="209"/>
      <c r="AB899" s="210"/>
      <c r="AG899" s="210"/>
      <c r="AJ899" s="210"/>
    </row>
    <row r="900" spans="1:36" s="208" customFormat="1" x14ac:dyDescent="0.25">
      <c r="A900" s="207"/>
      <c r="C900" s="207"/>
      <c r="K900" s="207"/>
      <c r="L900" s="207"/>
      <c r="M900" s="207"/>
      <c r="R900" s="209"/>
      <c r="AB900" s="210"/>
      <c r="AG900" s="210"/>
      <c r="AJ900" s="210"/>
    </row>
    <row r="901" spans="1:36" s="208" customFormat="1" x14ac:dyDescent="0.25">
      <c r="A901" s="207"/>
      <c r="C901" s="207"/>
      <c r="K901" s="207"/>
      <c r="L901" s="207"/>
      <c r="M901" s="207"/>
      <c r="R901" s="209"/>
      <c r="AB901" s="210"/>
      <c r="AG901" s="210"/>
      <c r="AJ901" s="210"/>
    </row>
    <row r="902" spans="1:36" s="208" customFormat="1" x14ac:dyDescent="0.25">
      <c r="A902" s="207"/>
      <c r="C902" s="207"/>
      <c r="K902" s="207"/>
      <c r="L902" s="207"/>
      <c r="M902" s="207"/>
      <c r="R902" s="209"/>
      <c r="AB902" s="210"/>
      <c r="AG902" s="210"/>
      <c r="AJ902" s="210"/>
    </row>
    <row r="903" spans="1:36" s="208" customFormat="1" x14ac:dyDescent="0.25">
      <c r="A903" s="207"/>
      <c r="C903" s="207"/>
      <c r="K903" s="207"/>
      <c r="L903" s="207"/>
      <c r="M903" s="207"/>
      <c r="R903" s="209"/>
      <c r="AB903" s="210"/>
      <c r="AG903" s="210"/>
      <c r="AJ903" s="210"/>
    </row>
    <row r="904" spans="1:36" s="208" customFormat="1" x14ac:dyDescent="0.25">
      <c r="A904" s="207"/>
      <c r="C904" s="207"/>
      <c r="K904" s="207"/>
      <c r="L904" s="207"/>
      <c r="M904" s="207"/>
      <c r="R904" s="209"/>
      <c r="AB904" s="210"/>
      <c r="AG904" s="210"/>
      <c r="AJ904" s="210"/>
    </row>
    <row r="905" spans="1:36" s="208" customFormat="1" x14ac:dyDescent="0.25">
      <c r="A905" s="207"/>
      <c r="C905" s="207"/>
      <c r="K905" s="207"/>
      <c r="L905" s="207"/>
      <c r="M905" s="207"/>
      <c r="R905" s="209"/>
      <c r="AB905" s="210"/>
      <c r="AG905" s="210"/>
      <c r="AJ905" s="210"/>
    </row>
    <row r="906" spans="1:36" s="208" customFormat="1" x14ac:dyDescent="0.25">
      <c r="A906" s="207"/>
      <c r="C906" s="207"/>
      <c r="K906" s="207"/>
      <c r="L906" s="207"/>
      <c r="M906" s="207"/>
      <c r="R906" s="209"/>
      <c r="AB906" s="210"/>
      <c r="AG906" s="210"/>
      <c r="AJ906" s="210"/>
    </row>
    <row r="907" spans="1:36" s="208" customFormat="1" x14ac:dyDescent="0.25">
      <c r="A907" s="207"/>
      <c r="C907" s="207"/>
      <c r="K907" s="207"/>
      <c r="L907" s="207"/>
      <c r="M907" s="207"/>
      <c r="R907" s="209"/>
      <c r="AB907" s="210"/>
      <c r="AG907" s="210"/>
      <c r="AJ907" s="210"/>
    </row>
    <row r="908" spans="1:36" s="208" customFormat="1" x14ac:dyDescent="0.25">
      <c r="A908" s="207"/>
      <c r="C908" s="207"/>
      <c r="K908" s="207"/>
      <c r="L908" s="207"/>
      <c r="M908" s="207"/>
      <c r="R908" s="209"/>
      <c r="AB908" s="210"/>
      <c r="AG908" s="210"/>
      <c r="AJ908" s="210"/>
    </row>
    <row r="909" spans="1:36" s="208" customFormat="1" x14ac:dyDescent="0.25">
      <c r="A909" s="207"/>
      <c r="C909" s="207"/>
      <c r="K909" s="207"/>
      <c r="L909" s="207"/>
      <c r="M909" s="207"/>
      <c r="R909" s="209"/>
      <c r="AB909" s="210"/>
      <c r="AG909" s="210"/>
      <c r="AJ909" s="210"/>
    </row>
    <row r="910" spans="1:36" s="208" customFormat="1" x14ac:dyDescent="0.25">
      <c r="A910" s="207"/>
      <c r="C910" s="207"/>
      <c r="K910" s="207"/>
      <c r="L910" s="207"/>
      <c r="M910" s="207"/>
      <c r="R910" s="209"/>
      <c r="AB910" s="210"/>
      <c r="AG910" s="210"/>
      <c r="AJ910" s="210"/>
    </row>
    <row r="911" spans="1:36" s="208" customFormat="1" x14ac:dyDescent="0.25">
      <c r="A911" s="207"/>
      <c r="C911" s="207"/>
      <c r="K911" s="207"/>
      <c r="L911" s="207"/>
      <c r="M911" s="207"/>
      <c r="R911" s="209"/>
      <c r="AB911" s="210"/>
      <c r="AG911" s="210"/>
      <c r="AJ911" s="210"/>
    </row>
    <row r="912" spans="1:36" s="208" customFormat="1" x14ac:dyDescent="0.25">
      <c r="A912" s="207"/>
      <c r="C912" s="207"/>
      <c r="K912" s="207"/>
      <c r="L912" s="207"/>
      <c r="M912" s="207"/>
      <c r="R912" s="209"/>
      <c r="AB912" s="210"/>
      <c r="AG912" s="210"/>
      <c r="AJ912" s="210"/>
    </row>
    <row r="913" spans="1:36" s="208" customFormat="1" x14ac:dyDescent="0.25">
      <c r="A913" s="207"/>
      <c r="C913" s="207"/>
      <c r="K913" s="207"/>
      <c r="L913" s="207"/>
      <c r="M913" s="207"/>
      <c r="R913" s="209"/>
      <c r="AB913" s="210"/>
      <c r="AG913" s="210"/>
      <c r="AJ913" s="210"/>
    </row>
    <row r="914" spans="1:36" s="208" customFormat="1" x14ac:dyDescent="0.25">
      <c r="A914" s="207"/>
      <c r="C914" s="207"/>
      <c r="K914" s="207"/>
      <c r="L914" s="207"/>
      <c r="M914" s="207"/>
      <c r="R914" s="209"/>
      <c r="AB914" s="210"/>
      <c r="AG914" s="210"/>
      <c r="AJ914" s="210"/>
    </row>
    <row r="915" spans="1:36" s="208" customFormat="1" x14ac:dyDescent="0.25">
      <c r="A915" s="207"/>
      <c r="C915" s="207"/>
      <c r="K915" s="207"/>
      <c r="L915" s="207"/>
      <c r="M915" s="207"/>
      <c r="R915" s="209"/>
      <c r="AB915" s="210"/>
      <c r="AG915" s="210"/>
      <c r="AJ915" s="210"/>
    </row>
    <row r="916" spans="1:36" s="208" customFormat="1" x14ac:dyDescent="0.25">
      <c r="A916" s="207"/>
      <c r="C916" s="207"/>
      <c r="K916" s="207"/>
      <c r="L916" s="207"/>
      <c r="M916" s="207"/>
      <c r="R916" s="209"/>
      <c r="AB916" s="210"/>
      <c r="AG916" s="210"/>
      <c r="AJ916" s="210"/>
    </row>
    <row r="917" spans="1:36" s="208" customFormat="1" x14ac:dyDescent="0.25">
      <c r="A917" s="207"/>
      <c r="C917" s="207"/>
      <c r="K917" s="207"/>
      <c r="L917" s="207"/>
      <c r="M917" s="207"/>
      <c r="R917" s="209"/>
      <c r="AB917" s="210"/>
      <c r="AG917" s="210"/>
      <c r="AJ917" s="210"/>
    </row>
    <row r="918" spans="1:36" s="208" customFormat="1" x14ac:dyDescent="0.25">
      <c r="A918" s="207"/>
      <c r="C918" s="207"/>
      <c r="K918" s="207"/>
      <c r="L918" s="207"/>
      <c r="M918" s="207"/>
      <c r="R918" s="209"/>
      <c r="AB918" s="210"/>
      <c r="AG918" s="210"/>
      <c r="AJ918" s="210"/>
    </row>
    <row r="919" spans="1:36" s="208" customFormat="1" x14ac:dyDescent="0.25">
      <c r="A919" s="207"/>
      <c r="C919" s="207"/>
      <c r="K919" s="207"/>
      <c r="L919" s="207"/>
      <c r="M919" s="207"/>
      <c r="R919" s="209"/>
      <c r="AB919" s="210"/>
      <c r="AG919" s="210"/>
      <c r="AJ919" s="210"/>
    </row>
    <row r="920" spans="1:36" s="208" customFormat="1" x14ac:dyDescent="0.25">
      <c r="A920" s="207"/>
      <c r="C920" s="207"/>
      <c r="K920" s="207"/>
      <c r="L920" s="207"/>
      <c r="M920" s="207"/>
      <c r="R920" s="209"/>
      <c r="AB920" s="210"/>
      <c r="AG920" s="210"/>
      <c r="AJ920" s="210"/>
    </row>
    <row r="921" spans="1:36" s="208" customFormat="1" x14ac:dyDescent="0.25">
      <c r="A921" s="207"/>
      <c r="C921" s="207"/>
      <c r="K921" s="207"/>
      <c r="L921" s="207"/>
      <c r="M921" s="207"/>
      <c r="R921" s="209"/>
      <c r="AB921" s="210"/>
      <c r="AG921" s="210"/>
      <c r="AJ921" s="210"/>
    </row>
    <row r="922" spans="1:36" s="208" customFormat="1" x14ac:dyDescent="0.25">
      <c r="A922" s="207"/>
      <c r="C922" s="207"/>
      <c r="K922" s="207"/>
      <c r="L922" s="207"/>
      <c r="M922" s="207"/>
      <c r="R922" s="209"/>
      <c r="AB922" s="210"/>
      <c r="AG922" s="210"/>
      <c r="AJ922" s="210"/>
    </row>
    <row r="923" spans="1:36" s="208" customFormat="1" x14ac:dyDescent="0.25">
      <c r="A923" s="207"/>
      <c r="C923" s="207"/>
      <c r="K923" s="207"/>
      <c r="L923" s="207"/>
      <c r="M923" s="207"/>
      <c r="R923" s="209"/>
      <c r="AB923" s="210"/>
      <c r="AG923" s="210"/>
      <c r="AJ923" s="210"/>
    </row>
    <row r="924" spans="1:36" s="208" customFormat="1" x14ac:dyDescent="0.25">
      <c r="A924" s="207"/>
      <c r="C924" s="207"/>
      <c r="K924" s="207"/>
      <c r="L924" s="207"/>
      <c r="M924" s="207"/>
      <c r="R924" s="209"/>
      <c r="AB924" s="210"/>
      <c r="AG924" s="210"/>
      <c r="AJ924" s="210"/>
    </row>
    <row r="925" spans="1:36" s="208" customFormat="1" x14ac:dyDescent="0.25">
      <c r="A925" s="207"/>
      <c r="C925" s="207"/>
      <c r="K925" s="207"/>
      <c r="L925" s="207"/>
      <c r="M925" s="207"/>
      <c r="R925" s="209"/>
      <c r="AB925" s="210"/>
      <c r="AG925" s="210"/>
      <c r="AJ925" s="210"/>
    </row>
    <row r="926" spans="1:36" s="208" customFormat="1" x14ac:dyDescent="0.25">
      <c r="A926" s="207"/>
      <c r="C926" s="207"/>
      <c r="K926" s="207"/>
      <c r="L926" s="207"/>
      <c r="M926" s="207"/>
      <c r="R926" s="209"/>
      <c r="AB926" s="210"/>
      <c r="AG926" s="210"/>
      <c r="AJ926" s="210"/>
    </row>
    <row r="927" spans="1:36" s="208" customFormat="1" x14ac:dyDescent="0.25">
      <c r="A927" s="207"/>
      <c r="C927" s="207"/>
      <c r="K927" s="207"/>
      <c r="L927" s="207"/>
      <c r="M927" s="207"/>
      <c r="R927" s="209"/>
      <c r="AB927" s="210"/>
      <c r="AG927" s="210"/>
      <c r="AJ927" s="210"/>
    </row>
    <row r="928" spans="1:36" s="208" customFormat="1" x14ac:dyDescent="0.25">
      <c r="A928" s="207"/>
      <c r="C928" s="207"/>
      <c r="K928" s="207"/>
      <c r="L928" s="207"/>
      <c r="M928" s="207"/>
      <c r="R928" s="209"/>
      <c r="AB928" s="210"/>
      <c r="AG928" s="210"/>
      <c r="AJ928" s="210"/>
    </row>
    <row r="929" spans="1:36" s="208" customFormat="1" x14ac:dyDescent="0.25">
      <c r="A929" s="207"/>
      <c r="C929" s="207"/>
      <c r="K929" s="207"/>
      <c r="L929" s="207"/>
      <c r="M929" s="207"/>
      <c r="R929" s="209"/>
      <c r="AB929" s="210"/>
      <c r="AG929" s="210"/>
      <c r="AJ929" s="210"/>
    </row>
    <row r="930" spans="1:36" s="208" customFormat="1" x14ac:dyDescent="0.25">
      <c r="A930" s="207"/>
      <c r="C930" s="207"/>
      <c r="K930" s="207"/>
      <c r="L930" s="207"/>
      <c r="M930" s="207"/>
      <c r="R930" s="209"/>
      <c r="AB930" s="210"/>
      <c r="AG930" s="210"/>
      <c r="AJ930" s="210"/>
    </row>
    <row r="931" spans="1:36" s="208" customFormat="1" x14ac:dyDescent="0.25">
      <c r="A931" s="207"/>
      <c r="C931" s="207"/>
      <c r="K931" s="207"/>
      <c r="L931" s="207"/>
      <c r="M931" s="207"/>
      <c r="R931" s="209"/>
      <c r="AB931" s="210"/>
      <c r="AG931" s="210"/>
      <c r="AJ931" s="210"/>
    </row>
    <row r="932" spans="1:36" s="208" customFormat="1" x14ac:dyDescent="0.25">
      <c r="A932" s="207"/>
      <c r="C932" s="207"/>
      <c r="K932" s="207"/>
      <c r="L932" s="207"/>
      <c r="M932" s="207"/>
      <c r="R932" s="209"/>
      <c r="AB932" s="210"/>
      <c r="AG932" s="210"/>
      <c r="AJ932" s="210"/>
    </row>
    <row r="933" spans="1:36" s="208" customFormat="1" x14ac:dyDescent="0.25">
      <c r="A933" s="207"/>
      <c r="C933" s="207"/>
      <c r="K933" s="207"/>
      <c r="L933" s="207"/>
      <c r="M933" s="207"/>
      <c r="R933" s="209"/>
      <c r="AB933" s="210"/>
      <c r="AG933" s="210"/>
      <c r="AJ933" s="210"/>
    </row>
    <row r="934" spans="1:36" s="208" customFormat="1" x14ac:dyDescent="0.25">
      <c r="A934" s="207"/>
      <c r="C934" s="207"/>
      <c r="K934" s="207"/>
      <c r="L934" s="207"/>
      <c r="M934" s="207"/>
      <c r="R934" s="209"/>
      <c r="AB934" s="210"/>
      <c r="AG934" s="210"/>
      <c r="AJ934" s="210"/>
    </row>
    <row r="935" spans="1:36" s="208" customFormat="1" x14ac:dyDescent="0.25">
      <c r="A935" s="207"/>
      <c r="C935" s="207"/>
      <c r="K935" s="207"/>
      <c r="L935" s="207"/>
      <c r="M935" s="207"/>
      <c r="R935" s="209"/>
      <c r="AB935" s="210"/>
      <c r="AG935" s="210"/>
      <c r="AJ935" s="210"/>
    </row>
    <row r="936" spans="1:36" s="208" customFormat="1" x14ac:dyDescent="0.25">
      <c r="A936" s="207"/>
      <c r="C936" s="207"/>
      <c r="K936" s="207"/>
      <c r="L936" s="207"/>
      <c r="M936" s="207"/>
      <c r="R936" s="209"/>
      <c r="AB936" s="210"/>
      <c r="AG936" s="210"/>
      <c r="AJ936" s="210"/>
    </row>
    <row r="937" spans="1:36" s="208" customFormat="1" x14ac:dyDescent="0.25">
      <c r="A937" s="207"/>
      <c r="C937" s="207"/>
      <c r="K937" s="207"/>
      <c r="L937" s="207"/>
      <c r="M937" s="207"/>
      <c r="R937" s="209"/>
      <c r="AB937" s="210"/>
      <c r="AG937" s="210"/>
      <c r="AJ937" s="210"/>
    </row>
    <row r="938" spans="1:36" s="208" customFormat="1" x14ac:dyDescent="0.25">
      <c r="A938" s="207"/>
      <c r="C938" s="207"/>
      <c r="K938" s="207"/>
      <c r="L938" s="207"/>
      <c r="M938" s="207"/>
      <c r="R938" s="209"/>
      <c r="AB938" s="210"/>
      <c r="AG938" s="210"/>
      <c r="AJ938" s="210"/>
    </row>
    <row r="939" spans="1:36" s="208" customFormat="1" x14ac:dyDescent="0.25">
      <c r="A939" s="207"/>
      <c r="C939" s="207"/>
      <c r="K939" s="207"/>
      <c r="L939" s="207"/>
      <c r="M939" s="207"/>
      <c r="R939" s="209"/>
      <c r="AB939" s="210"/>
      <c r="AG939" s="210"/>
      <c r="AJ939" s="210"/>
    </row>
    <row r="940" spans="1:36" s="208" customFormat="1" x14ac:dyDescent="0.25">
      <c r="A940" s="207"/>
      <c r="C940" s="207"/>
      <c r="K940" s="207"/>
      <c r="L940" s="207"/>
      <c r="M940" s="207"/>
      <c r="R940" s="209"/>
      <c r="AB940" s="210"/>
      <c r="AG940" s="210"/>
      <c r="AJ940" s="210"/>
    </row>
    <row r="941" spans="1:36" s="208" customFormat="1" x14ac:dyDescent="0.25">
      <c r="A941" s="207"/>
      <c r="C941" s="207"/>
      <c r="K941" s="207"/>
      <c r="L941" s="207"/>
      <c r="M941" s="207"/>
      <c r="R941" s="209"/>
      <c r="AB941" s="210"/>
      <c r="AG941" s="210"/>
      <c r="AJ941" s="210"/>
    </row>
    <row r="942" spans="1:36" s="208" customFormat="1" x14ac:dyDescent="0.25">
      <c r="A942" s="207"/>
      <c r="C942" s="207"/>
      <c r="K942" s="207"/>
      <c r="L942" s="207"/>
      <c r="M942" s="207"/>
      <c r="R942" s="209"/>
      <c r="AB942" s="210"/>
      <c r="AG942" s="210"/>
      <c r="AJ942" s="210"/>
    </row>
    <row r="943" spans="1:36" s="208" customFormat="1" x14ac:dyDescent="0.25">
      <c r="A943" s="207"/>
      <c r="C943" s="207"/>
      <c r="K943" s="207"/>
      <c r="L943" s="207"/>
      <c r="M943" s="207"/>
      <c r="R943" s="209"/>
      <c r="AB943" s="210"/>
      <c r="AG943" s="210"/>
      <c r="AJ943" s="210"/>
    </row>
    <row r="944" spans="1:36" s="208" customFormat="1" x14ac:dyDescent="0.25">
      <c r="A944" s="207"/>
      <c r="C944" s="207"/>
      <c r="K944" s="207"/>
      <c r="L944" s="207"/>
      <c r="M944" s="207"/>
      <c r="R944" s="209"/>
      <c r="AB944" s="210"/>
      <c r="AG944" s="210"/>
      <c r="AJ944" s="210"/>
    </row>
    <row r="945" spans="1:36" s="208" customFormat="1" x14ac:dyDescent="0.25">
      <c r="A945" s="207"/>
      <c r="C945" s="207"/>
      <c r="K945" s="207"/>
      <c r="L945" s="207"/>
      <c r="M945" s="207"/>
      <c r="R945" s="209"/>
      <c r="AB945" s="210"/>
      <c r="AG945" s="210"/>
      <c r="AJ945" s="210"/>
    </row>
    <row r="946" spans="1:36" s="208" customFormat="1" x14ac:dyDescent="0.25">
      <c r="A946" s="207"/>
      <c r="C946" s="207"/>
      <c r="K946" s="207"/>
      <c r="L946" s="207"/>
      <c r="M946" s="207"/>
      <c r="R946" s="209"/>
      <c r="AB946" s="210"/>
      <c r="AG946" s="210"/>
      <c r="AJ946" s="210"/>
    </row>
    <row r="947" spans="1:36" s="208" customFormat="1" x14ac:dyDescent="0.25">
      <c r="A947" s="207"/>
      <c r="C947" s="207"/>
      <c r="K947" s="207"/>
      <c r="L947" s="207"/>
      <c r="M947" s="207"/>
      <c r="R947" s="209"/>
      <c r="AB947" s="210"/>
      <c r="AG947" s="210"/>
      <c r="AJ947" s="210"/>
    </row>
    <row r="948" spans="1:36" s="208" customFormat="1" x14ac:dyDescent="0.25">
      <c r="A948" s="207"/>
      <c r="C948" s="207"/>
      <c r="K948" s="207"/>
      <c r="L948" s="207"/>
      <c r="M948" s="207"/>
      <c r="R948" s="209"/>
      <c r="AB948" s="210"/>
      <c r="AG948" s="210"/>
      <c r="AJ948" s="210"/>
    </row>
    <row r="949" spans="1:36" s="208" customFormat="1" x14ac:dyDescent="0.25">
      <c r="A949" s="207"/>
      <c r="C949" s="207"/>
      <c r="K949" s="207"/>
      <c r="L949" s="207"/>
      <c r="M949" s="207"/>
      <c r="R949" s="209"/>
      <c r="AB949" s="210"/>
      <c r="AG949" s="210"/>
      <c r="AJ949" s="210"/>
    </row>
    <row r="950" spans="1:36" s="208" customFormat="1" x14ac:dyDescent="0.25">
      <c r="A950" s="207"/>
      <c r="C950" s="207"/>
      <c r="K950" s="207"/>
      <c r="L950" s="207"/>
      <c r="M950" s="207"/>
      <c r="R950" s="209"/>
      <c r="AB950" s="210"/>
      <c r="AG950" s="210"/>
      <c r="AJ950" s="210"/>
    </row>
    <row r="951" spans="1:36" s="208" customFormat="1" x14ac:dyDescent="0.25">
      <c r="A951" s="207"/>
      <c r="C951" s="207"/>
      <c r="K951" s="207"/>
      <c r="L951" s="207"/>
      <c r="M951" s="207"/>
      <c r="R951" s="209"/>
      <c r="AB951" s="210"/>
      <c r="AG951" s="210"/>
      <c r="AJ951" s="210"/>
    </row>
    <row r="952" spans="1:36" s="208" customFormat="1" x14ac:dyDescent="0.25">
      <c r="A952" s="207"/>
      <c r="C952" s="207"/>
      <c r="K952" s="207"/>
      <c r="L952" s="207"/>
      <c r="M952" s="207"/>
      <c r="R952" s="209"/>
      <c r="AB952" s="210"/>
      <c r="AG952" s="210"/>
      <c r="AJ952" s="210"/>
    </row>
    <row r="953" spans="1:36" s="208" customFormat="1" x14ac:dyDescent="0.25">
      <c r="A953" s="207"/>
      <c r="C953" s="207"/>
      <c r="K953" s="207"/>
      <c r="L953" s="207"/>
      <c r="M953" s="207"/>
      <c r="R953" s="209"/>
      <c r="AB953" s="210"/>
      <c r="AG953" s="210"/>
      <c r="AJ953" s="210"/>
    </row>
    <row r="954" spans="1:36" s="208" customFormat="1" x14ac:dyDescent="0.25">
      <c r="A954" s="207"/>
      <c r="C954" s="207"/>
      <c r="K954" s="207"/>
      <c r="L954" s="207"/>
      <c r="M954" s="207"/>
      <c r="R954" s="209"/>
      <c r="AB954" s="210"/>
      <c r="AG954" s="210"/>
      <c r="AJ954" s="210"/>
    </row>
    <row r="955" spans="1:36" s="208" customFormat="1" x14ac:dyDescent="0.25">
      <c r="A955" s="207"/>
      <c r="C955" s="207"/>
      <c r="K955" s="207"/>
      <c r="L955" s="207"/>
      <c r="M955" s="207"/>
      <c r="R955" s="209"/>
      <c r="AB955" s="210"/>
      <c r="AG955" s="210"/>
      <c r="AJ955" s="210"/>
    </row>
    <row r="956" spans="1:36" s="208" customFormat="1" x14ac:dyDescent="0.25">
      <c r="A956" s="207"/>
      <c r="C956" s="207"/>
      <c r="K956" s="207"/>
      <c r="L956" s="207"/>
      <c r="M956" s="207"/>
      <c r="R956" s="209"/>
      <c r="AB956" s="210"/>
      <c r="AG956" s="210"/>
      <c r="AJ956" s="210"/>
    </row>
    <row r="957" spans="1:36" s="208" customFormat="1" x14ac:dyDescent="0.25">
      <c r="A957" s="207"/>
      <c r="C957" s="207"/>
      <c r="K957" s="207"/>
      <c r="L957" s="207"/>
      <c r="M957" s="207"/>
      <c r="R957" s="209"/>
      <c r="AB957" s="210"/>
      <c r="AG957" s="210"/>
      <c r="AJ957" s="210"/>
    </row>
    <row r="958" spans="1:36" s="208" customFormat="1" x14ac:dyDescent="0.25">
      <c r="A958" s="207"/>
      <c r="C958" s="207"/>
      <c r="K958" s="207"/>
      <c r="L958" s="207"/>
      <c r="M958" s="207"/>
      <c r="R958" s="209"/>
      <c r="AB958" s="210"/>
      <c r="AG958" s="210"/>
      <c r="AJ958" s="210"/>
    </row>
    <row r="959" spans="1:36" s="208" customFormat="1" x14ac:dyDescent="0.25">
      <c r="A959" s="207"/>
      <c r="C959" s="207"/>
      <c r="K959" s="207"/>
      <c r="L959" s="207"/>
      <c r="M959" s="207"/>
      <c r="R959" s="209"/>
      <c r="AB959" s="210"/>
      <c r="AG959" s="210"/>
      <c r="AJ959" s="210"/>
    </row>
    <row r="960" spans="1:36" s="208" customFormat="1" x14ac:dyDescent="0.25">
      <c r="A960" s="207"/>
      <c r="C960" s="207"/>
      <c r="K960" s="207"/>
      <c r="L960" s="207"/>
      <c r="M960" s="207"/>
      <c r="R960" s="209"/>
      <c r="AB960" s="210"/>
      <c r="AG960" s="210"/>
      <c r="AJ960" s="210"/>
    </row>
    <row r="961" spans="1:36" s="208" customFormat="1" x14ac:dyDescent="0.25">
      <c r="A961" s="207"/>
      <c r="C961" s="207"/>
      <c r="K961" s="207"/>
      <c r="L961" s="207"/>
      <c r="M961" s="207"/>
      <c r="R961" s="209"/>
      <c r="AB961" s="210"/>
      <c r="AG961" s="210"/>
      <c r="AJ961" s="210"/>
    </row>
    <row r="962" spans="1:36" s="208" customFormat="1" x14ac:dyDescent="0.25">
      <c r="A962" s="207"/>
      <c r="C962" s="207"/>
      <c r="K962" s="207"/>
      <c r="L962" s="207"/>
      <c r="M962" s="207"/>
      <c r="R962" s="209"/>
      <c r="AB962" s="210"/>
      <c r="AG962" s="210"/>
      <c r="AJ962" s="210"/>
    </row>
    <row r="963" spans="1:36" s="208" customFormat="1" x14ac:dyDescent="0.25">
      <c r="A963" s="207"/>
      <c r="C963" s="207"/>
      <c r="K963" s="207"/>
      <c r="L963" s="207"/>
      <c r="M963" s="207"/>
      <c r="R963" s="209"/>
      <c r="AB963" s="210"/>
      <c r="AG963" s="210"/>
      <c r="AJ963" s="210"/>
    </row>
    <row r="964" spans="1:36" s="208" customFormat="1" x14ac:dyDescent="0.25">
      <c r="A964" s="207"/>
      <c r="C964" s="207"/>
      <c r="K964" s="207"/>
      <c r="L964" s="207"/>
      <c r="M964" s="207"/>
      <c r="R964" s="209"/>
      <c r="AB964" s="210"/>
      <c r="AG964" s="210"/>
      <c r="AJ964" s="210"/>
    </row>
    <row r="965" spans="1:36" s="208" customFormat="1" x14ac:dyDescent="0.25">
      <c r="A965" s="207"/>
      <c r="C965" s="207"/>
      <c r="K965" s="207"/>
      <c r="L965" s="207"/>
      <c r="M965" s="207"/>
      <c r="R965" s="209"/>
      <c r="AB965" s="210"/>
      <c r="AG965" s="210"/>
      <c r="AJ965" s="210"/>
    </row>
    <row r="966" spans="1:36" s="208" customFormat="1" x14ac:dyDescent="0.25">
      <c r="A966" s="207"/>
      <c r="C966" s="207"/>
      <c r="K966" s="207"/>
      <c r="L966" s="207"/>
      <c r="M966" s="207"/>
      <c r="R966" s="209"/>
      <c r="AB966" s="210"/>
      <c r="AG966" s="210"/>
      <c r="AJ966" s="210"/>
    </row>
    <row r="967" spans="1:36" s="208" customFormat="1" x14ac:dyDescent="0.25">
      <c r="A967" s="207"/>
      <c r="C967" s="207"/>
      <c r="K967" s="207"/>
      <c r="L967" s="207"/>
      <c r="M967" s="207"/>
      <c r="R967" s="209"/>
      <c r="AB967" s="210"/>
      <c r="AG967" s="210"/>
      <c r="AJ967" s="210"/>
    </row>
    <row r="968" spans="1:36" s="208" customFormat="1" x14ac:dyDescent="0.25">
      <c r="A968" s="207"/>
      <c r="C968" s="207"/>
      <c r="K968" s="207"/>
      <c r="L968" s="207"/>
      <c r="M968" s="207"/>
      <c r="R968" s="209"/>
      <c r="AB968" s="210"/>
      <c r="AG968" s="210"/>
      <c r="AJ968" s="210"/>
    </row>
    <row r="969" spans="1:36" s="208" customFormat="1" x14ac:dyDescent="0.25">
      <c r="A969" s="207"/>
      <c r="C969" s="207"/>
      <c r="K969" s="207"/>
      <c r="L969" s="207"/>
      <c r="M969" s="207"/>
      <c r="R969" s="209"/>
      <c r="AB969" s="210"/>
      <c r="AG969" s="210"/>
      <c r="AJ969" s="210"/>
    </row>
    <row r="970" spans="1:36" s="208" customFormat="1" x14ac:dyDescent="0.25">
      <c r="A970" s="207"/>
      <c r="C970" s="207"/>
      <c r="K970" s="207"/>
      <c r="L970" s="207"/>
      <c r="M970" s="207"/>
      <c r="R970" s="209"/>
      <c r="AB970" s="210"/>
      <c r="AG970" s="210"/>
      <c r="AJ970" s="210"/>
    </row>
    <row r="971" spans="1:36" s="208" customFormat="1" x14ac:dyDescent="0.25">
      <c r="A971" s="207"/>
      <c r="C971" s="207"/>
      <c r="K971" s="207"/>
      <c r="L971" s="207"/>
      <c r="M971" s="207"/>
      <c r="R971" s="209"/>
      <c r="AB971" s="210"/>
      <c r="AG971" s="210"/>
      <c r="AJ971" s="210"/>
    </row>
    <row r="972" spans="1:36" s="208" customFormat="1" x14ac:dyDescent="0.25">
      <c r="A972" s="207"/>
      <c r="C972" s="207"/>
      <c r="K972" s="207"/>
      <c r="L972" s="207"/>
      <c r="M972" s="207"/>
      <c r="R972" s="209"/>
      <c r="AB972" s="210"/>
      <c r="AG972" s="210"/>
      <c r="AJ972" s="210"/>
    </row>
    <row r="973" spans="1:36" s="208" customFormat="1" x14ac:dyDescent="0.25">
      <c r="A973" s="207"/>
      <c r="C973" s="207"/>
      <c r="K973" s="207"/>
      <c r="L973" s="207"/>
      <c r="M973" s="207"/>
      <c r="R973" s="209"/>
      <c r="AB973" s="210"/>
      <c r="AG973" s="210"/>
      <c r="AJ973" s="210"/>
    </row>
    <row r="974" spans="1:36" s="208" customFormat="1" x14ac:dyDescent="0.25">
      <c r="A974" s="207"/>
      <c r="C974" s="207"/>
      <c r="K974" s="207"/>
      <c r="L974" s="207"/>
      <c r="M974" s="207"/>
      <c r="R974" s="209"/>
      <c r="AB974" s="210"/>
      <c r="AG974" s="210"/>
      <c r="AJ974" s="210"/>
    </row>
    <row r="975" spans="1:36" s="208" customFormat="1" x14ac:dyDescent="0.25">
      <c r="A975" s="207"/>
      <c r="C975" s="207"/>
      <c r="K975" s="207"/>
      <c r="L975" s="207"/>
      <c r="M975" s="207"/>
      <c r="R975" s="209"/>
      <c r="AB975" s="210"/>
      <c r="AG975" s="210"/>
      <c r="AJ975" s="210"/>
    </row>
    <row r="976" spans="1:36" s="208" customFormat="1" x14ac:dyDescent="0.25">
      <c r="A976" s="207"/>
      <c r="C976" s="207"/>
      <c r="K976" s="207"/>
      <c r="L976" s="207"/>
      <c r="M976" s="207"/>
      <c r="R976" s="209"/>
      <c r="AB976" s="210"/>
      <c r="AG976" s="210"/>
      <c r="AJ976" s="210"/>
    </row>
    <row r="977" spans="1:36" s="208" customFormat="1" x14ac:dyDescent="0.25">
      <c r="A977" s="207"/>
      <c r="C977" s="207"/>
      <c r="K977" s="207"/>
      <c r="L977" s="207"/>
      <c r="M977" s="207"/>
      <c r="R977" s="209"/>
      <c r="AB977" s="210"/>
      <c r="AG977" s="210"/>
      <c r="AJ977" s="210"/>
    </row>
    <row r="978" spans="1:36" s="208" customFormat="1" x14ac:dyDescent="0.25">
      <c r="A978" s="207"/>
      <c r="C978" s="207"/>
      <c r="K978" s="207"/>
      <c r="L978" s="207"/>
      <c r="M978" s="207"/>
      <c r="R978" s="209"/>
      <c r="AB978" s="210"/>
      <c r="AG978" s="210"/>
      <c r="AJ978" s="210"/>
    </row>
    <row r="979" spans="1:36" s="208" customFormat="1" x14ac:dyDescent="0.25">
      <c r="A979" s="207"/>
      <c r="C979" s="207"/>
      <c r="K979" s="207"/>
      <c r="L979" s="207"/>
      <c r="M979" s="207"/>
      <c r="R979" s="209"/>
      <c r="AB979" s="210"/>
      <c r="AG979" s="210"/>
      <c r="AJ979" s="210"/>
    </row>
    <row r="980" spans="1:36" s="208" customFormat="1" x14ac:dyDescent="0.25">
      <c r="A980" s="207"/>
      <c r="C980" s="207"/>
      <c r="K980" s="207"/>
      <c r="L980" s="207"/>
      <c r="M980" s="207"/>
      <c r="R980" s="209"/>
      <c r="AB980" s="210"/>
      <c r="AG980" s="210"/>
      <c r="AJ980" s="210"/>
    </row>
    <row r="981" spans="1:36" s="208" customFormat="1" x14ac:dyDescent="0.25">
      <c r="A981" s="207"/>
      <c r="C981" s="207"/>
      <c r="K981" s="207"/>
      <c r="L981" s="207"/>
      <c r="M981" s="207"/>
      <c r="R981" s="209"/>
      <c r="AB981" s="210"/>
      <c r="AG981" s="210"/>
      <c r="AJ981" s="210"/>
    </row>
    <row r="982" spans="1:36" s="208" customFormat="1" x14ac:dyDescent="0.25">
      <c r="A982" s="207"/>
      <c r="C982" s="207"/>
      <c r="K982" s="207"/>
      <c r="L982" s="207"/>
      <c r="M982" s="207"/>
      <c r="R982" s="209"/>
      <c r="AB982" s="210"/>
      <c r="AG982" s="210"/>
      <c r="AJ982" s="210"/>
    </row>
    <row r="983" spans="1:36" s="208" customFormat="1" x14ac:dyDescent="0.25">
      <c r="A983" s="207"/>
      <c r="C983" s="207"/>
      <c r="K983" s="207"/>
      <c r="L983" s="207"/>
      <c r="M983" s="207"/>
      <c r="R983" s="209"/>
      <c r="AB983" s="210"/>
      <c r="AG983" s="210"/>
      <c r="AJ983" s="210"/>
    </row>
    <row r="984" spans="1:36" s="208" customFormat="1" x14ac:dyDescent="0.25">
      <c r="A984" s="207"/>
      <c r="C984" s="207"/>
      <c r="K984" s="207"/>
      <c r="L984" s="207"/>
      <c r="M984" s="207"/>
      <c r="R984" s="209"/>
      <c r="AB984" s="210"/>
      <c r="AG984" s="210"/>
      <c r="AJ984" s="210"/>
    </row>
    <row r="985" spans="1:36" s="208" customFormat="1" x14ac:dyDescent="0.25">
      <c r="A985" s="207"/>
      <c r="C985" s="207"/>
      <c r="K985" s="207"/>
      <c r="L985" s="207"/>
      <c r="M985" s="207"/>
      <c r="R985" s="209"/>
      <c r="AB985" s="210"/>
      <c r="AG985" s="210"/>
      <c r="AJ985" s="210"/>
    </row>
    <row r="986" spans="1:36" s="208" customFormat="1" x14ac:dyDescent="0.25">
      <c r="A986" s="207"/>
      <c r="C986" s="207"/>
      <c r="K986" s="207"/>
      <c r="L986" s="207"/>
      <c r="M986" s="207"/>
      <c r="R986" s="209"/>
      <c r="AB986" s="210"/>
      <c r="AG986" s="210"/>
      <c r="AJ986" s="210"/>
    </row>
    <row r="987" spans="1:36" s="208" customFormat="1" x14ac:dyDescent="0.25">
      <c r="A987" s="207"/>
      <c r="C987" s="207"/>
      <c r="K987" s="207"/>
      <c r="L987" s="207"/>
      <c r="M987" s="207"/>
      <c r="R987" s="209"/>
      <c r="AB987" s="210"/>
      <c r="AG987" s="210"/>
      <c r="AJ987" s="210"/>
    </row>
    <row r="988" spans="1:36" s="208" customFormat="1" x14ac:dyDescent="0.25">
      <c r="A988" s="207"/>
      <c r="C988" s="207"/>
      <c r="K988" s="207"/>
      <c r="L988" s="207"/>
      <c r="M988" s="207"/>
      <c r="R988" s="209"/>
      <c r="AB988" s="210"/>
      <c r="AG988" s="210"/>
      <c r="AJ988" s="210"/>
    </row>
    <row r="989" spans="1:36" s="208" customFormat="1" x14ac:dyDescent="0.25">
      <c r="A989" s="207"/>
      <c r="C989" s="207"/>
      <c r="K989" s="207"/>
      <c r="L989" s="207"/>
      <c r="M989" s="207"/>
      <c r="R989" s="209"/>
      <c r="AB989" s="210"/>
      <c r="AG989" s="210"/>
      <c r="AJ989" s="210"/>
    </row>
    <row r="990" spans="1:36" s="208" customFormat="1" x14ac:dyDescent="0.25">
      <c r="A990" s="207"/>
      <c r="C990" s="207"/>
      <c r="K990" s="207"/>
      <c r="L990" s="207"/>
      <c r="M990" s="207"/>
      <c r="R990" s="209"/>
      <c r="AB990" s="210"/>
      <c r="AG990" s="210"/>
      <c r="AJ990" s="210"/>
    </row>
    <row r="991" spans="1:36" s="208" customFormat="1" x14ac:dyDescent="0.25">
      <c r="A991" s="207"/>
      <c r="C991" s="207"/>
      <c r="K991" s="207"/>
      <c r="L991" s="207"/>
      <c r="M991" s="207"/>
      <c r="R991" s="209"/>
      <c r="AB991" s="210"/>
      <c r="AG991" s="210"/>
      <c r="AJ991" s="210"/>
    </row>
    <row r="992" spans="1:36" s="208" customFormat="1" x14ac:dyDescent="0.25">
      <c r="A992" s="207"/>
      <c r="C992" s="207"/>
      <c r="K992" s="207"/>
      <c r="L992" s="207"/>
      <c r="M992" s="207"/>
      <c r="R992" s="209"/>
      <c r="AB992" s="210"/>
      <c r="AG992" s="210"/>
      <c r="AJ992" s="210"/>
    </row>
    <row r="993" spans="1:36" s="208" customFormat="1" x14ac:dyDescent="0.25">
      <c r="A993" s="207"/>
      <c r="C993" s="207"/>
      <c r="K993" s="207"/>
      <c r="L993" s="207"/>
      <c r="M993" s="207"/>
      <c r="R993" s="209"/>
      <c r="AB993" s="210"/>
      <c r="AG993" s="210"/>
      <c r="AJ993" s="210"/>
    </row>
    <row r="994" spans="1:36" s="208" customFormat="1" x14ac:dyDescent="0.25">
      <c r="A994" s="207"/>
      <c r="C994" s="207"/>
      <c r="K994" s="207"/>
      <c r="L994" s="207"/>
      <c r="M994" s="207"/>
      <c r="R994" s="209"/>
      <c r="AB994" s="210"/>
      <c r="AG994" s="210"/>
      <c r="AJ994" s="210"/>
    </row>
    <row r="995" spans="1:36" s="208" customFormat="1" x14ac:dyDescent="0.25">
      <c r="A995" s="207"/>
      <c r="C995" s="207"/>
      <c r="K995" s="207"/>
      <c r="L995" s="207"/>
      <c r="M995" s="207"/>
      <c r="R995" s="209"/>
      <c r="AB995" s="210"/>
      <c r="AG995" s="210"/>
      <c r="AJ995" s="210"/>
    </row>
    <row r="996" spans="1:36" s="208" customFormat="1" x14ac:dyDescent="0.25">
      <c r="A996" s="207"/>
      <c r="C996" s="207"/>
      <c r="K996" s="207"/>
      <c r="L996" s="207"/>
      <c r="M996" s="207"/>
      <c r="R996" s="209"/>
      <c r="AB996" s="210"/>
      <c r="AG996" s="210"/>
      <c r="AJ996" s="210"/>
    </row>
    <row r="997" spans="1:36" s="208" customFormat="1" x14ac:dyDescent="0.25">
      <c r="A997" s="207"/>
      <c r="C997" s="207"/>
      <c r="K997" s="207"/>
      <c r="L997" s="207"/>
      <c r="M997" s="207"/>
      <c r="R997" s="209"/>
      <c r="AB997" s="210"/>
      <c r="AG997" s="210"/>
      <c r="AJ997" s="210"/>
    </row>
    <row r="998" spans="1:36" s="208" customFormat="1" x14ac:dyDescent="0.25">
      <c r="A998" s="207"/>
      <c r="C998" s="207"/>
      <c r="K998" s="207"/>
      <c r="L998" s="207"/>
      <c r="M998" s="207"/>
      <c r="R998" s="209"/>
      <c r="AB998" s="210"/>
      <c r="AG998" s="210"/>
      <c r="AJ998" s="210"/>
    </row>
    <row r="999" spans="1:36" s="208" customFormat="1" x14ac:dyDescent="0.25">
      <c r="A999" s="207"/>
      <c r="C999" s="207"/>
      <c r="K999" s="207"/>
      <c r="L999" s="207"/>
      <c r="M999" s="207"/>
      <c r="R999" s="209"/>
      <c r="AB999" s="210"/>
      <c r="AG999" s="210"/>
      <c r="AJ999" s="210"/>
    </row>
    <row r="1000" spans="1:36" s="208" customFormat="1" x14ac:dyDescent="0.25">
      <c r="A1000" s="207"/>
      <c r="C1000" s="207"/>
      <c r="K1000" s="207"/>
      <c r="L1000" s="207"/>
      <c r="M1000" s="207"/>
      <c r="R1000" s="209"/>
      <c r="AB1000" s="210"/>
      <c r="AG1000" s="210"/>
      <c r="AJ1000" s="210"/>
    </row>
    <row r="1001" spans="1:36" s="208" customFormat="1" x14ac:dyDescent="0.25">
      <c r="A1001" s="207"/>
      <c r="C1001" s="207"/>
      <c r="K1001" s="207"/>
      <c r="L1001" s="207"/>
      <c r="M1001" s="207"/>
      <c r="R1001" s="209"/>
      <c r="AB1001" s="210"/>
      <c r="AG1001" s="210"/>
      <c r="AJ1001" s="210"/>
    </row>
    <row r="1002" spans="1:36" s="208" customFormat="1" x14ac:dyDescent="0.25">
      <c r="A1002" s="207"/>
      <c r="C1002" s="207"/>
      <c r="K1002" s="207"/>
      <c r="L1002" s="207"/>
      <c r="M1002" s="207"/>
      <c r="R1002" s="209"/>
      <c r="AB1002" s="210"/>
      <c r="AG1002" s="210"/>
      <c r="AJ1002" s="210"/>
    </row>
    <row r="1003" spans="1:36" s="208" customFormat="1" x14ac:dyDescent="0.25">
      <c r="A1003" s="207"/>
      <c r="C1003" s="207"/>
      <c r="K1003" s="207"/>
      <c r="L1003" s="207"/>
      <c r="M1003" s="207"/>
      <c r="R1003" s="209"/>
      <c r="AB1003" s="210"/>
      <c r="AG1003" s="210"/>
      <c r="AJ1003" s="210"/>
    </row>
    <row r="1004" spans="1:36" s="208" customFormat="1" x14ac:dyDescent="0.25">
      <c r="A1004" s="207"/>
      <c r="C1004" s="207"/>
      <c r="K1004" s="207"/>
      <c r="L1004" s="207"/>
      <c r="M1004" s="207"/>
      <c r="R1004" s="209"/>
      <c r="AB1004" s="210"/>
      <c r="AG1004" s="210"/>
      <c r="AJ1004" s="210"/>
    </row>
    <row r="1005" spans="1:36" s="208" customFormat="1" x14ac:dyDescent="0.25">
      <c r="A1005" s="207"/>
      <c r="C1005" s="207"/>
      <c r="K1005" s="207"/>
      <c r="L1005" s="207"/>
      <c r="M1005" s="207"/>
      <c r="R1005" s="209"/>
      <c r="AB1005" s="210"/>
      <c r="AG1005" s="210"/>
      <c r="AJ1005" s="210"/>
    </row>
    <row r="1006" spans="1:36" s="208" customFormat="1" x14ac:dyDescent="0.25">
      <c r="A1006" s="207"/>
      <c r="C1006" s="207"/>
      <c r="K1006" s="207"/>
      <c r="L1006" s="207"/>
      <c r="M1006" s="207"/>
      <c r="R1006" s="209"/>
      <c r="AB1006" s="210"/>
      <c r="AG1006" s="210"/>
      <c r="AJ1006" s="210"/>
    </row>
    <row r="1007" spans="1:36" s="208" customFormat="1" x14ac:dyDescent="0.25">
      <c r="A1007" s="207"/>
      <c r="C1007" s="207"/>
      <c r="K1007" s="207"/>
      <c r="L1007" s="207"/>
      <c r="M1007" s="207"/>
      <c r="R1007" s="209"/>
      <c r="AB1007" s="210"/>
      <c r="AG1007" s="210"/>
      <c r="AJ1007" s="210"/>
    </row>
    <row r="1008" spans="1:36" s="208" customFormat="1" x14ac:dyDescent="0.25">
      <c r="A1008" s="207"/>
      <c r="C1008" s="207"/>
      <c r="K1008" s="207"/>
      <c r="L1008" s="207"/>
      <c r="M1008" s="207"/>
      <c r="R1008" s="209"/>
      <c r="AB1008" s="210"/>
      <c r="AG1008" s="210"/>
      <c r="AJ1008" s="210"/>
    </row>
    <row r="1009" spans="1:36" s="208" customFormat="1" x14ac:dyDescent="0.25">
      <c r="A1009" s="207"/>
      <c r="C1009" s="207"/>
      <c r="K1009" s="207"/>
      <c r="L1009" s="207"/>
      <c r="M1009" s="207"/>
      <c r="R1009" s="209"/>
      <c r="AB1009" s="210"/>
      <c r="AG1009" s="210"/>
      <c r="AJ1009" s="210"/>
    </row>
    <row r="1010" spans="1:36" s="208" customFormat="1" x14ac:dyDescent="0.25">
      <c r="A1010" s="207"/>
      <c r="C1010" s="207"/>
      <c r="K1010" s="207"/>
      <c r="L1010" s="207"/>
      <c r="M1010" s="207"/>
      <c r="R1010" s="209"/>
      <c r="AB1010" s="210"/>
      <c r="AG1010" s="210"/>
      <c r="AJ1010" s="210"/>
    </row>
    <row r="1011" spans="1:36" s="208" customFormat="1" x14ac:dyDescent="0.25">
      <c r="A1011" s="207"/>
      <c r="C1011" s="207"/>
      <c r="K1011" s="207"/>
      <c r="L1011" s="207"/>
      <c r="M1011" s="207"/>
      <c r="R1011" s="209"/>
      <c r="AB1011" s="210"/>
      <c r="AG1011" s="210"/>
      <c r="AJ1011" s="210"/>
    </row>
    <row r="1012" spans="1:36" s="208" customFormat="1" x14ac:dyDescent="0.25">
      <c r="A1012" s="207"/>
      <c r="C1012" s="207"/>
      <c r="K1012" s="207"/>
      <c r="L1012" s="207"/>
      <c r="M1012" s="207"/>
      <c r="R1012" s="209"/>
      <c r="AB1012" s="210"/>
      <c r="AG1012" s="210"/>
      <c r="AJ1012" s="210"/>
    </row>
    <row r="1013" spans="1:36" s="208" customFormat="1" x14ac:dyDescent="0.25">
      <c r="A1013" s="207"/>
      <c r="C1013" s="207"/>
      <c r="K1013" s="207"/>
      <c r="L1013" s="207"/>
      <c r="M1013" s="207"/>
      <c r="R1013" s="209"/>
      <c r="AB1013" s="210"/>
      <c r="AG1013" s="210"/>
      <c r="AJ1013" s="210"/>
    </row>
    <row r="1014" spans="1:36" s="208" customFormat="1" x14ac:dyDescent="0.25">
      <c r="A1014" s="207"/>
      <c r="C1014" s="207"/>
      <c r="K1014" s="207"/>
      <c r="L1014" s="207"/>
      <c r="M1014" s="207"/>
      <c r="R1014" s="209"/>
      <c r="AB1014" s="210"/>
      <c r="AG1014" s="210"/>
      <c r="AJ1014" s="210"/>
    </row>
    <row r="1015" spans="1:36" s="208" customFormat="1" x14ac:dyDescent="0.25">
      <c r="A1015" s="207"/>
      <c r="C1015" s="207"/>
      <c r="K1015" s="207"/>
      <c r="L1015" s="207"/>
      <c r="M1015" s="207"/>
      <c r="R1015" s="209"/>
      <c r="AB1015" s="210"/>
      <c r="AG1015" s="210"/>
      <c r="AJ1015" s="210"/>
    </row>
    <row r="1016" spans="1:36" s="208" customFormat="1" x14ac:dyDescent="0.25">
      <c r="A1016" s="207"/>
      <c r="C1016" s="207"/>
      <c r="K1016" s="207"/>
      <c r="L1016" s="207"/>
      <c r="M1016" s="207"/>
      <c r="R1016" s="209"/>
      <c r="AB1016" s="210"/>
      <c r="AG1016" s="210"/>
      <c r="AJ1016" s="210"/>
    </row>
    <row r="1017" spans="1:36" s="208" customFormat="1" x14ac:dyDescent="0.25">
      <c r="A1017" s="207"/>
      <c r="C1017" s="207"/>
      <c r="K1017" s="207"/>
      <c r="L1017" s="207"/>
      <c r="M1017" s="207"/>
      <c r="R1017" s="209"/>
      <c r="AB1017" s="210"/>
      <c r="AG1017" s="210"/>
      <c r="AJ1017" s="210"/>
    </row>
    <row r="1018" spans="1:36" s="208" customFormat="1" x14ac:dyDescent="0.25">
      <c r="A1018" s="207"/>
      <c r="C1018" s="207"/>
      <c r="K1018" s="207"/>
      <c r="L1018" s="207"/>
      <c r="M1018" s="207"/>
      <c r="R1018" s="209"/>
      <c r="AB1018" s="210"/>
      <c r="AG1018" s="210"/>
      <c r="AJ1018" s="210"/>
    </row>
    <row r="1019" spans="1:36" s="208" customFormat="1" x14ac:dyDescent="0.25">
      <c r="A1019" s="207"/>
      <c r="C1019" s="207"/>
      <c r="K1019" s="207"/>
      <c r="L1019" s="207"/>
      <c r="M1019" s="207"/>
      <c r="R1019" s="209"/>
      <c r="AB1019" s="210"/>
      <c r="AG1019" s="210"/>
      <c r="AJ1019" s="210"/>
    </row>
    <row r="1020" spans="1:36" s="208" customFormat="1" x14ac:dyDescent="0.25">
      <c r="A1020" s="207"/>
      <c r="C1020" s="207"/>
      <c r="K1020" s="207"/>
      <c r="L1020" s="207"/>
      <c r="M1020" s="207"/>
      <c r="R1020" s="209"/>
      <c r="AB1020" s="210"/>
      <c r="AG1020" s="210"/>
      <c r="AJ1020" s="210"/>
    </row>
    <row r="1021" spans="1:36" s="208" customFormat="1" x14ac:dyDescent="0.25">
      <c r="A1021" s="207"/>
      <c r="C1021" s="207"/>
      <c r="K1021" s="207"/>
      <c r="L1021" s="207"/>
      <c r="M1021" s="207"/>
      <c r="R1021" s="209"/>
      <c r="AB1021" s="210"/>
      <c r="AG1021" s="210"/>
      <c r="AJ1021" s="210"/>
    </row>
    <row r="1022" spans="1:36" s="208" customFormat="1" x14ac:dyDescent="0.25">
      <c r="A1022" s="207"/>
      <c r="C1022" s="207"/>
      <c r="K1022" s="207"/>
      <c r="L1022" s="207"/>
      <c r="M1022" s="207"/>
      <c r="R1022" s="209"/>
      <c r="AB1022" s="210"/>
      <c r="AG1022" s="210"/>
      <c r="AJ1022" s="210"/>
    </row>
    <row r="1023" spans="1:36" s="208" customFormat="1" x14ac:dyDescent="0.25">
      <c r="A1023" s="207"/>
      <c r="C1023" s="207"/>
      <c r="K1023" s="207"/>
      <c r="L1023" s="207"/>
      <c r="M1023" s="207"/>
      <c r="R1023" s="209"/>
      <c r="AB1023" s="210"/>
      <c r="AG1023" s="210"/>
      <c r="AJ1023" s="210"/>
    </row>
    <row r="1024" spans="1:36" s="208" customFormat="1" x14ac:dyDescent="0.25">
      <c r="A1024" s="207"/>
      <c r="C1024" s="207"/>
      <c r="K1024" s="207"/>
      <c r="L1024" s="207"/>
      <c r="M1024" s="207"/>
      <c r="R1024" s="209"/>
      <c r="AB1024" s="210"/>
      <c r="AG1024" s="210"/>
      <c r="AJ1024" s="210"/>
    </row>
    <row r="1025" spans="1:36" s="208" customFormat="1" x14ac:dyDescent="0.25">
      <c r="A1025" s="207"/>
      <c r="C1025" s="207"/>
      <c r="K1025" s="207"/>
      <c r="L1025" s="207"/>
      <c r="M1025" s="207"/>
      <c r="R1025" s="209"/>
      <c r="AB1025" s="210"/>
      <c r="AG1025" s="210"/>
      <c r="AJ1025" s="210"/>
    </row>
    <row r="1026" spans="1:36" s="208" customFormat="1" x14ac:dyDescent="0.25">
      <c r="A1026" s="207"/>
      <c r="C1026" s="207"/>
      <c r="K1026" s="207"/>
      <c r="L1026" s="207"/>
      <c r="M1026" s="207"/>
      <c r="R1026" s="209"/>
      <c r="AB1026" s="210"/>
      <c r="AG1026" s="210"/>
      <c r="AJ1026" s="210"/>
    </row>
    <row r="1027" spans="1:36" s="208" customFormat="1" x14ac:dyDescent="0.25">
      <c r="A1027" s="207"/>
      <c r="C1027" s="207"/>
      <c r="K1027" s="207"/>
      <c r="L1027" s="207"/>
      <c r="M1027" s="207"/>
      <c r="R1027" s="209"/>
      <c r="AB1027" s="210"/>
      <c r="AG1027" s="210"/>
      <c r="AJ1027" s="210"/>
    </row>
    <row r="1028" spans="1:36" s="208" customFormat="1" x14ac:dyDescent="0.25">
      <c r="A1028" s="207"/>
      <c r="C1028" s="207"/>
      <c r="K1028" s="207"/>
      <c r="L1028" s="207"/>
      <c r="M1028" s="207"/>
      <c r="R1028" s="209"/>
      <c r="AB1028" s="210"/>
      <c r="AG1028" s="210"/>
      <c r="AJ1028" s="210"/>
    </row>
    <row r="1029" spans="1:36" s="208" customFormat="1" x14ac:dyDescent="0.25">
      <c r="A1029" s="207"/>
      <c r="C1029" s="207"/>
      <c r="K1029" s="207"/>
      <c r="L1029" s="207"/>
      <c r="M1029" s="207"/>
      <c r="R1029" s="209"/>
      <c r="AB1029" s="210"/>
      <c r="AG1029" s="210"/>
      <c r="AJ1029" s="210"/>
    </row>
    <row r="1030" spans="1:36" s="208" customFormat="1" x14ac:dyDescent="0.25">
      <c r="A1030" s="207"/>
      <c r="C1030" s="207"/>
      <c r="K1030" s="207"/>
      <c r="L1030" s="207"/>
      <c r="M1030" s="207"/>
      <c r="R1030" s="209"/>
      <c r="AB1030" s="210"/>
      <c r="AG1030" s="210"/>
      <c r="AJ1030" s="210"/>
    </row>
    <row r="1031" spans="1:36" s="208" customFormat="1" x14ac:dyDescent="0.25">
      <c r="A1031" s="207"/>
      <c r="C1031" s="207"/>
      <c r="K1031" s="207"/>
      <c r="L1031" s="207"/>
      <c r="M1031" s="207"/>
      <c r="R1031" s="209"/>
      <c r="AB1031" s="210"/>
      <c r="AG1031" s="210"/>
      <c r="AJ1031" s="210"/>
    </row>
    <row r="1032" spans="1:36" s="208" customFormat="1" x14ac:dyDescent="0.25">
      <c r="A1032" s="207"/>
      <c r="C1032" s="207"/>
      <c r="K1032" s="207"/>
      <c r="L1032" s="207"/>
      <c r="M1032" s="207"/>
      <c r="R1032" s="209"/>
      <c r="AB1032" s="210"/>
      <c r="AG1032" s="210"/>
      <c r="AJ1032" s="210"/>
    </row>
    <row r="1033" spans="1:36" s="208" customFormat="1" x14ac:dyDescent="0.25">
      <c r="A1033" s="207"/>
      <c r="C1033" s="207"/>
      <c r="K1033" s="207"/>
      <c r="L1033" s="207"/>
      <c r="M1033" s="207"/>
      <c r="R1033" s="209"/>
      <c r="AB1033" s="210"/>
      <c r="AG1033" s="210"/>
      <c r="AJ1033" s="210"/>
    </row>
    <row r="1034" spans="1:36" s="208" customFormat="1" x14ac:dyDescent="0.25">
      <c r="A1034" s="207"/>
      <c r="C1034" s="207"/>
      <c r="K1034" s="207"/>
      <c r="L1034" s="207"/>
      <c r="M1034" s="207"/>
      <c r="R1034" s="209"/>
      <c r="AB1034" s="210"/>
      <c r="AG1034" s="210"/>
      <c r="AJ1034" s="210"/>
    </row>
    <row r="1035" spans="1:36" s="208" customFormat="1" x14ac:dyDescent="0.25">
      <c r="A1035" s="207"/>
      <c r="C1035" s="207"/>
      <c r="K1035" s="207"/>
      <c r="L1035" s="207"/>
      <c r="M1035" s="207"/>
      <c r="R1035" s="209"/>
      <c r="AB1035" s="210"/>
      <c r="AG1035" s="210"/>
      <c r="AJ1035" s="210"/>
    </row>
    <row r="1036" spans="1:36" s="208" customFormat="1" x14ac:dyDescent="0.25">
      <c r="A1036" s="207"/>
      <c r="C1036" s="207"/>
      <c r="K1036" s="207"/>
      <c r="L1036" s="207"/>
      <c r="M1036" s="207"/>
      <c r="R1036" s="209"/>
      <c r="AB1036" s="210"/>
      <c r="AG1036" s="210"/>
      <c r="AJ1036" s="210"/>
    </row>
    <row r="1037" spans="1:36" s="208" customFormat="1" x14ac:dyDescent="0.25">
      <c r="A1037" s="207"/>
      <c r="C1037" s="207"/>
      <c r="K1037" s="207"/>
      <c r="L1037" s="207"/>
      <c r="M1037" s="207"/>
      <c r="R1037" s="209"/>
      <c r="AB1037" s="210"/>
      <c r="AG1037" s="210"/>
      <c r="AJ1037" s="210"/>
    </row>
    <row r="1038" spans="1:36" s="208" customFormat="1" x14ac:dyDescent="0.25">
      <c r="A1038" s="207"/>
      <c r="C1038" s="207"/>
      <c r="K1038" s="207"/>
      <c r="L1038" s="207"/>
      <c r="M1038" s="207"/>
      <c r="R1038" s="209"/>
      <c r="AB1038" s="210"/>
      <c r="AG1038" s="210"/>
      <c r="AJ1038" s="210"/>
    </row>
    <row r="1039" spans="1:36" s="208" customFormat="1" x14ac:dyDescent="0.25">
      <c r="A1039" s="207"/>
      <c r="C1039" s="207"/>
      <c r="K1039" s="207"/>
      <c r="L1039" s="207"/>
      <c r="M1039" s="207"/>
      <c r="R1039" s="209"/>
      <c r="AB1039" s="210"/>
      <c r="AG1039" s="210"/>
      <c r="AJ1039" s="210"/>
    </row>
    <row r="1040" spans="1:36" s="208" customFormat="1" x14ac:dyDescent="0.25">
      <c r="A1040" s="207"/>
      <c r="C1040" s="207"/>
      <c r="K1040" s="207"/>
      <c r="L1040" s="207"/>
      <c r="M1040" s="207"/>
      <c r="R1040" s="209"/>
      <c r="AB1040" s="210"/>
      <c r="AG1040" s="210"/>
      <c r="AJ1040" s="210"/>
    </row>
    <row r="1041" spans="1:36" s="208" customFormat="1" x14ac:dyDescent="0.25">
      <c r="A1041" s="207"/>
      <c r="C1041" s="207"/>
      <c r="K1041" s="207"/>
      <c r="L1041" s="207"/>
      <c r="M1041" s="207"/>
      <c r="R1041" s="209"/>
      <c r="AB1041" s="210"/>
      <c r="AG1041" s="210"/>
      <c r="AJ1041" s="210"/>
    </row>
    <row r="1042" spans="1:36" s="208" customFormat="1" x14ac:dyDescent="0.25">
      <c r="A1042" s="207"/>
      <c r="C1042" s="207"/>
      <c r="K1042" s="207"/>
      <c r="L1042" s="207"/>
      <c r="M1042" s="207"/>
      <c r="R1042" s="209"/>
      <c r="AB1042" s="210"/>
      <c r="AG1042" s="210"/>
      <c r="AJ1042" s="210"/>
    </row>
    <row r="1043" spans="1:36" s="208" customFormat="1" x14ac:dyDescent="0.25">
      <c r="A1043" s="207"/>
      <c r="C1043" s="207"/>
      <c r="K1043" s="207"/>
      <c r="L1043" s="207"/>
      <c r="M1043" s="207"/>
      <c r="R1043" s="209"/>
      <c r="AB1043" s="210"/>
      <c r="AG1043" s="210"/>
      <c r="AJ1043" s="210"/>
    </row>
    <row r="1044" spans="1:36" s="208" customFormat="1" x14ac:dyDescent="0.25">
      <c r="A1044" s="207"/>
      <c r="C1044" s="207"/>
      <c r="K1044" s="207"/>
      <c r="L1044" s="207"/>
      <c r="M1044" s="207"/>
      <c r="R1044" s="209"/>
      <c r="AB1044" s="210"/>
      <c r="AG1044" s="210"/>
      <c r="AJ1044" s="210"/>
    </row>
    <row r="1045" spans="1:36" s="208" customFormat="1" x14ac:dyDescent="0.25">
      <c r="A1045" s="207"/>
      <c r="C1045" s="207"/>
      <c r="K1045" s="207"/>
      <c r="L1045" s="207"/>
      <c r="M1045" s="207"/>
      <c r="R1045" s="209"/>
      <c r="AB1045" s="210"/>
      <c r="AG1045" s="210"/>
      <c r="AJ1045" s="210"/>
    </row>
    <row r="1046" spans="1:36" s="208" customFormat="1" x14ac:dyDescent="0.25">
      <c r="A1046" s="207"/>
      <c r="C1046" s="207"/>
      <c r="K1046" s="207"/>
      <c r="L1046" s="207"/>
      <c r="M1046" s="207"/>
      <c r="R1046" s="209"/>
      <c r="AB1046" s="210"/>
      <c r="AG1046" s="210"/>
      <c r="AJ1046" s="210"/>
    </row>
    <row r="1047" spans="1:36" s="208" customFormat="1" x14ac:dyDescent="0.25">
      <c r="A1047" s="207"/>
      <c r="C1047" s="207"/>
      <c r="K1047" s="207"/>
      <c r="L1047" s="207"/>
      <c r="M1047" s="207"/>
      <c r="R1047" s="209"/>
      <c r="AB1047" s="210"/>
      <c r="AG1047" s="210"/>
      <c r="AJ1047" s="210"/>
    </row>
    <row r="1048" spans="1:36" s="208" customFormat="1" x14ac:dyDescent="0.25">
      <c r="A1048" s="207"/>
      <c r="C1048" s="207"/>
      <c r="K1048" s="207"/>
      <c r="L1048" s="207"/>
      <c r="M1048" s="207"/>
      <c r="R1048" s="209"/>
      <c r="AB1048" s="210"/>
      <c r="AG1048" s="210"/>
      <c r="AJ1048" s="210"/>
    </row>
    <row r="1049" spans="1:36" s="208" customFormat="1" x14ac:dyDescent="0.25">
      <c r="A1049" s="207"/>
      <c r="C1049" s="207"/>
      <c r="K1049" s="207"/>
      <c r="L1049" s="207"/>
      <c r="M1049" s="207"/>
      <c r="R1049" s="209"/>
      <c r="AB1049" s="210"/>
      <c r="AG1049" s="210"/>
      <c r="AJ1049" s="210"/>
    </row>
    <row r="1050" spans="1:36" s="208" customFormat="1" x14ac:dyDescent="0.25">
      <c r="A1050" s="207"/>
      <c r="C1050" s="207"/>
      <c r="K1050" s="207"/>
      <c r="L1050" s="207"/>
      <c r="M1050" s="207"/>
      <c r="R1050" s="209"/>
      <c r="AB1050" s="210"/>
      <c r="AG1050" s="210"/>
      <c r="AJ1050" s="210"/>
    </row>
    <row r="1051" spans="1:36" s="208" customFormat="1" x14ac:dyDescent="0.25">
      <c r="A1051" s="207"/>
      <c r="C1051" s="207"/>
      <c r="K1051" s="207"/>
      <c r="L1051" s="207"/>
      <c r="M1051" s="207"/>
      <c r="R1051" s="209"/>
      <c r="AB1051" s="210"/>
      <c r="AG1051" s="210"/>
      <c r="AJ1051" s="210"/>
    </row>
    <row r="1052" spans="1:36" s="208" customFormat="1" x14ac:dyDescent="0.25">
      <c r="A1052" s="207"/>
      <c r="C1052" s="207"/>
      <c r="K1052" s="207"/>
      <c r="L1052" s="207"/>
      <c r="M1052" s="207"/>
      <c r="R1052" s="209"/>
      <c r="AB1052" s="210"/>
      <c r="AG1052" s="210"/>
      <c r="AJ1052" s="210"/>
    </row>
    <row r="1053" spans="1:36" s="208" customFormat="1" x14ac:dyDescent="0.25">
      <c r="A1053" s="207"/>
      <c r="C1053" s="207"/>
      <c r="K1053" s="207"/>
      <c r="L1053" s="207"/>
      <c r="M1053" s="207"/>
      <c r="R1053" s="209"/>
      <c r="AB1053" s="210"/>
      <c r="AG1053" s="210"/>
      <c r="AJ1053" s="210"/>
    </row>
    <row r="1054" spans="1:36" s="208" customFormat="1" x14ac:dyDescent="0.25">
      <c r="A1054" s="207"/>
      <c r="C1054" s="207"/>
      <c r="K1054" s="207"/>
      <c r="L1054" s="207"/>
      <c r="M1054" s="207"/>
      <c r="R1054" s="209"/>
      <c r="AB1054" s="210"/>
      <c r="AG1054" s="210"/>
      <c r="AJ1054" s="210"/>
    </row>
    <row r="1055" spans="1:36" s="208" customFormat="1" x14ac:dyDescent="0.25">
      <c r="A1055" s="207"/>
      <c r="C1055" s="207"/>
      <c r="K1055" s="207"/>
      <c r="L1055" s="207"/>
      <c r="M1055" s="207"/>
      <c r="R1055" s="209"/>
      <c r="AB1055" s="210"/>
      <c r="AG1055" s="210"/>
      <c r="AJ1055" s="210"/>
    </row>
    <row r="1056" spans="1:36" s="208" customFormat="1" x14ac:dyDescent="0.25">
      <c r="A1056" s="207"/>
      <c r="C1056" s="207"/>
      <c r="K1056" s="207"/>
      <c r="L1056" s="207"/>
      <c r="M1056" s="207"/>
      <c r="R1056" s="209"/>
      <c r="AB1056" s="210"/>
      <c r="AG1056" s="210"/>
      <c r="AJ1056" s="210"/>
    </row>
    <row r="1057" spans="1:36" s="208" customFormat="1" x14ac:dyDescent="0.25">
      <c r="A1057" s="207"/>
      <c r="C1057" s="207"/>
      <c r="K1057" s="207"/>
      <c r="L1057" s="207"/>
      <c r="M1057" s="207"/>
      <c r="R1057" s="209"/>
      <c r="AB1057" s="210"/>
      <c r="AG1057" s="210"/>
      <c r="AJ1057" s="210"/>
    </row>
    <row r="1058" spans="1:36" s="208" customFormat="1" x14ac:dyDescent="0.25">
      <c r="A1058" s="207"/>
      <c r="C1058" s="207"/>
      <c r="K1058" s="207"/>
      <c r="L1058" s="207"/>
      <c r="M1058" s="207"/>
      <c r="R1058" s="209"/>
      <c r="AB1058" s="210"/>
      <c r="AG1058" s="210"/>
      <c r="AJ1058" s="210"/>
    </row>
    <row r="1059" spans="1:36" s="208" customFormat="1" x14ac:dyDescent="0.25">
      <c r="A1059" s="207"/>
      <c r="C1059" s="207"/>
      <c r="K1059" s="207"/>
      <c r="L1059" s="207"/>
      <c r="M1059" s="207"/>
      <c r="R1059" s="209"/>
      <c r="AB1059" s="210"/>
      <c r="AG1059" s="210"/>
      <c r="AJ1059" s="210"/>
    </row>
    <row r="1060" spans="1:36" s="208" customFormat="1" x14ac:dyDescent="0.25">
      <c r="A1060" s="207"/>
      <c r="C1060" s="207"/>
      <c r="K1060" s="207"/>
      <c r="L1060" s="207"/>
      <c r="M1060" s="207"/>
      <c r="R1060" s="209"/>
      <c r="AB1060" s="210"/>
      <c r="AG1060" s="210"/>
      <c r="AJ1060" s="210"/>
    </row>
    <row r="1061" spans="1:36" s="208" customFormat="1" x14ac:dyDescent="0.25">
      <c r="A1061" s="207"/>
      <c r="C1061" s="207"/>
      <c r="K1061" s="207"/>
      <c r="L1061" s="207"/>
      <c r="M1061" s="207"/>
      <c r="R1061" s="209"/>
      <c r="AB1061" s="210"/>
      <c r="AG1061" s="210"/>
      <c r="AJ1061" s="210"/>
    </row>
    <row r="1062" spans="1:36" s="208" customFormat="1" x14ac:dyDescent="0.25">
      <c r="A1062" s="207"/>
      <c r="C1062" s="207"/>
      <c r="K1062" s="207"/>
      <c r="L1062" s="207"/>
      <c r="M1062" s="207"/>
      <c r="R1062" s="209"/>
      <c r="AB1062" s="210"/>
      <c r="AG1062" s="210"/>
      <c r="AJ1062" s="210"/>
    </row>
    <row r="1063" spans="1:36" s="208" customFormat="1" x14ac:dyDescent="0.25">
      <c r="A1063" s="207"/>
      <c r="C1063" s="207"/>
      <c r="K1063" s="207"/>
      <c r="L1063" s="207"/>
      <c r="M1063" s="207"/>
      <c r="R1063" s="209"/>
      <c r="AB1063" s="210"/>
      <c r="AG1063" s="210"/>
      <c r="AJ1063" s="210"/>
    </row>
    <row r="1064" spans="1:36" s="208" customFormat="1" x14ac:dyDescent="0.25">
      <c r="A1064" s="207"/>
      <c r="C1064" s="207"/>
      <c r="K1064" s="207"/>
      <c r="L1064" s="207"/>
      <c r="M1064" s="207"/>
      <c r="R1064" s="209"/>
      <c r="AB1064" s="210"/>
      <c r="AG1064" s="210"/>
      <c r="AJ1064" s="210"/>
    </row>
    <row r="1065" spans="1:36" s="208" customFormat="1" x14ac:dyDescent="0.25">
      <c r="A1065" s="207"/>
      <c r="C1065" s="207"/>
      <c r="K1065" s="207"/>
      <c r="L1065" s="207"/>
      <c r="M1065" s="207"/>
      <c r="R1065" s="209"/>
      <c r="AB1065" s="210"/>
      <c r="AG1065" s="210"/>
      <c r="AJ1065" s="210"/>
    </row>
    <row r="1066" spans="1:36" s="208" customFormat="1" x14ac:dyDescent="0.25">
      <c r="A1066" s="207"/>
      <c r="C1066" s="207"/>
      <c r="K1066" s="207"/>
      <c r="L1066" s="207"/>
      <c r="M1066" s="207"/>
      <c r="R1066" s="209"/>
      <c r="AB1066" s="210"/>
      <c r="AG1066" s="210"/>
      <c r="AJ1066" s="210"/>
    </row>
    <row r="1067" spans="1:36" s="208" customFormat="1" x14ac:dyDescent="0.25">
      <c r="A1067" s="207"/>
      <c r="C1067" s="207"/>
      <c r="K1067" s="207"/>
      <c r="L1067" s="207"/>
      <c r="M1067" s="207"/>
      <c r="R1067" s="209"/>
      <c r="AB1067" s="210"/>
      <c r="AG1067" s="210"/>
      <c r="AJ1067" s="210"/>
    </row>
    <row r="1068" spans="1:36" s="208" customFormat="1" x14ac:dyDescent="0.25">
      <c r="A1068" s="207"/>
      <c r="C1068" s="207"/>
      <c r="K1068" s="207"/>
      <c r="L1068" s="207"/>
      <c r="M1068" s="207"/>
      <c r="R1068" s="209"/>
      <c r="AB1068" s="210"/>
      <c r="AG1068" s="210"/>
      <c r="AJ1068" s="210"/>
    </row>
    <row r="1069" spans="1:36" s="208" customFormat="1" x14ac:dyDescent="0.25">
      <c r="A1069" s="207"/>
      <c r="C1069" s="207"/>
      <c r="K1069" s="207"/>
      <c r="L1069" s="207"/>
      <c r="M1069" s="207"/>
      <c r="R1069" s="209"/>
      <c r="AB1069" s="210"/>
      <c r="AG1069" s="210"/>
      <c r="AJ1069" s="210"/>
    </row>
    <row r="1070" spans="1:36" s="208" customFormat="1" x14ac:dyDescent="0.25">
      <c r="A1070" s="207"/>
      <c r="C1070" s="207"/>
      <c r="K1070" s="207"/>
      <c r="L1070" s="207"/>
      <c r="M1070" s="207"/>
      <c r="R1070" s="209"/>
      <c r="AB1070" s="210"/>
      <c r="AG1070" s="210"/>
      <c r="AJ1070" s="210"/>
    </row>
    <row r="1071" spans="1:36" s="208" customFormat="1" x14ac:dyDescent="0.25">
      <c r="A1071" s="207"/>
      <c r="C1071" s="207"/>
      <c r="K1071" s="207"/>
      <c r="L1071" s="207"/>
      <c r="M1071" s="207"/>
      <c r="R1071" s="209"/>
      <c r="AB1071" s="210"/>
      <c r="AG1071" s="210"/>
      <c r="AJ1071" s="210"/>
    </row>
    <row r="1072" spans="1:36" s="208" customFormat="1" x14ac:dyDescent="0.25">
      <c r="A1072" s="207"/>
      <c r="C1072" s="207"/>
      <c r="K1072" s="207"/>
      <c r="L1072" s="207"/>
      <c r="M1072" s="207"/>
      <c r="R1072" s="209"/>
      <c r="AB1072" s="210"/>
      <c r="AG1072" s="210"/>
      <c r="AJ1072" s="210"/>
    </row>
    <row r="1073" spans="1:36" s="208" customFormat="1" x14ac:dyDescent="0.25">
      <c r="A1073" s="207"/>
      <c r="C1073" s="207"/>
      <c r="K1073" s="207"/>
      <c r="L1073" s="207"/>
      <c r="M1073" s="207"/>
      <c r="R1073" s="209"/>
      <c r="AB1073" s="210"/>
      <c r="AG1073" s="210"/>
      <c r="AJ1073" s="210"/>
    </row>
    <row r="1074" spans="1:36" s="208" customFormat="1" x14ac:dyDescent="0.25">
      <c r="A1074" s="207"/>
      <c r="C1074" s="207"/>
      <c r="K1074" s="207"/>
      <c r="L1074" s="207"/>
      <c r="M1074" s="207"/>
      <c r="R1074" s="209"/>
      <c r="AB1074" s="210"/>
      <c r="AG1074" s="210"/>
      <c r="AJ1074" s="210"/>
    </row>
    <row r="1075" spans="1:36" s="208" customFormat="1" x14ac:dyDescent="0.25">
      <c r="A1075" s="207"/>
      <c r="C1075" s="207"/>
      <c r="K1075" s="207"/>
      <c r="L1075" s="207"/>
      <c r="M1075" s="207"/>
      <c r="R1075" s="209"/>
      <c r="AB1075" s="210"/>
      <c r="AG1075" s="210"/>
      <c r="AJ1075" s="210"/>
    </row>
    <row r="1076" spans="1:36" s="208" customFormat="1" x14ac:dyDescent="0.25">
      <c r="A1076" s="207"/>
      <c r="C1076" s="207"/>
      <c r="K1076" s="207"/>
      <c r="L1076" s="207"/>
      <c r="M1076" s="207"/>
      <c r="R1076" s="209"/>
      <c r="AB1076" s="210"/>
      <c r="AG1076" s="210"/>
      <c r="AJ1076" s="210"/>
    </row>
    <row r="1077" spans="1:36" s="208" customFormat="1" x14ac:dyDescent="0.25">
      <c r="A1077" s="207"/>
      <c r="C1077" s="207"/>
      <c r="K1077" s="207"/>
      <c r="L1077" s="207"/>
      <c r="M1077" s="207"/>
      <c r="R1077" s="209"/>
      <c r="AB1077" s="210"/>
      <c r="AG1077" s="210"/>
      <c r="AJ1077" s="210"/>
    </row>
    <row r="1078" spans="1:36" s="208" customFormat="1" x14ac:dyDescent="0.25">
      <c r="A1078" s="207"/>
      <c r="C1078" s="207"/>
      <c r="K1078" s="207"/>
      <c r="L1078" s="207"/>
      <c r="M1078" s="207"/>
      <c r="R1078" s="209"/>
      <c r="AB1078" s="210"/>
      <c r="AG1078" s="210"/>
      <c r="AJ1078" s="210"/>
    </row>
    <row r="1079" spans="1:36" s="208" customFormat="1" x14ac:dyDescent="0.25">
      <c r="A1079" s="207"/>
      <c r="C1079" s="207"/>
      <c r="K1079" s="207"/>
      <c r="L1079" s="207"/>
      <c r="M1079" s="207"/>
      <c r="R1079" s="209"/>
      <c r="AB1079" s="210"/>
      <c r="AG1079" s="210"/>
      <c r="AJ1079" s="210"/>
    </row>
    <row r="1080" spans="1:36" s="208" customFormat="1" x14ac:dyDescent="0.25">
      <c r="A1080" s="207"/>
      <c r="C1080" s="207"/>
      <c r="K1080" s="207"/>
      <c r="L1080" s="207"/>
      <c r="M1080" s="207"/>
      <c r="R1080" s="209"/>
      <c r="AB1080" s="210"/>
      <c r="AG1080" s="210"/>
      <c r="AJ1080" s="210"/>
    </row>
    <row r="1081" spans="1:36" s="208" customFormat="1" x14ac:dyDescent="0.25">
      <c r="A1081" s="207"/>
      <c r="C1081" s="207"/>
      <c r="K1081" s="207"/>
      <c r="L1081" s="207"/>
      <c r="M1081" s="207"/>
      <c r="R1081" s="209"/>
      <c r="AB1081" s="210"/>
      <c r="AG1081" s="210"/>
      <c r="AJ1081" s="210"/>
    </row>
    <row r="1082" spans="1:36" s="208" customFormat="1" x14ac:dyDescent="0.25">
      <c r="A1082" s="207"/>
      <c r="C1082" s="207"/>
      <c r="K1082" s="207"/>
      <c r="L1082" s="207"/>
      <c r="M1082" s="207"/>
      <c r="R1082" s="209"/>
      <c r="AB1082" s="210"/>
      <c r="AG1082" s="210"/>
      <c r="AJ1082" s="210"/>
    </row>
    <row r="1083" spans="1:36" s="208" customFormat="1" x14ac:dyDescent="0.25">
      <c r="A1083" s="207"/>
      <c r="C1083" s="207"/>
      <c r="K1083" s="207"/>
      <c r="L1083" s="207"/>
      <c r="M1083" s="207"/>
      <c r="R1083" s="209"/>
      <c r="AB1083" s="210"/>
      <c r="AG1083" s="210"/>
      <c r="AJ1083" s="210"/>
    </row>
    <row r="1084" spans="1:36" s="208" customFormat="1" x14ac:dyDescent="0.25">
      <c r="A1084" s="207"/>
      <c r="C1084" s="207"/>
      <c r="K1084" s="207"/>
      <c r="L1084" s="207"/>
      <c r="M1084" s="207"/>
      <c r="R1084" s="209"/>
      <c r="AB1084" s="210"/>
      <c r="AG1084" s="210"/>
      <c r="AJ1084" s="210"/>
    </row>
    <row r="1085" spans="1:36" s="208" customFormat="1" x14ac:dyDescent="0.25">
      <c r="A1085" s="207"/>
      <c r="C1085" s="207"/>
      <c r="K1085" s="207"/>
      <c r="L1085" s="207"/>
      <c r="M1085" s="207"/>
      <c r="R1085" s="209"/>
      <c r="AB1085" s="210"/>
      <c r="AG1085" s="210"/>
      <c r="AJ1085" s="210"/>
    </row>
    <row r="1086" spans="1:36" s="208" customFormat="1" x14ac:dyDescent="0.25">
      <c r="A1086" s="207"/>
      <c r="C1086" s="207"/>
      <c r="K1086" s="207"/>
      <c r="L1086" s="207"/>
      <c r="M1086" s="207"/>
      <c r="R1086" s="209"/>
      <c r="AB1086" s="210"/>
      <c r="AG1086" s="210"/>
      <c r="AJ1086" s="210"/>
    </row>
    <row r="1087" spans="1:36" s="208" customFormat="1" x14ac:dyDescent="0.25">
      <c r="A1087" s="207"/>
      <c r="C1087" s="207"/>
      <c r="K1087" s="207"/>
      <c r="L1087" s="207"/>
      <c r="M1087" s="207"/>
      <c r="R1087" s="209"/>
      <c r="AB1087" s="210"/>
      <c r="AG1087" s="210"/>
      <c r="AJ1087" s="210"/>
    </row>
    <row r="1088" spans="1:36" s="208" customFormat="1" x14ac:dyDescent="0.25">
      <c r="A1088" s="207"/>
      <c r="C1088" s="207"/>
      <c r="K1088" s="207"/>
      <c r="L1088" s="207"/>
      <c r="M1088" s="207"/>
      <c r="R1088" s="209"/>
      <c r="AB1088" s="210"/>
      <c r="AG1088" s="210"/>
      <c r="AJ1088" s="210"/>
    </row>
    <row r="1089" spans="1:36" s="208" customFormat="1" x14ac:dyDescent="0.25">
      <c r="A1089" s="207"/>
      <c r="C1089" s="207"/>
      <c r="K1089" s="207"/>
      <c r="L1089" s="207"/>
      <c r="M1089" s="207"/>
      <c r="R1089" s="209"/>
      <c r="AB1089" s="210"/>
      <c r="AG1089" s="210"/>
      <c r="AJ1089" s="210"/>
    </row>
    <row r="1090" spans="1:36" s="208" customFormat="1" x14ac:dyDescent="0.25">
      <c r="A1090" s="207"/>
      <c r="C1090" s="207"/>
      <c r="K1090" s="207"/>
      <c r="L1090" s="207"/>
      <c r="M1090" s="207"/>
      <c r="R1090" s="209"/>
      <c r="AB1090" s="210"/>
      <c r="AG1090" s="210"/>
      <c r="AJ1090" s="210"/>
    </row>
    <row r="1091" spans="1:36" s="208" customFormat="1" x14ac:dyDescent="0.25">
      <c r="A1091" s="207"/>
      <c r="C1091" s="207"/>
      <c r="K1091" s="207"/>
      <c r="L1091" s="207"/>
      <c r="M1091" s="207"/>
      <c r="R1091" s="209"/>
      <c r="AB1091" s="210"/>
      <c r="AG1091" s="210"/>
      <c r="AJ1091" s="210"/>
    </row>
    <row r="1092" spans="1:36" s="208" customFormat="1" x14ac:dyDescent="0.25">
      <c r="A1092" s="207"/>
      <c r="C1092" s="207"/>
      <c r="K1092" s="207"/>
      <c r="L1092" s="207"/>
      <c r="M1092" s="207"/>
      <c r="R1092" s="209"/>
      <c r="AB1092" s="210"/>
      <c r="AG1092" s="210"/>
      <c r="AJ1092" s="210"/>
    </row>
    <row r="1093" spans="1:36" s="208" customFormat="1" x14ac:dyDescent="0.25">
      <c r="A1093" s="207"/>
      <c r="C1093" s="207"/>
      <c r="K1093" s="207"/>
      <c r="L1093" s="207"/>
      <c r="M1093" s="207"/>
      <c r="R1093" s="209"/>
      <c r="AB1093" s="210"/>
      <c r="AG1093" s="210"/>
      <c r="AJ1093" s="210"/>
    </row>
    <row r="1094" spans="1:36" s="208" customFormat="1" x14ac:dyDescent="0.25">
      <c r="A1094" s="207"/>
      <c r="C1094" s="207"/>
      <c r="K1094" s="207"/>
      <c r="L1094" s="207"/>
      <c r="M1094" s="207"/>
      <c r="R1094" s="209"/>
      <c r="AB1094" s="210"/>
      <c r="AG1094" s="210"/>
      <c r="AJ1094" s="210"/>
    </row>
    <row r="1095" spans="1:36" s="208" customFormat="1" x14ac:dyDescent="0.25">
      <c r="A1095" s="207"/>
      <c r="C1095" s="207"/>
      <c r="K1095" s="207"/>
      <c r="L1095" s="207"/>
      <c r="M1095" s="207"/>
      <c r="R1095" s="209"/>
      <c r="AB1095" s="210"/>
      <c r="AG1095" s="210"/>
      <c r="AJ1095" s="210"/>
    </row>
    <row r="1096" spans="1:36" s="208" customFormat="1" x14ac:dyDescent="0.25">
      <c r="A1096" s="207"/>
      <c r="C1096" s="207"/>
      <c r="K1096" s="207"/>
      <c r="L1096" s="207"/>
      <c r="M1096" s="207"/>
      <c r="R1096" s="209"/>
      <c r="AB1096" s="210"/>
      <c r="AG1096" s="210"/>
      <c r="AJ1096" s="210"/>
    </row>
    <row r="1097" spans="1:36" s="208" customFormat="1" x14ac:dyDescent="0.25">
      <c r="A1097" s="207"/>
      <c r="C1097" s="207"/>
      <c r="K1097" s="207"/>
      <c r="L1097" s="207"/>
      <c r="M1097" s="207"/>
      <c r="R1097" s="209"/>
      <c r="AB1097" s="210"/>
      <c r="AG1097" s="210"/>
      <c r="AJ1097" s="210"/>
    </row>
    <row r="1098" spans="1:36" s="208" customFormat="1" x14ac:dyDescent="0.25">
      <c r="A1098" s="207"/>
      <c r="C1098" s="207"/>
      <c r="K1098" s="207"/>
      <c r="L1098" s="207"/>
      <c r="M1098" s="207"/>
      <c r="R1098" s="209"/>
      <c r="AB1098" s="210"/>
      <c r="AG1098" s="210"/>
      <c r="AJ1098" s="210"/>
    </row>
    <row r="1099" spans="1:36" s="208" customFormat="1" x14ac:dyDescent="0.25">
      <c r="A1099" s="207"/>
      <c r="C1099" s="207"/>
      <c r="K1099" s="207"/>
      <c r="L1099" s="207"/>
      <c r="M1099" s="207"/>
      <c r="R1099" s="209"/>
      <c r="AB1099" s="210"/>
      <c r="AG1099" s="210"/>
      <c r="AJ1099" s="210"/>
    </row>
    <row r="1100" spans="1:36" s="208" customFormat="1" x14ac:dyDescent="0.25">
      <c r="A1100" s="207"/>
      <c r="C1100" s="207"/>
      <c r="K1100" s="207"/>
      <c r="L1100" s="207"/>
      <c r="M1100" s="207"/>
      <c r="R1100" s="209"/>
      <c r="AB1100" s="210"/>
      <c r="AG1100" s="210"/>
      <c r="AJ1100" s="210"/>
    </row>
    <row r="1101" spans="1:36" s="208" customFormat="1" x14ac:dyDescent="0.25">
      <c r="A1101" s="207"/>
      <c r="C1101" s="207"/>
      <c r="K1101" s="207"/>
      <c r="L1101" s="207"/>
      <c r="M1101" s="207"/>
      <c r="R1101" s="209"/>
      <c r="AB1101" s="210"/>
      <c r="AG1101" s="210"/>
      <c r="AJ1101" s="210"/>
    </row>
    <row r="1102" spans="1:36" s="208" customFormat="1" x14ac:dyDescent="0.25">
      <c r="A1102" s="207"/>
      <c r="C1102" s="207"/>
      <c r="K1102" s="207"/>
      <c r="L1102" s="207"/>
      <c r="M1102" s="207"/>
      <c r="R1102" s="209"/>
      <c r="AB1102" s="210"/>
      <c r="AG1102" s="210"/>
      <c r="AJ1102" s="210"/>
    </row>
    <row r="1103" spans="1:36" s="208" customFormat="1" x14ac:dyDescent="0.25">
      <c r="A1103" s="207"/>
      <c r="C1103" s="207"/>
      <c r="K1103" s="207"/>
      <c r="L1103" s="207"/>
      <c r="M1103" s="207"/>
      <c r="R1103" s="209"/>
      <c r="AB1103" s="210"/>
      <c r="AG1103" s="210"/>
      <c r="AJ1103" s="210"/>
    </row>
    <row r="1104" spans="1:36" s="208" customFormat="1" x14ac:dyDescent="0.25">
      <c r="A1104" s="207"/>
      <c r="C1104" s="207"/>
      <c r="K1104" s="207"/>
      <c r="L1104" s="207"/>
      <c r="M1104" s="207"/>
      <c r="R1104" s="209"/>
      <c r="AB1104" s="210"/>
      <c r="AG1104" s="210"/>
      <c r="AJ1104" s="210"/>
    </row>
    <row r="1105" spans="1:36" s="208" customFormat="1" x14ac:dyDescent="0.25">
      <c r="A1105" s="207"/>
      <c r="C1105" s="207"/>
      <c r="K1105" s="207"/>
      <c r="L1105" s="207"/>
      <c r="M1105" s="207"/>
      <c r="R1105" s="209"/>
      <c r="AB1105" s="210"/>
      <c r="AG1105" s="210"/>
      <c r="AJ1105" s="210"/>
    </row>
    <row r="1106" spans="1:36" s="208" customFormat="1" x14ac:dyDescent="0.25">
      <c r="A1106" s="207"/>
      <c r="C1106" s="207"/>
      <c r="K1106" s="207"/>
      <c r="L1106" s="207"/>
      <c r="M1106" s="207"/>
      <c r="R1106" s="209"/>
      <c r="AB1106" s="210"/>
      <c r="AG1106" s="210"/>
      <c r="AJ1106" s="210"/>
    </row>
    <row r="1107" spans="1:36" s="208" customFormat="1" x14ac:dyDescent="0.25">
      <c r="A1107" s="207"/>
      <c r="C1107" s="207"/>
      <c r="K1107" s="207"/>
      <c r="L1107" s="207"/>
      <c r="M1107" s="207"/>
      <c r="R1107" s="209"/>
      <c r="AB1107" s="210"/>
      <c r="AG1107" s="210"/>
      <c r="AJ1107" s="210"/>
    </row>
    <row r="1108" spans="1:36" s="208" customFormat="1" x14ac:dyDescent="0.25">
      <c r="A1108" s="207"/>
      <c r="C1108" s="207"/>
      <c r="K1108" s="207"/>
      <c r="L1108" s="207"/>
      <c r="M1108" s="207"/>
      <c r="R1108" s="209"/>
      <c r="AB1108" s="210"/>
      <c r="AG1108" s="210"/>
      <c r="AJ1108" s="210"/>
    </row>
    <row r="1109" spans="1:36" s="208" customFormat="1" x14ac:dyDescent="0.25">
      <c r="A1109" s="207"/>
      <c r="C1109" s="207"/>
      <c r="K1109" s="207"/>
      <c r="L1109" s="207"/>
      <c r="M1109" s="207"/>
      <c r="R1109" s="209"/>
      <c r="AB1109" s="210"/>
      <c r="AG1109" s="210"/>
      <c r="AJ1109" s="210"/>
    </row>
    <row r="1110" spans="1:36" s="208" customFormat="1" x14ac:dyDescent="0.25">
      <c r="A1110" s="207"/>
      <c r="C1110" s="207"/>
      <c r="K1110" s="207"/>
      <c r="L1110" s="207"/>
      <c r="M1110" s="207"/>
      <c r="R1110" s="209"/>
      <c r="AB1110" s="210"/>
      <c r="AG1110" s="210"/>
      <c r="AJ1110" s="210"/>
    </row>
    <row r="1111" spans="1:36" s="208" customFormat="1" x14ac:dyDescent="0.25">
      <c r="A1111" s="207"/>
      <c r="C1111" s="207"/>
      <c r="K1111" s="207"/>
      <c r="L1111" s="207"/>
      <c r="M1111" s="207"/>
      <c r="R1111" s="209"/>
      <c r="AB1111" s="210"/>
      <c r="AG1111" s="210"/>
      <c r="AJ1111" s="210"/>
    </row>
    <row r="1112" spans="1:36" s="208" customFormat="1" x14ac:dyDescent="0.25">
      <c r="A1112" s="207"/>
      <c r="C1112" s="207"/>
      <c r="K1112" s="207"/>
      <c r="L1112" s="207"/>
      <c r="M1112" s="207"/>
      <c r="R1112" s="209"/>
      <c r="AB1112" s="210"/>
      <c r="AG1112" s="210"/>
      <c r="AJ1112" s="210"/>
    </row>
    <row r="1113" spans="1:36" s="208" customFormat="1" x14ac:dyDescent="0.25">
      <c r="A1113" s="207"/>
      <c r="C1113" s="207"/>
      <c r="K1113" s="207"/>
      <c r="L1113" s="207"/>
      <c r="M1113" s="207"/>
      <c r="R1113" s="209"/>
      <c r="AB1113" s="210"/>
      <c r="AG1113" s="210"/>
      <c r="AJ1113" s="210"/>
    </row>
    <row r="1114" spans="1:36" s="208" customFormat="1" x14ac:dyDescent="0.25">
      <c r="A1114" s="207"/>
      <c r="C1114" s="207"/>
      <c r="K1114" s="207"/>
      <c r="L1114" s="207"/>
      <c r="M1114" s="207"/>
      <c r="R1114" s="209"/>
      <c r="AB1114" s="210"/>
      <c r="AG1114" s="210"/>
      <c r="AJ1114" s="210"/>
    </row>
    <row r="1115" spans="1:36" s="208" customFormat="1" x14ac:dyDescent="0.25">
      <c r="A1115" s="207"/>
      <c r="C1115" s="207"/>
      <c r="K1115" s="207"/>
      <c r="L1115" s="207"/>
      <c r="M1115" s="207"/>
      <c r="R1115" s="209"/>
      <c r="AB1115" s="210"/>
      <c r="AG1115" s="210"/>
      <c r="AJ1115" s="210"/>
    </row>
    <row r="1116" spans="1:36" s="208" customFormat="1" x14ac:dyDescent="0.25">
      <c r="A1116" s="207"/>
      <c r="C1116" s="207"/>
      <c r="K1116" s="207"/>
      <c r="L1116" s="207"/>
      <c r="M1116" s="207"/>
      <c r="R1116" s="209"/>
      <c r="AB1116" s="210"/>
      <c r="AG1116" s="210"/>
      <c r="AJ1116" s="210"/>
    </row>
    <row r="1117" spans="1:36" s="208" customFormat="1" x14ac:dyDescent="0.25">
      <c r="A1117" s="207"/>
      <c r="C1117" s="207"/>
      <c r="K1117" s="207"/>
      <c r="L1117" s="207"/>
      <c r="M1117" s="207"/>
      <c r="R1117" s="209"/>
      <c r="AB1117" s="210"/>
      <c r="AG1117" s="210"/>
      <c r="AJ1117" s="210"/>
    </row>
    <row r="1118" spans="1:36" s="208" customFormat="1" x14ac:dyDescent="0.25">
      <c r="A1118" s="207"/>
      <c r="C1118" s="207"/>
      <c r="K1118" s="207"/>
      <c r="L1118" s="207"/>
      <c r="M1118" s="207"/>
      <c r="R1118" s="209"/>
      <c r="AB1118" s="210"/>
      <c r="AG1118" s="210"/>
      <c r="AJ1118" s="210"/>
    </row>
    <row r="1119" spans="1:36" s="208" customFormat="1" x14ac:dyDescent="0.25">
      <c r="A1119" s="207"/>
      <c r="C1119" s="207"/>
      <c r="K1119" s="207"/>
      <c r="L1119" s="207"/>
      <c r="M1119" s="207"/>
      <c r="R1119" s="209"/>
      <c r="AB1119" s="210"/>
      <c r="AG1119" s="210"/>
      <c r="AJ1119" s="210"/>
    </row>
    <row r="1120" spans="1:36" s="208" customFormat="1" x14ac:dyDescent="0.25">
      <c r="A1120" s="207"/>
      <c r="C1120" s="207"/>
      <c r="K1120" s="207"/>
      <c r="L1120" s="207"/>
      <c r="M1120" s="207"/>
      <c r="R1120" s="209"/>
      <c r="AB1120" s="210"/>
      <c r="AG1120" s="210"/>
      <c r="AJ1120" s="210"/>
    </row>
    <row r="1121" spans="1:36" s="208" customFormat="1" x14ac:dyDescent="0.25">
      <c r="A1121" s="207"/>
      <c r="C1121" s="207"/>
      <c r="K1121" s="207"/>
      <c r="L1121" s="207"/>
      <c r="M1121" s="207"/>
      <c r="R1121" s="209"/>
      <c r="AB1121" s="210"/>
      <c r="AG1121" s="210"/>
      <c r="AJ1121" s="210"/>
    </row>
    <row r="1122" spans="1:36" s="208" customFormat="1" x14ac:dyDescent="0.25">
      <c r="A1122" s="207"/>
      <c r="C1122" s="207"/>
      <c r="K1122" s="207"/>
      <c r="L1122" s="207"/>
      <c r="M1122" s="207"/>
      <c r="R1122" s="209"/>
      <c r="AB1122" s="210"/>
      <c r="AG1122" s="210"/>
      <c r="AJ1122" s="210"/>
    </row>
    <row r="1123" spans="1:36" s="208" customFormat="1" x14ac:dyDescent="0.25">
      <c r="A1123" s="207"/>
      <c r="C1123" s="207"/>
      <c r="K1123" s="207"/>
      <c r="L1123" s="207"/>
      <c r="M1123" s="207"/>
      <c r="R1123" s="209"/>
      <c r="AB1123" s="210"/>
      <c r="AG1123" s="210"/>
      <c r="AJ1123" s="210"/>
    </row>
    <row r="1124" spans="1:36" s="208" customFormat="1" x14ac:dyDescent="0.25">
      <c r="A1124" s="207"/>
      <c r="C1124" s="207"/>
      <c r="K1124" s="207"/>
      <c r="L1124" s="207"/>
      <c r="M1124" s="207"/>
      <c r="R1124" s="209"/>
      <c r="AB1124" s="210"/>
      <c r="AG1124" s="210"/>
      <c r="AJ1124" s="210"/>
    </row>
    <row r="1125" spans="1:36" s="208" customFormat="1" x14ac:dyDescent="0.25">
      <c r="A1125" s="207"/>
      <c r="C1125" s="207"/>
      <c r="K1125" s="207"/>
      <c r="L1125" s="207"/>
      <c r="M1125" s="207"/>
      <c r="R1125" s="209"/>
      <c r="AB1125" s="210"/>
      <c r="AG1125" s="210"/>
      <c r="AJ1125" s="210"/>
    </row>
    <row r="1126" spans="1:36" s="208" customFormat="1" x14ac:dyDescent="0.25">
      <c r="A1126" s="207"/>
      <c r="C1126" s="207"/>
      <c r="K1126" s="207"/>
      <c r="L1126" s="207"/>
      <c r="M1126" s="207"/>
      <c r="R1126" s="209"/>
      <c r="AB1126" s="210"/>
      <c r="AG1126" s="210"/>
      <c r="AJ1126" s="210"/>
    </row>
    <row r="1127" spans="1:36" s="208" customFormat="1" x14ac:dyDescent="0.25">
      <c r="A1127" s="207"/>
      <c r="C1127" s="207"/>
      <c r="K1127" s="207"/>
      <c r="L1127" s="207"/>
      <c r="M1127" s="207"/>
      <c r="R1127" s="209"/>
      <c r="AB1127" s="210"/>
      <c r="AG1127" s="210"/>
      <c r="AJ1127" s="210"/>
    </row>
    <row r="1128" spans="1:36" s="208" customFormat="1" x14ac:dyDescent="0.25">
      <c r="A1128" s="207"/>
      <c r="C1128" s="207"/>
      <c r="K1128" s="207"/>
      <c r="L1128" s="207"/>
      <c r="M1128" s="207"/>
      <c r="R1128" s="209"/>
      <c r="AB1128" s="210"/>
      <c r="AG1128" s="210"/>
      <c r="AJ1128" s="210"/>
    </row>
    <row r="1129" spans="1:36" s="208" customFormat="1" x14ac:dyDescent="0.25">
      <c r="A1129" s="207"/>
      <c r="C1129" s="207"/>
      <c r="K1129" s="207"/>
      <c r="L1129" s="207"/>
      <c r="M1129" s="207"/>
      <c r="R1129" s="209"/>
      <c r="AB1129" s="210"/>
      <c r="AG1129" s="210"/>
      <c r="AJ1129" s="210"/>
    </row>
    <row r="1130" spans="1:36" s="208" customFormat="1" x14ac:dyDescent="0.25">
      <c r="A1130" s="207"/>
      <c r="C1130" s="207"/>
      <c r="K1130" s="207"/>
      <c r="L1130" s="207"/>
      <c r="M1130" s="207"/>
      <c r="R1130" s="209"/>
      <c r="AB1130" s="210"/>
      <c r="AG1130" s="210"/>
      <c r="AJ1130" s="210"/>
    </row>
    <row r="1131" spans="1:36" s="208" customFormat="1" x14ac:dyDescent="0.25">
      <c r="A1131" s="207"/>
      <c r="C1131" s="207"/>
      <c r="K1131" s="207"/>
      <c r="L1131" s="207"/>
      <c r="M1131" s="207"/>
      <c r="R1131" s="209"/>
      <c r="AB1131" s="210"/>
      <c r="AG1131" s="210"/>
      <c r="AJ1131" s="210"/>
    </row>
    <row r="1132" spans="1:36" s="208" customFormat="1" x14ac:dyDescent="0.25">
      <c r="A1132" s="207"/>
      <c r="C1132" s="207"/>
      <c r="K1132" s="207"/>
      <c r="L1132" s="207"/>
      <c r="M1132" s="207"/>
      <c r="R1132" s="209"/>
      <c r="AB1132" s="210"/>
      <c r="AG1132" s="210"/>
      <c r="AJ1132" s="210"/>
    </row>
    <row r="1133" spans="1:36" s="208" customFormat="1" x14ac:dyDescent="0.25">
      <c r="A1133" s="207"/>
      <c r="C1133" s="207"/>
      <c r="K1133" s="207"/>
      <c r="L1133" s="207"/>
      <c r="M1133" s="207"/>
      <c r="R1133" s="209"/>
      <c r="AB1133" s="210"/>
      <c r="AG1133" s="210"/>
      <c r="AJ1133" s="210"/>
    </row>
    <row r="1134" spans="1:36" s="208" customFormat="1" x14ac:dyDescent="0.25">
      <c r="A1134" s="207"/>
      <c r="C1134" s="207"/>
      <c r="K1134" s="207"/>
      <c r="L1134" s="207"/>
      <c r="M1134" s="207"/>
      <c r="R1134" s="209"/>
      <c r="AB1134" s="210"/>
      <c r="AG1134" s="210"/>
      <c r="AJ1134" s="210"/>
    </row>
    <row r="1135" spans="1:36" s="208" customFormat="1" x14ac:dyDescent="0.25">
      <c r="A1135" s="207"/>
      <c r="C1135" s="207"/>
      <c r="K1135" s="207"/>
      <c r="L1135" s="207"/>
      <c r="M1135" s="207"/>
      <c r="R1135" s="209"/>
      <c r="AB1135" s="210"/>
      <c r="AG1135" s="210"/>
      <c r="AJ1135" s="210"/>
    </row>
    <row r="1136" spans="1:36" s="208" customFormat="1" x14ac:dyDescent="0.25">
      <c r="A1136" s="207"/>
      <c r="C1136" s="207"/>
      <c r="K1136" s="207"/>
      <c r="L1136" s="207"/>
      <c r="M1136" s="207"/>
      <c r="R1136" s="209"/>
      <c r="AB1136" s="210"/>
      <c r="AG1136" s="210"/>
      <c r="AJ1136" s="210"/>
    </row>
    <row r="1137" spans="1:36" s="208" customFormat="1" x14ac:dyDescent="0.25">
      <c r="A1137" s="207"/>
      <c r="C1137" s="207"/>
      <c r="K1137" s="207"/>
      <c r="L1137" s="207"/>
      <c r="M1137" s="207"/>
      <c r="R1137" s="209"/>
      <c r="AB1137" s="210"/>
      <c r="AG1137" s="210"/>
      <c r="AJ1137" s="210"/>
    </row>
    <row r="1138" spans="1:36" s="208" customFormat="1" x14ac:dyDescent="0.25">
      <c r="A1138" s="207"/>
      <c r="C1138" s="207"/>
      <c r="K1138" s="207"/>
      <c r="L1138" s="207"/>
      <c r="M1138" s="207"/>
      <c r="R1138" s="209"/>
      <c r="AB1138" s="210"/>
      <c r="AG1138" s="210"/>
      <c r="AJ1138" s="210"/>
    </row>
    <row r="1139" spans="1:36" s="208" customFormat="1" x14ac:dyDescent="0.25">
      <c r="A1139" s="207"/>
      <c r="C1139" s="207"/>
      <c r="K1139" s="207"/>
      <c r="L1139" s="207"/>
      <c r="M1139" s="207"/>
      <c r="R1139" s="209"/>
      <c r="AB1139" s="210"/>
      <c r="AG1139" s="210"/>
      <c r="AJ1139" s="210"/>
    </row>
    <row r="1140" spans="1:36" s="208" customFormat="1" x14ac:dyDescent="0.25">
      <c r="A1140" s="207"/>
      <c r="C1140" s="207"/>
      <c r="K1140" s="207"/>
      <c r="L1140" s="207"/>
      <c r="M1140" s="207"/>
      <c r="R1140" s="209"/>
      <c r="AB1140" s="210"/>
      <c r="AG1140" s="210"/>
      <c r="AJ1140" s="210"/>
    </row>
    <row r="1141" spans="1:36" s="208" customFormat="1" x14ac:dyDescent="0.25">
      <c r="A1141" s="207"/>
      <c r="C1141" s="207"/>
      <c r="K1141" s="207"/>
      <c r="L1141" s="207"/>
      <c r="M1141" s="207"/>
      <c r="R1141" s="209"/>
      <c r="AB1141" s="210"/>
      <c r="AG1141" s="210"/>
      <c r="AJ1141" s="210"/>
    </row>
    <row r="1142" spans="1:36" s="208" customFormat="1" x14ac:dyDescent="0.25">
      <c r="A1142" s="207"/>
      <c r="C1142" s="207"/>
      <c r="K1142" s="207"/>
      <c r="L1142" s="207"/>
      <c r="M1142" s="207"/>
      <c r="R1142" s="209"/>
      <c r="AB1142" s="210"/>
      <c r="AG1142" s="210"/>
      <c r="AJ1142" s="210"/>
    </row>
    <row r="1143" spans="1:36" s="208" customFormat="1" x14ac:dyDescent="0.25">
      <c r="A1143" s="207"/>
      <c r="C1143" s="207"/>
      <c r="K1143" s="207"/>
      <c r="L1143" s="207"/>
      <c r="M1143" s="207"/>
      <c r="R1143" s="209"/>
      <c r="AB1143" s="210"/>
      <c r="AG1143" s="210"/>
      <c r="AJ1143" s="210"/>
    </row>
    <row r="1144" spans="1:36" s="208" customFormat="1" x14ac:dyDescent="0.25">
      <c r="A1144" s="207"/>
      <c r="C1144" s="207"/>
      <c r="K1144" s="207"/>
      <c r="L1144" s="207"/>
      <c r="M1144" s="207"/>
      <c r="R1144" s="209"/>
      <c r="AB1144" s="210"/>
      <c r="AG1144" s="210"/>
      <c r="AJ1144" s="210"/>
    </row>
    <row r="1145" spans="1:36" s="208" customFormat="1" x14ac:dyDescent="0.25">
      <c r="A1145" s="207"/>
      <c r="C1145" s="207"/>
      <c r="K1145" s="207"/>
      <c r="L1145" s="207"/>
      <c r="M1145" s="207"/>
      <c r="R1145" s="209"/>
      <c r="AB1145" s="210"/>
      <c r="AG1145" s="210"/>
      <c r="AJ1145" s="210"/>
    </row>
    <row r="1146" spans="1:36" s="208" customFormat="1" x14ac:dyDescent="0.25">
      <c r="A1146" s="207"/>
      <c r="C1146" s="207"/>
      <c r="K1146" s="207"/>
      <c r="L1146" s="207"/>
      <c r="M1146" s="207"/>
      <c r="R1146" s="209"/>
      <c r="AB1146" s="210"/>
      <c r="AG1146" s="210"/>
      <c r="AJ1146" s="210"/>
    </row>
    <row r="1147" spans="1:36" s="208" customFormat="1" x14ac:dyDescent="0.25">
      <c r="A1147" s="207"/>
      <c r="C1147" s="207"/>
      <c r="K1147" s="207"/>
      <c r="L1147" s="207"/>
      <c r="M1147" s="207"/>
      <c r="R1147" s="209"/>
      <c r="AB1147" s="210"/>
      <c r="AG1147" s="210"/>
      <c r="AJ1147" s="210"/>
    </row>
    <row r="1148" spans="1:36" s="208" customFormat="1" x14ac:dyDescent="0.25">
      <c r="A1148" s="207"/>
      <c r="C1148" s="207"/>
      <c r="K1148" s="207"/>
      <c r="L1148" s="207"/>
      <c r="M1148" s="207"/>
      <c r="R1148" s="209"/>
      <c r="AB1148" s="210"/>
      <c r="AG1148" s="210"/>
      <c r="AJ1148" s="210"/>
    </row>
    <row r="1149" spans="1:36" s="208" customFormat="1" x14ac:dyDescent="0.25">
      <c r="A1149" s="207"/>
      <c r="C1149" s="207"/>
      <c r="K1149" s="207"/>
      <c r="L1149" s="207"/>
      <c r="M1149" s="207"/>
      <c r="R1149" s="209"/>
      <c r="AB1149" s="210"/>
      <c r="AG1149" s="210"/>
      <c r="AJ1149" s="210"/>
    </row>
    <row r="1150" spans="1:36" s="208" customFormat="1" x14ac:dyDescent="0.25">
      <c r="A1150" s="207"/>
      <c r="C1150" s="207"/>
      <c r="K1150" s="207"/>
      <c r="L1150" s="207"/>
      <c r="M1150" s="207"/>
      <c r="R1150" s="209"/>
      <c r="AB1150" s="210"/>
      <c r="AG1150" s="210"/>
      <c r="AJ1150" s="210"/>
    </row>
    <row r="1151" spans="1:36" s="208" customFormat="1" x14ac:dyDescent="0.25">
      <c r="A1151" s="207"/>
      <c r="C1151" s="207"/>
      <c r="K1151" s="207"/>
      <c r="L1151" s="207"/>
      <c r="M1151" s="207"/>
      <c r="R1151" s="209"/>
      <c r="AB1151" s="210"/>
      <c r="AG1151" s="210"/>
      <c r="AJ1151" s="210"/>
    </row>
    <row r="1152" spans="1:36" s="208" customFormat="1" x14ac:dyDescent="0.25">
      <c r="A1152" s="207"/>
      <c r="C1152" s="207"/>
      <c r="K1152" s="207"/>
      <c r="L1152" s="207"/>
      <c r="M1152" s="207"/>
      <c r="R1152" s="209"/>
      <c r="AB1152" s="210"/>
      <c r="AG1152" s="210"/>
      <c r="AJ1152" s="210"/>
    </row>
    <row r="1153" spans="1:36" s="208" customFormat="1" x14ac:dyDescent="0.25">
      <c r="A1153" s="207"/>
      <c r="C1153" s="207"/>
      <c r="K1153" s="207"/>
      <c r="L1153" s="207"/>
      <c r="M1153" s="207"/>
      <c r="R1153" s="209"/>
      <c r="AB1153" s="210"/>
      <c r="AG1153" s="210"/>
      <c r="AJ1153" s="210"/>
    </row>
    <row r="1154" spans="1:36" s="208" customFormat="1" x14ac:dyDescent="0.25">
      <c r="A1154" s="207"/>
      <c r="C1154" s="207"/>
      <c r="K1154" s="207"/>
      <c r="L1154" s="207"/>
      <c r="M1154" s="207"/>
      <c r="R1154" s="209"/>
      <c r="AB1154" s="210"/>
      <c r="AG1154" s="210"/>
      <c r="AJ1154" s="210"/>
    </row>
    <row r="1155" spans="1:36" s="208" customFormat="1" x14ac:dyDescent="0.25">
      <c r="A1155" s="207"/>
      <c r="C1155" s="207"/>
      <c r="K1155" s="207"/>
      <c r="L1155" s="207"/>
      <c r="M1155" s="207"/>
      <c r="R1155" s="209"/>
      <c r="AB1155" s="210"/>
      <c r="AG1155" s="210"/>
      <c r="AJ1155" s="210"/>
    </row>
    <row r="1156" spans="1:36" s="208" customFormat="1" x14ac:dyDescent="0.25">
      <c r="A1156" s="207"/>
      <c r="C1156" s="207"/>
      <c r="K1156" s="207"/>
      <c r="L1156" s="207"/>
      <c r="M1156" s="207"/>
      <c r="R1156" s="209"/>
      <c r="AB1156" s="210"/>
      <c r="AG1156" s="210"/>
      <c r="AJ1156" s="210"/>
    </row>
    <row r="1157" spans="1:36" s="208" customFormat="1" x14ac:dyDescent="0.25">
      <c r="A1157" s="207"/>
      <c r="C1157" s="207"/>
      <c r="K1157" s="207"/>
      <c r="L1157" s="207"/>
      <c r="M1157" s="207"/>
      <c r="R1157" s="209"/>
      <c r="AB1157" s="210"/>
      <c r="AG1157" s="210"/>
      <c r="AJ1157" s="210"/>
    </row>
    <row r="1158" spans="1:36" s="208" customFormat="1" x14ac:dyDescent="0.25">
      <c r="A1158" s="207"/>
      <c r="C1158" s="207"/>
      <c r="K1158" s="207"/>
      <c r="L1158" s="207"/>
      <c r="M1158" s="207"/>
      <c r="R1158" s="209"/>
      <c r="AB1158" s="210"/>
      <c r="AG1158" s="210"/>
      <c r="AJ1158" s="210"/>
    </row>
    <row r="1159" spans="1:36" s="208" customFormat="1" x14ac:dyDescent="0.25">
      <c r="A1159" s="207"/>
      <c r="C1159" s="207"/>
      <c r="K1159" s="207"/>
      <c r="L1159" s="207"/>
      <c r="M1159" s="207"/>
      <c r="R1159" s="209"/>
      <c r="AB1159" s="210"/>
      <c r="AG1159" s="210"/>
      <c r="AJ1159" s="210"/>
    </row>
    <row r="1160" spans="1:36" s="208" customFormat="1" x14ac:dyDescent="0.25">
      <c r="A1160" s="207"/>
      <c r="C1160" s="207"/>
      <c r="K1160" s="207"/>
      <c r="L1160" s="207"/>
      <c r="M1160" s="207"/>
      <c r="R1160" s="209"/>
      <c r="AB1160" s="210"/>
      <c r="AG1160" s="210"/>
      <c r="AJ1160" s="210"/>
    </row>
    <row r="1161" spans="1:36" s="208" customFormat="1" x14ac:dyDescent="0.25">
      <c r="A1161" s="207"/>
      <c r="C1161" s="207"/>
      <c r="K1161" s="207"/>
      <c r="L1161" s="207"/>
      <c r="M1161" s="207"/>
      <c r="R1161" s="209"/>
      <c r="AB1161" s="210"/>
      <c r="AG1161" s="210"/>
      <c r="AJ1161" s="210"/>
    </row>
    <row r="1162" spans="1:36" s="208" customFormat="1" x14ac:dyDescent="0.25">
      <c r="A1162" s="207"/>
      <c r="C1162" s="207"/>
      <c r="K1162" s="207"/>
      <c r="L1162" s="207"/>
      <c r="M1162" s="207"/>
      <c r="R1162" s="209"/>
      <c r="AB1162" s="210"/>
      <c r="AG1162" s="210"/>
      <c r="AJ1162" s="210"/>
    </row>
    <row r="1163" spans="1:36" s="208" customFormat="1" x14ac:dyDescent="0.25">
      <c r="A1163" s="207"/>
      <c r="C1163" s="207"/>
      <c r="K1163" s="207"/>
      <c r="L1163" s="207"/>
      <c r="M1163" s="207"/>
      <c r="R1163" s="209"/>
      <c r="AB1163" s="210"/>
      <c r="AG1163" s="210"/>
      <c r="AJ1163" s="210"/>
    </row>
    <row r="1164" spans="1:36" s="208" customFormat="1" x14ac:dyDescent="0.25">
      <c r="A1164" s="207"/>
      <c r="C1164" s="207"/>
      <c r="K1164" s="207"/>
      <c r="L1164" s="207"/>
      <c r="M1164" s="207"/>
      <c r="R1164" s="209"/>
      <c r="AB1164" s="210"/>
      <c r="AG1164" s="210"/>
      <c r="AJ1164" s="210"/>
    </row>
    <row r="1165" spans="1:36" s="208" customFormat="1" x14ac:dyDescent="0.25">
      <c r="A1165" s="207"/>
      <c r="C1165" s="207"/>
      <c r="K1165" s="207"/>
      <c r="L1165" s="207"/>
      <c r="M1165" s="207"/>
      <c r="R1165" s="209"/>
      <c r="AB1165" s="210"/>
      <c r="AG1165" s="210"/>
      <c r="AJ1165" s="210"/>
    </row>
    <row r="1166" spans="1:36" s="208" customFormat="1" x14ac:dyDescent="0.25">
      <c r="A1166" s="207"/>
      <c r="C1166" s="207"/>
      <c r="K1166" s="207"/>
      <c r="L1166" s="207"/>
      <c r="M1166" s="207"/>
      <c r="R1166" s="209"/>
      <c r="AB1166" s="210"/>
      <c r="AG1166" s="210"/>
      <c r="AJ1166" s="210"/>
    </row>
    <row r="1167" spans="1:36" s="208" customFormat="1" x14ac:dyDescent="0.25">
      <c r="A1167" s="207"/>
      <c r="C1167" s="207"/>
      <c r="K1167" s="207"/>
      <c r="L1167" s="207"/>
      <c r="M1167" s="207"/>
      <c r="R1167" s="209"/>
      <c r="AB1167" s="210"/>
      <c r="AG1167" s="210"/>
      <c r="AJ1167" s="210"/>
    </row>
    <row r="1168" spans="1:36" s="208" customFormat="1" x14ac:dyDescent="0.25">
      <c r="A1168" s="207"/>
      <c r="C1168" s="207"/>
      <c r="K1168" s="207"/>
      <c r="L1168" s="207"/>
      <c r="M1168" s="207"/>
      <c r="R1168" s="209"/>
      <c r="AB1168" s="210"/>
      <c r="AG1168" s="210"/>
      <c r="AJ1168" s="210"/>
    </row>
    <row r="1169" spans="1:36" s="208" customFormat="1" x14ac:dyDescent="0.25">
      <c r="A1169" s="207"/>
      <c r="C1169" s="207"/>
      <c r="K1169" s="207"/>
      <c r="L1169" s="207"/>
      <c r="M1169" s="207"/>
      <c r="R1169" s="209"/>
      <c r="AB1169" s="210"/>
      <c r="AG1169" s="210"/>
      <c r="AJ1169" s="210"/>
    </row>
    <row r="1170" spans="1:36" s="208" customFormat="1" x14ac:dyDescent="0.25">
      <c r="A1170" s="207"/>
      <c r="C1170" s="207"/>
      <c r="K1170" s="207"/>
      <c r="L1170" s="207"/>
      <c r="M1170" s="207"/>
      <c r="R1170" s="209"/>
      <c r="AB1170" s="210"/>
      <c r="AG1170" s="210"/>
      <c r="AJ1170" s="210"/>
    </row>
    <row r="1171" spans="1:36" s="208" customFormat="1" x14ac:dyDescent="0.25">
      <c r="A1171" s="207"/>
      <c r="C1171" s="207"/>
      <c r="K1171" s="207"/>
      <c r="L1171" s="207"/>
      <c r="M1171" s="207"/>
      <c r="R1171" s="209"/>
      <c r="AB1171" s="210"/>
      <c r="AG1171" s="210"/>
      <c r="AJ1171" s="210"/>
    </row>
    <row r="1172" spans="1:36" s="208" customFormat="1" x14ac:dyDescent="0.25">
      <c r="A1172" s="207"/>
      <c r="C1172" s="207"/>
      <c r="K1172" s="207"/>
      <c r="L1172" s="207"/>
      <c r="M1172" s="207"/>
      <c r="R1172" s="209"/>
      <c r="AB1172" s="210"/>
      <c r="AG1172" s="210"/>
      <c r="AJ1172" s="210"/>
    </row>
    <row r="1173" spans="1:36" s="208" customFormat="1" x14ac:dyDescent="0.25">
      <c r="A1173" s="207"/>
      <c r="C1173" s="207"/>
      <c r="K1173" s="207"/>
      <c r="L1173" s="207"/>
      <c r="M1173" s="207"/>
      <c r="R1173" s="209"/>
      <c r="AB1173" s="210"/>
      <c r="AG1173" s="210"/>
      <c r="AJ1173" s="210"/>
    </row>
    <row r="1174" spans="1:36" s="208" customFormat="1" x14ac:dyDescent="0.25">
      <c r="A1174" s="207"/>
      <c r="C1174" s="207"/>
      <c r="K1174" s="207"/>
      <c r="L1174" s="207"/>
      <c r="M1174" s="207"/>
      <c r="R1174" s="209"/>
      <c r="AB1174" s="210"/>
      <c r="AG1174" s="210"/>
      <c r="AJ1174" s="210"/>
    </row>
    <row r="1175" spans="1:36" s="208" customFormat="1" x14ac:dyDescent="0.25">
      <c r="A1175" s="207"/>
      <c r="C1175" s="207"/>
      <c r="K1175" s="207"/>
      <c r="L1175" s="207"/>
      <c r="M1175" s="207"/>
      <c r="R1175" s="209"/>
      <c r="AB1175" s="210"/>
      <c r="AG1175" s="210"/>
      <c r="AJ1175" s="210"/>
    </row>
    <row r="1176" spans="1:36" s="208" customFormat="1" x14ac:dyDescent="0.25">
      <c r="A1176" s="207"/>
      <c r="C1176" s="207"/>
      <c r="K1176" s="207"/>
      <c r="L1176" s="207"/>
      <c r="M1176" s="207"/>
      <c r="R1176" s="209"/>
      <c r="AB1176" s="210"/>
      <c r="AG1176" s="210"/>
      <c r="AJ1176" s="210"/>
    </row>
    <row r="1177" spans="1:36" s="208" customFormat="1" x14ac:dyDescent="0.25">
      <c r="A1177" s="207"/>
      <c r="C1177" s="207"/>
      <c r="K1177" s="207"/>
      <c r="L1177" s="207"/>
      <c r="M1177" s="207"/>
      <c r="R1177" s="209"/>
      <c r="AB1177" s="210"/>
      <c r="AG1177" s="210"/>
      <c r="AJ1177" s="210"/>
    </row>
    <row r="1178" spans="1:36" s="208" customFormat="1" x14ac:dyDescent="0.25">
      <c r="A1178" s="207"/>
      <c r="C1178" s="207"/>
      <c r="K1178" s="207"/>
      <c r="L1178" s="207"/>
      <c r="M1178" s="207"/>
      <c r="R1178" s="209"/>
      <c r="AB1178" s="210"/>
      <c r="AG1178" s="210"/>
      <c r="AJ1178" s="210"/>
    </row>
    <row r="1179" spans="1:36" s="208" customFormat="1" x14ac:dyDescent="0.25">
      <c r="A1179" s="207"/>
      <c r="C1179" s="207"/>
      <c r="K1179" s="207"/>
      <c r="L1179" s="207"/>
      <c r="M1179" s="207"/>
      <c r="R1179" s="209"/>
      <c r="AB1179" s="210"/>
      <c r="AG1179" s="210"/>
      <c r="AJ1179" s="210"/>
    </row>
    <row r="1180" spans="1:36" s="208" customFormat="1" x14ac:dyDescent="0.25">
      <c r="A1180" s="207"/>
      <c r="C1180" s="207"/>
      <c r="K1180" s="207"/>
      <c r="L1180" s="207"/>
      <c r="M1180" s="207"/>
      <c r="R1180" s="209"/>
      <c r="AB1180" s="210"/>
      <c r="AG1180" s="210"/>
      <c r="AJ1180" s="210"/>
    </row>
    <row r="1181" spans="1:36" s="208" customFormat="1" x14ac:dyDescent="0.25">
      <c r="A1181" s="207"/>
      <c r="C1181" s="207"/>
      <c r="K1181" s="207"/>
      <c r="L1181" s="207"/>
      <c r="M1181" s="207"/>
      <c r="R1181" s="209"/>
      <c r="AB1181" s="210"/>
      <c r="AG1181" s="210"/>
      <c r="AJ1181" s="210"/>
    </row>
    <row r="1182" spans="1:36" s="208" customFormat="1" x14ac:dyDescent="0.25">
      <c r="A1182" s="207"/>
      <c r="C1182" s="207"/>
      <c r="K1182" s="207"/>
      <c r="L1182" s="207"/>
      <c r="M1182" s="207"/>
      <c r="R1182" s="209"/>
      <c r="AB1182" s="210"/>
      <c r="AG1182" s="210"/>
      <c r="AJ1182" s="210"/>
    </row>
    <row r="1183" spans="1:36" s="208" customFormat="1" x14ac:dyDescent="0.25">
      <c r="A1183" s="207"/>
      <c r="C1183" s="207"/>
      <c r="K1183" s="207"/>
      <c r="L1183" s="207"/>
      <c r="M1183" s="207"/>
      <c r="R1183" s="209"/>
      <c r="AB1183" s="210"/>
      <c r="AG1183" s="210"/>
      <c r="AJ1183" s="210"/>
    </row>
    <row r="1184" spans="1:36" s="208" customFormat="1" x14ac:dyDescent="0.25">
      <c r="A1184" s="207"/>
      <c r="C1184" s="207"/>
      <c r="K1184" s="207"/>
      <c r="L1184" s="207"/>
      <c r="M1184" s="207"/>
      <c r="R1184" s="209"/>
      <c r="AB1184" s="210"/>
      <c r="AG1184" s="210"/>
      <c r="AJ1184" s="210"/>
    </row>
    <row r="1185" spans="1:36" s="208" customFormat="1" x14ac:dyDescent="0.25">
      <c r="A1185" s="207"/>
      <c r="C1185" s="207"/>
      <c r="K1185" s="207"/>
      <c r="L1185" s="207"/>
      <c r="M1185" s="207"/>
      <c r="R1185" s="209"/>
      <c r="AB1185" s="210"/>
      <c r="AG1185" s="210"/>
      <c r="AJ1185" s="210"/>
    </row>
    <row r="1186" spans="1:36" s="208" customFormat="1" x14ac:dyDescent="0.25">
      <c r="A1186" s="207"/>
      <c r="C1186" s="207"/>
      <c r="K1186" s="207"/>
      <c r="L1186" s="207"/>
      <c r="M1186" s="207"/>
      <c r="R1186" s="209"/>
      <c r="AB1186" s="210"/>
      <c r="AG1186" s="210"/>
      <c r="AJ1186" s="210"/>
    </row>
    <row r="1187" spans="1:36" s="208" customFormat="1" x14ac:dyDescent="0.25">
      <c r="A1187" s="207"/>
      <c r="C1187" s="207"/>
      <c r="K1187" s="207"/>
      <c r="L1187" s="207"/>
      <c r="M1187" s="207"/>
      <c r="R1187" s="209"/>
      <c r="AB1187" s="210"/>
      <c r="AG1187" s="210"/>
      <c r="AJ1187" s="210"/>
    </row>
    <row r="1188" spans="1:36" s="208" customFormat="1" x14ac:dyDescent="0.25">
      <c r="A1188" s="207"/>
      <c r="C1188" s="207"/>
      <c r="K1188" s="207"/>
      <c r="L1188" s="207"/>
      <c r="M1188" s="207"/>
      <c r="R1188" s="209"/>
      <c r="AB1188" s="210"/>
      <c r="AG1188" s="210"/>
      <c r="AJ1188" s="210"/>
    </row>
    <row r="1189" spans="1:36" s="208" customFormat="1" x14ac:dyDescent="0.25">
      <c r="A1189" s="207"/>
      <c r="C1189" s="207"/>
      <c r="K1189" s="207"/>
      <c r="L1189" s="207"/>
      <c r="M1189" s="207"/>
      <c r="R1189" s="209"/>
      <c r="AB1189" s="210"/>
      <c r="AG1189" s="210"/>
      <c r="AJ1189" s="210"/>
    </row>
    <row r="1190" spans="1:36" s="208" customFormat="1" x14ac:dyDescent="0.25">
      <c r="A1190" s="207"/>
      <c r="C1190" s="207"/>
      <c r="K1190" s="207"/>
      <c r="L1190" s="207"/>
      <c r="M1190" s="207"/>
      <c r="R1190" s="209"/>
      <c r="AB1190" s="210"/>
      <c r="AG1190" s="210"/>
      <c r="AJ1190" s="210"/>
    </row>
    <row r="1191" spans="1:36" s="208" customFormat="1" x14ac:dyDescent="0.25">
      <c r="A1191" s="207"/>
      <c r="C1191" s="207"/>
      <c r="K1191" s="207"/>
      <c r="L1191" s="207"/>
      <c r="M1191" s="207"/>
      <c r="R1191" s="209"/>
      <c r="AB1191" s="210"/>
      <c r="AG1191" s="210"/>
      <c r="AJ1191" s="210"/>
    </row>
    <row r="1192" spans="1:36" s="208" customFormat="1" x14ac:dyDescent="0.25">
      <c r="A1192" s="207"/>
      <c r="C1192" s="207"/>
      <c r="K1192" s="207"/>
      <c r="L1192" s="207"/>
      <c r="M1192" s="207"/>
      <c r="R1192" s="209"/>
      <c r="AB1192" s="210"/>
      <c r="AG1192" s="210"/>
      <c r="AJ1192" s="210"/>
    </row>
    <row r="1193" spans="1:36" s="208" customFormat="1" x14ac:dyDescent="0.25">
      <c r="A1193" s="207"/>
      <c r="C1193" s="207"/>
      <c r="K1193" s="207"/>
      <c r="L1193" s="207"/>
      <c r="M1193" s="207"/>
      <c r="R1193" s="209"/>
      <c r="AB1193" s="210"/>
      <c r="AG1193" s="210"/>
      <c r="AJ1193" s="210"/>
    </row>
    <row r="1194" spans="1:36" s="208" customFormat="1" x14ac:dyDescent="0.25">
      <c r="A1194" s="207"/>
      <c r="C1194" s="207"/>
      <c r="K1194" s="207"/>
      <c r="L1194" s="207"/>
      <c r="M1194" s="207"/>
      <c r="R1194" s="209"/>
      <c r="AB1194" s="210"/>
      <c r="AG1194" s="210"/>
      <c r="AJ1194" s="210"/>
    </row>
    <row r="1195" spans="1:36" s="208" customFormat="1" x14ac:dyDescent="0.25">
      <c r="A1195" s="207"/>
      <c r="C1195" s="207"/>
      <c r="K1195" s="207"/>
      <c r="L1195" s="207"/>
      <c r="M1195" s="207"/>
      <c r="R1195" s="209"/>
      <c r="AB1195" s="210"/>
      <c r="AG1195" s="210"/>
      <c r="AJ1195" s="210"/>
    </row>
    <row r="1196" spans="1:36" s="208" customFormat="1" x14ac:dyDescent="0.25">
      <c r="A1196" s="207"/>
      <c r="C1196" s="207"/>
      <c r="K1196" s="207"/>
      <c r="L1196" s="207"/>
      <c r="M1196" s="207"/>
      <c r="R1196" s="209"/>
      <c r="AB1196" s="210"/>
      <c r="AG1196" s="210"/>
      <c r="AJ1196" s="210"/>
    </row>
    <row r="1197" spans="1:36" s="208" customFormat="1" x14ac:dyDescent="0.25">
      <c r="A1197" s="207"/>
      <c r="C1197" s="207"/>
      <c r="K1197" s="207"/>
      <c r="L1197" s="207"/>
      <c r="M1197" s="207"/>
      <c r="R1197" s="209"/>
      <c r="AB1197" s="210"/>
      <c r="AG1197" s="210"/>
      <c r="AJ1197" s="210"/>
    </row>
    <row r="1198" spans="1:36" s="208" customFormat="1" x14ac:dyDescent="0.25">
      <c r="A1198" s="207"/>
      <c r="C1198" s="207"/>
      <c r="K1198" s="207"/>
      <c r="L1198" s="207"/>
      <c r="M1198" s="207"/>
      <c r="R1198" s="209"/>
      <c r="AB1198" s="210"/>
      <c r="AG1198" s="210"/>
      <c r="AJ1198" s="210"/>
    </row>
    <row r="1199" spans="1:36" s="208" customFormat="1" x14ac:dyDescent="0.25">
      <c r="A1199" s="207"/>
      <c r="C1199" s="207"/>
      <c r="K1199" s="207"/>
      <c r="L1199" s="207"/>
      <c r="M1199" s="207"/>
      <c r="R1199" s="209"/>
      <c r="AB1199" s="210"/>
      <c r="AG1199" s="210"/>
      <c r="AJ1199" s="210"/>
    </row>
    <row r="1200" spans="1:36" s="208" customFormat="1" x14ac:dyDescent="0.25">
      <c r="A1200" s="207"/>
      <c r="C1200" s="207"/>
      <c r="K1200" s="207"/>
      <c r="L1200" s="207"/>
      <c r="M1200" s="207"/>
      <c r="R1200" s="209"/>
      <c r="AB1200" s="210"/>
      <c r="AG1200" s="210"/>
      <c r="AJ1200" s="210"/>
    </row>
    <row r="1201" spans="1:36" s="208" customFormat="1" x14ac:dyDescent="0.25">
      <c r="A1201" s="207"/>
      <c r="C1201" s="207"/>
      <c r="K1201" s="207"/>
      <c r="L1201" s="207"/>
      <c r="M1201" s="207"/>
      <c r="R1201" s="209"/>
      <c r="AB1201" s="210"/>
      <c r="AG1201" s="210"/>
      <c r="AJ1201" s="210"/>
    </row>
    <row r="1202" spans="1:36" s="208" customFormat="1" x14ac:dyDescent="0.25">
      <c r="A1202" s="207"/>
      <c r="C1202" s="207"/>
      <c r="K1202" s="207"/>
      <c r="L1202" s="207"/>
      <c r="M1202" s="207"/>
      <c r="R1202" s="209"/>
      <c r="AB1202" s="210"/>
      <c r="AG1202" s="210"/>
      <c r="AJ1202" s="210"/>
    </row>
    <row r="1203" spans="1:36" s="208" customFormat="1" x14ac:dyDescent="0.25">
      <c r="A1203" s="207"/>
      <c r="C1203" s="207"/>
      <c r="K1203" s="207"/>
      <c r="L1203" s="207"/>
      <c r="M1203" s="207"/>
      <c r="R1203" s="209"/>
      <c r="AB1203" s="210"/>
      <c r="AG1203" s="210"/>
      <c r="AJ1203" s="210"/>
    </row>
    <row r="1204" spans="1:36" s="208" customFormat="1" x14ac:dyDescent="0.25">
      <c r="A1204" s="207"/>
      <c r="C1204" s="207"/>
      <c r="K1204" s="207"/>
      <c r="L1204" s="207"/>
      <c r="M1204" s="207"/>
      <c r="R1204" s="209"/>
      <c r="AB1204" s="210"/>
      <c r="AG1204" s="210"/>
      <c r="AJ1204" s="210"/>
    </row>
    <row r="1205" spans="1:36" s="208" customFormat="1" x14ac:dyDescent="0.25">
      <c r="A1205" s="207"/>
      <c r="C1205" s="207"/>
      <c r="K1205" s="207"/>
      <c r="L1205" s="207"/>
      <c r="M1205" s="207"/>
      <c r="R1205" s="209"/>
      <c r="AB1205" s="210"/>
      <c r="AG1205" s="210"/>
      <c r="AJ1205" s="210"/>
    </row>
    <row r="1206" spans="1:36" s="208" customFormat="1" x14ac:dyDescent="0.25">
      <c r="A1206" s="207"/>
      <c r="C1206" s="207"/>
      <c r="K1206" s="207"/>
      <c r="L1206" s="207"/>
      <c r="M1206" s="207"/>
      <c r="R1206" s="209"/>
      <c r="AB1206" s="210"/>
      <c r="AG1206" s="210"/>
      <c r="AJ1206" s="210"/>
    </row>
    <row r="1207" spans="1:36" s="208" customFormat="1" x14ac:dyDescent="0.25">
      <c r="A1207" s="207"/>
      <c r="C1207" s="207"/>
      <c r="K1207" s="207"/>
      <c r="L1207" s="207"/>
      <c r="M1207" s="207"/>
      <c r="R1207" s="209"/>
      <c r="AB1207" s="210"/>
      <c r="AG1207" s="210"/>
      <c r="AJ1207" s="210"/>
    </row>
    <row r="1208" spans="1:36" s="208" customFormat="1" x14ac:dyDescent="0.25">
      <c r="A1208" s="207"/>
      <c r="C1208" s="207"/>
      <c r="K1208" s="207"/>
      <c r="L1208" s="207"/>
      <c r="M1208" s="207"/>
      <c r="R1208" s="209"/>
      <c r="AB1208" s="210"/>
      <c r="AG1208" s="210"/>
      <c r="AJ1208" s="210"/>
    </row>
    <row r="1209" spans="1:36" s="208" customFormat="1" x14ac:dyDescent="0.25">
      <c r="A1209" s="207"/>
      <c r="C1209" s="207"/>
      <c r="K1209" s="207"/>
      <c r="L1209" s="207"/>
      <c r="M1209" s="207"/>
      <c r="R1209" s="209"/>
      <c r="AB1209" s="210"/>
      <c r="AG1209" s="210"/>
      <c r="AJ1209" s="210"/>
    </row>
    <row r="1210" spans="1:36" s="208" customFormat="1" x14ac:dyDescent="0.25">
      <c r="A1210" s="207"/>
      <c r="C1210" s="207"/>
      <c r="K1210" s="207"/>
      <c r="L1210" s="207"/>
      <c r="M1210" s="207"/>
      <c r="R1210" s="209"/>
      <c r="AB1210" s="210"/>
      <c r="AG1210" s="210"/>
      <c r="AJ1210" s="210"/>
    </row>
    <row r="1211" spans="1:36" s="208" customFormat="1" x14ac:dyDescent="0.25">
      <c r="A1211" s="207"/>
      <c r="C1211" s="207"/>
      <c r="K1211" s="207"/>
      <c r="L1211" s="207"/>
      <c r="M1211" s="207"/>
      <c r="R1211" s="209"/>
      <c r="AB1211" s="210"/>
      <c r="AG1211" s="210"/>
      <c r="AJ1211" s="210"/>
    </row>
    <row r="1212" spans="1:36" s="208" customFormat="1" x14ac:dyDescent="0.25">
      <c r="A1212" s="207"/>
      <c r="C1212" s="207"/>
      <c r="K1212" s="207"/>
      <c r="L1212" s="207"/>
      <c r="M1212" s="207"/>
      <c r="R1212" s="209"/>
      <c r="AB1212" s="210"/>
      <c r="AG1212" s="210"/>
      <c r="AJ1212" s="210"/>
    </row>
    <row r="1213" spans="1:36" s="208" customFormat="1" x14ac:dyDescent="0.25">
      <c r="A1213" s="207"/>
      <c r="C1213" s="207"/>
      <c r="K1213" s="207"/>
      <c r="L1213" s="207"/>
      <c r="M1213" s="207"/>
      <c r="R1213" s="209"/>
      <c r="AB1213" s="210"/>
      <c r="AG1213" s="210"/>
      <c r="AJ1213" s="210"/>
    </row>
    <row r="1214" spans="1:36" s="208" customFormat="1" x14ac:dyDescent="0.25">
      <c r="A1214" s="207"/>
      <c r="C1214" s="207"/>
      <c r="K1214" s="207"/>
      <c r="L1214" s="207"/>
      <c r="M1214" s="207"/>
      <c r="R1214" s="209"/>
      <c r="AB1214" s="210"/>
      <c r="AG1214" s="210"/>
      <c r="AJ1214" s="210"/>
    </row>
    <row r="1215" spans="1:36" s="208" customFormat="1" x14ac:dyDescent="0.25">
      <c r="A1215" s="207"/>
      <c r="C1215" s="207"/>
      <c r="K1215" s="207"/>
      <c r="L1215" s="207"/>
      <c r="M1215" s="207"/>
      <c r="R1215" s="209"/>
      <c r="AB1215" s="210"/>
      <c r="AG1215" s="210"/>
      <c r="AJ1215" s="210"/>
    </row>
    <row r="1216" spans="1:36" s="208" customFormat="1" x14ac:dyDescent="0.25">
      <c r="A1216" s="207"/>
      <c r="C1216" s="207"/>
      <c r="K1216" s="207"/>
      <c r="L1216" s="207"/>
      <c r="M1216" s="207"/>
      <c r="R1216" s="209"/>
      <c r="AB1216" s="210"/>
      <c r="AG1216" s="210"/>
      <c r="AJ1216" s="210"/>
    </row>
    <row r="1217" spans="1:36" s="208" customFormat="1" x14ac:dyDescent="0.25">
      <c r="A1217" s="207"/>
      <c r="C1217" s="207"/>
      <c r="K1217" s="207"/>
      <c r="L1217" s="207"/>
      <c r="M1217" s="207"/>
      <c r="R1217" s="209"/>
      <c r="AB1217" s="210"/>
      <c r="AG1217" s="210"/>
      <c r="AJ1217" s="210"/>
    </row>
    <row r="1218" spans="1:36" s="208" customFormat="1" x14ac:dyDescent="0.25">
      <c r="A1218" s="207"/>
      <c r="C1218" s="207"/>
      <c r="K1218" s="207"/>
      <c r="L1218" s="207"/>
      <c r="M1218" s="207"/>
      <c r="R1218" s="209"/>
      <c r="AB1218" s="210"/>
      <c r="AG1218" s="210"/>
      <c r="AJ1218" s="210"/>
    </row>
    <row r="1219" spans="1:36" s="208" customFormat="1" x14ac:dyDescent="0.25">
      <c r="A1219" s="207"/>
      <c r="C1219" s="207"/>
      <c r="K1219" s="207"/>
      <c r="L1219" s="207"/>
      <c r="M1219" s="207"/>
      <c r="R1219" s="209"/>
      <c r="AB1219" s="210"/>
      <c r="AG1219" s="210"/>
      <c r="AJ1219" s="210"/>
    </row>
    <row r="1220" spans="1:36" s="208" customFormat="1" x14ac:dyDescent="0.25">
      <c r="A1220" s="207"/>
      <c r="C1220" s="207"/>
      <c r="K1220" s="207"/>
      <c r="L1220" s="207"/>
      <c r="M1220" s="207"/>
      <c r="R1220" s="209"/>
      <c r="AB1220" s="210"/>
      <c r="AG1220" s="210"/>
      <c r="AJ1220" s="210"/>
    </row>
    <row r="1221" spans="1:36" s="208" customFormat="1" x14ac:dyDescent="0.25">
      <c r="A1221" s="207"/>
      <c r="C1221" s="207"/>
      <c r="K1221" s="207"/>
      <c r="L1221" s="207"/>
      <c r="M1221" s="207"/>
      <c r="R1221" s="209"/>
      <c r="AB1221" s="210"/>
      <c r="AG1221" s="210"/>
      <c r="AJ1221" s="210"/>
    </row>
    <row r="1222" spans="1:36" s="208" customFormat="1" x14ac:dyDescent="0.25">
      <c r="A1222" s="207"/>
      <c r="C1222" s="207"/>
      <c r="K1222" s="207"/>
      <c r="L1222" s="207"/>
      <c r="M1222" s="207"/>
      <c r="R1222" s="209"/>
      <c r="AB1222" s="210"/>
      <c r="AG1222" s="210"/>
      <c r="AJ1222" s="210"/>
    </row>
    <row r="1223" spans="1:36" s="208" customFormat="1" x14ac:dyDescent="0.25">
      <c r="A1223" s="207"/>
      <c r="C1223" s="207"/>
      <c r="K1223" s="207"/>
      <c r="L1223" s="207"/>
      <c r="M1223" s="207"/>
      <c r="R1223" s="209"/>
      <c r="AB1223" s="210"/>
      <c r="AG1223" s="210"/>
      <c r="AJ1223" s="210"/>
    </row>
    <row r="1224" spans="1:36" s="208" customFormat="1" x14ac:dyDescent="0.25">
      <c r="A1224" s="207"/>
      <c r="C1224" s="207"/>
      <c r="K1224" s="207"/>
      <c r="L1224" s="207"/>
      <c r="M1224" s="207"/>
      <c r="R1224" s="209"/>
      <c r="AB1224" s="210"/>
      <c r="AG1224" s="210"/>
      <c r="AJ1224" s="210"/>
    </row>
    <row r="1225" spans="1:36" s="208" customFormat="1" x14ac:dyDescent="0.25">
      <c r="A1225" s="207"/>
      <c r="C1225" s="207"/>
      <c r="K1225" s="207"/>
      <c r="L1225" s="207"/>
      <c r="M1225" s="207"/>
      <c r="R1225" s="209"/>
      <c r="AB1225" s="210"/>
      <c r="AG1225" s="210"/>
      <c r="AJ1225" s="210"/>
    </row>
    <row r="1226" spans="1:36" s="208" customFormat="1" x14ac:dyDescent="0.25">
      <c r="A1226" s="207"/>
      <c r="C1226" s="207"/>
      <c r="K1226" s="207"/>
      <c r="L1226" s="207"/>
      <c r="M1226" s="207"/>
      <c r="R1226" s="209"/>
      <c r="AB1226" s="210"/>
      <c r="AG1226" s="210"/>
      <c r="AJ1226" s="210"/>
    </row>
    <row r="1227" spans="1:36" s="208" customFormat="1" x14ac:dyDescent="0.25">
      <c r="A1227" s="207"/>
      <c r="C1227" s="207"/>
      <c r="K1227" s="207"/>
      <c r="L1227" s="207"/>
      <c r="M1227" s="207"/>
      <c r="R1227" s="209"/>
      <c r="AB1227" s="210"/>
      <c r="AG1227" s="210"/>
      <c r="AJ1227" s="210"/>
    </row>
    <row r="1228" spans="1:36" s="208" customFormat="1" x14ac:dyDescent="0.25">
      <c r="A1228" s="207"/>
      <c r="C1228" s="207"/>
      <c r="K1228" s="207"/>
      <c r="L1228" s="207"/>
      <c r="M1228" s="207"/>
      <c r="R1228" s="209"/>
      <c r="AB1228" s="210"/>
      <c r="AG1228" s="210"/>
      <c r="AJ1228" s="210"/>
    </row>
    <row r="1229" spans="1:36" s="208" customFormat="1" x14ac:dyDescent="0.25">
      <c r="A1229" s="207"/>
      <c r="C1229" s="207"/>
      <c r="K1229" s="207"/>
      <c r="L1229" s="207"/>
      <c r="M1229" s="207"/>
      <c r="R1229" s="209"/>
      <c r="AB1229" s="210"/>
      <c r="AG1229" s="210"/>
      <c r="AJ1229" s="210"/>
    </row>
    <row r="1230" spans="1:36" s="208" customFormat="1" x14ac:dyDescent="0.25">
      <c r="A1230" s="207"/>
      <c r="C1230" s="207"/>
      <c r="K1230" s="207"/>
      <c r="L1230" s="207"/>
      <c r="M1230" s="207"/>
      <c r="R1230" s="209"/>
      <c r="AB1230" s="210"/>
      <c r="AG1230" s="210"/>
      <c r="AJ1230" s="210"/>
    </row>
    <row r="1231" spans="1:36" s="208" customFormat="1" x14ac:dyDescent="0.25">
      <c r="A1231" s="207"/>
      <c r="C1231" s="207"/>
      <c r="K1231" s="207"/>
      <c r="L1231" s="207"/>
      <c r="M1231" s="207"/>
      <c r="R1231" s="209"/>
      <c r="AB1231" s="210"/>
      <c r="AG1231" s="210"/>
      <c r="AJ1231" s="210"/>
    </row>
    <row r="1232" spans="1:36" s="208" customFormat="1" x14ac:dyDescent="0.25">
      <c r="A1232" s="207"/>
      <c r="C1232" s="207"/>
      <c r="K1232" s="207"/>
      <c r="L1232" s="207"/>
      <c r="M1232" s="207"/>
      <c r="R1232" s="209"/>
      <c r="AB1232" s="210"/>
      <c r="AG1232" s="210"/>
      <c r="AJ1232" s="210"/>
    </row>
    <row r="1233" spans="1:36" s="208" customFormat="1" x14ac:dyDescent="0.25">
      <c r="A1233" s="207"/>
      <c r="C1233" s="207"/>
      <c r="K1233" s="207"/>
      <c r="L1233" s="207"/>
      <c r="M1233" s="207"/>
      <c r="R1233" s="209"/>
      <c r="AB1233" s="210"/>
      <c r="AG1233" s="210"/>
      <c r="AJ1233" s="210"/>
    </row>
    <row r="1234" spans="1:36" s="208" customFormat="1" x14ac:dyDescent="0.25">
      <c r="A1234" s="207"/>
      <c r="C1234" s="207"/>
      <c r="K1234" s="207"/>
      <c r="L1234" s="207"/>
      <c r="M1234" s="207"/>
      <c r="R1234" s="209"/>
      <c r="AB1234" s="210"/>
      <c r="AG1234" s="210"/>
      <c r="AJ1234" s="210"/>
    </row>
    <row r="1235" spans="1:36" s="208" customFormat="1" x14ac:dyDescent="0.25">
      <c r="A1235" s="207"/>
      <c r="C1235" s="207"/>
      <c r="K1235" s="207"/>
      <c r="L1235" s="207"/>
      <c r="M1235" s="207"/>
      <c r="R1235" s="209"/>
      <c r="AB1235" s="210"/>
      <c r="AG1235" s="210"/>
      <c r="AJ1235" s="210"/>
    </row>
    <row r="1236" spans="1:36" s="208" customFormat="1" x14ac:dyDescent="0.25">
      <c r="A1236" s="207"/>
      <c r="C1236" s="207"/>
      <c r="K1236" s="207"/>
      <c r="L1236" s="207"/>
      <c r="M1236" s="207"/>
      <c r="R1236" s="209"/>
      <c r="AB1236" s="210"/>
      <c r="AG1236" s="210"/>
      <c r="AJ1236" s="210"/>
    </row>
    <row r="1237" spans="1:36" s="208" customFormat="1" x14ac:dyDescent="0.25">
      <c r="A1237" s="207"/>
      <c r="C1237" s="207"/>
      <c r="K1237" s="207"/>
      <c r="L1237" s="207"/>
      <c r="M1237" s="207"/>
      <c r="R1237" s="209"/>
      <c r="AB1237" s="210"/>
      <c r="AG1237" s="210"/>
      <c r="AJ1237" s="210"/>
    </row>
    <row r="1238" spans="1:36" s="208" customFormat="1" x14ac:dyDescent="0.25">
      <c r="A1238" s="207"/>
      <c r="C1238" s="207"/>
      <c r="K1238" s="207"/>
      <c r="L1238" s="207"/>
      <c r="M1238" s="207"/>
      <c r="R1238" s="209"/>
      <c r="AB1238" s="210"/>
      <c r="AG1238" s="210"/>
      <c r="AJ1238" s="210"/>
    </row>
    <row r="1239" spans="1:36" s="208" customFormat="1" x14ac:dyDescent="0.25">
      <c r="A1239" s="207"/>
      <c r="C1239" s="207"/>
      <c r="K1239" s="207"/>
      <c r="L1239" s="207"/>
      <c r="M1239" s="207"/>
      <c r="R1239" s="209"/>
      <c r="AB1239" s="210"/>
      <c r="AG1239" s="210"/>
      <c r="AJ1239" s="210"/>
    </row>
    <row r="1240" spans="1:36" s="208" customFormat="1" x14ac:dyDescent="0.25">
      <c r="A1240" s="207"/>
      <c r="C1240" s="207"/>
      <c r="K1240" s="207"/>
      <c r="L1240" s="207"/>
      <c r="M1240" s="207"/>
      <c r="R1240" s="209"/>
      <c r="AB1240" s="210"/>
      <c r="AG1240" s="210"/>
      <c r="AJ1240" s="210"/>
    </row>
    <row r="1241" spans="1:36" s="208" customFormat="1" x14ac:dyDescent="0.25">
      <c r="A1241" s="207"/>
      <c r="C1241" s="207"/>
      <c r="K1241" s="207"/>
      <c r="L1241" s="207"/>
      <c r="M1241" s="207"/>
      <c r="R1241" s="209"/>
      <c r="AB1241" s="210"/>
      <c r="AG1241" s="210"/>
      <c r="AJ1241" s="210"/>
    </row>
    <row r="1242" spans="1:36" s="208" customFormat="1" x14ac:dyDescent="0.25">
      <c r="A1242" s="207"/>
      <c r="C1242" s="207"/>
      <c r="K1242" s="207"/>
      <c r="L1242" s="207"/>
      <c r="M1242" s="207"/>
      <c r="R1242" s="209"/>
      <c r="AB1242" s="210"/>
      <c r="AG1242" s="210"/>
      <c r="AJ1242" s="210"/>
    </row>
    <row r="1243" spans="1:36" s="208" customFormat="1" x14ac:dyDescent="0.25">
      <c r="A1243" s="207"/>
      <c r="C1243" s="207"/>
      <c r="K1243" s="207"/>
      <c r="L1243" s="207"/>
      <c r="M1243" s="207"/>
      <c r="R1243" s="209"/>
      <c r="AB1243" s="210"/>
      <c r="AG1243" s="210"/>
      <c r="AJ1243" s="210"/>
    </row>
    <row r="1244" spans="1:36" s="208" customFormat="1" x14ac:dyDescent="0.25">
      <c r="A1244" s="207"/>
      <c r="C1244" s="207"/>
      <c r="K1244" s="207"/>
      <c r="L1244" s="207"/>
      <c r="M1244" s="207"/>
      <c r="R1244" s="209"/>
      <c r="AB1244" s="210"/>
      <c r="AG1244" s="210"/>
      <c r="AJ1244" s="210"/>
    </row>
    <row r="1245" spans="1:36" s="208" customFormat="1" x14ac:dyDescent="0.25">
      <c r="A1245" s="207"/>
      <c r="C1245" s="207"/>
      <c r="K1245" s="207"/>
      <c r="L1245" s="207"/>
      <c r="M1245" s="207"/>
      <c r="R1245" s="209"/>
      <c r="AB1245" s="210"/>
      <c r="AG1245" s="210"/>
      <c r="AJ1245" s="210"/>
    </row>
    <row r="1246" spans="1:36" s="208" customFormat="1" x14ac:dyDescent="0.25">
      <c r="A1246" s="207"/>
      <c r="C1246" s="207"/>
      <c r="K1246" s="207"/>
      <c r="L1246" s="207"/>
      <c r="M1246" s="207"/>
      <c r="R1246" s="209"/>
      <c r="AB1246" s="210"/>
      <c r="AG1246" s="210"/>
      <c r="AJ1246" s="210"/>
    </row>
    <row r="1247" spans="1:36" s="208" customFormat="1" x14ac:dyDescent="0.25">
      <c r="A1247" s="207"/>
      <c r="C1247" s="207"/>
      <c r="K1247" s="207"/>
      <c r="L1247" s="207"/>
      <c r="M1247" s="207"/>
      <c r="R1247" s="209"/>
      <c r="AB1247" s="210"/>
      <c r="AG1247" s="210"/>
      <c r="AJ1247" s="210"/>
    </row>
    <row r="1248" spans="1:36" s="208" customFormat="1" x14ac:dyDescent="0.25">
      <c r="A1248" s="207"/>
      <c r="C1248" s="207"/>
      <c r="K1248" s="207"/>
      <c r="L1248" s="207"/>
      <c r="M1248" s="207"/>
      <c r="R1248" s="209"/>
      <c r="AB1248" s="210"/>
      <c r="AG1248" s="210"/>
      <c r="AJ1248" s="210"/>
    </row>
    <row r="1249" spans="1:36" s="208" customFormat="1" x14ac:dyDescent="0.25">
      <c r="A1249" s="207"/>
      <c r="C1249" s="207"/>
      <c r="K1249" s="207"/>
      <c r="L1249" s="207"/>
      <c r="M1249" s="207"/>
      <c r="R1249" s="209"/>
      <c r="AB1249" s="210"/>
      <c r="AG1249" s="210"/>
      <c r="AJ1249" s="210"/>
    </row>
    <row r="1250" spans="1:36" s="208" customFormat="1" x14ac:dyDescent="0.25">
      <c r="A1250" s="207"/>
      <c r="C1250" s="207"/>
      <c r="K1250" s="207"/>
      <c r="L1250" s="207"/>
      <c r="M1250" s="207"/>
      <c r="R1250" s="209"/>
      <c r="AB1250" s="210"/>
      <c r="AG1250" s="210"/>
      <c r="AJ1250" s="210"/>
    </row>
    <row r="1251" spans="1:36" s="208" customFormat="1" x14ac:dyDescent="0.25">
      <c r="A1251" s="207"/>
      <c r="C1251" s="207"/>
      <c r="K1251" s="207"/>
      <c r="L1251" s="207"/>
      <c r="M1251" s="207"/>
      <c r="R1251" s="209"/>
      <c r="AB1251" s="210"/>
      <c r="AG1251" s="210"/>
      <c r="AJ1251" s="210"/>
    </row>
    <row r="1252" spans="1:36" s="208" customFormat="1" x14ac:dyDescent="0.25">
      <c r="A1252" s="207"/>
      <c r="C1252" s="207"/>
      <c r="K1252" s="207"/>
      <c r="L1252" s="207"/>
      <c r="M1252" s="207"/>
      <c r="R1252" s="209"/>
      <c r="AB1252" s="210"/>
      <c r="AG1252" s="210"/>
      <c r="AJ1252" s="210"/>
    </row>
    <row r="1253" spans="1:36" s="208" customFormat="1" x14ac:dyDescent="0.25">
      <c r="A1253" s="207"/>
      <c r="C1253" s="207"/>
      <c r="K1253" s="207"/>
      <c r="L1253" s="207"/>
      <c r="M1253" s="207"/>
      <c r="R1253" s="209"/>
      <c r="AB1253" s="210"/>
      <c r="AG1253" s="210"/>
      <c r="AJ1253" s="210"/>
    </row>
    <row r="1254" spans="1:36" s="208" customFormat="1" x14ac:dyDescent="0.25">
      <c r="A1254" s="207"/>
      <c r="C1254" s="207"/>
      <c r="K1254" s="207"/>
      <c r="L1254" s="207"/>
      <c r="M1254" s="207"/>
      <c r="R1254" s="209"/>
      <c r="AB1254" s="210"/>
      <c r="AG1254" s="210"/>
      <c r="AJ1254" s="210"/>
    </row>
    <row r="1255" spans="1:36" s="208" customFormat="1" x14ac:dyDescent="0.25">
      <c r="A1255" s="207"/>
      <c r="C1255" s="207"/>
      <c r="K1255" s="207"/>
      <c r="L1255" s="207"/>
      <c r="M1255" s="207"/>
      <c r="R1255" s="209"/>
      <c r="AB1255" s="210"/>
      <c r="AG1255" s="210"/>
      <c r="AJ1255" s="210"/>
    </row>
    <row r="1256" spans="1:36" s="208" customFormat="1" x14ac:dyDescent="0.25">
      <c r="A1256" s="207"/>
      <c r="C1256" s="207"/>
      <c r="K1256" s="207"/>
      <c r="L1256" s="207"/>
      <c r="M1256" s="207"/>
      <c r="R1256" s="209"/>
      <c r="AB1256" s="210"/>
      <c r="AG1256" s="210"/>
      <c r="AJ1256" s="210"/>
    </row>
    <row r="1257" spans="1:36" s="208" customFormat="1" x14ac:dyDescent="0.25">
      <c r="A1257" s="207"/>
      <c r="C1257" s="207"/>
      <c r="K1257" s="207"/>
      <c r="L1257" s="207"/>
      <c r="M1257" s="207"/>
      <c r="R1257" s="209"/>
      <c r="AB1257" s="210"/>
      <c r="AG1257" s="210"/>
      <c r="AJ1257" s="210"/>
    </row>
    <row r="1258" spans="1:36" s="208" customFormat="1" x14ac:dyDescent="0.25">
      <c r="A1258" s="207"/>
      <c r="C1258" s="207"/>
      <c r="K1258" s="207"/>
      <c r="L1258" s="207"/>
      <c r="M1258" s="207"/>
      <c r="R1258" s="209"/>
      <c r="AB1258" s="210"/>
      <c r="AG1258" s="210"/>
      <c r="AJ1258" s="210"/>
    </row>
    <row r="1259" spans="1:36" s="208" customFormat="1" x14ac:dyDescent="0.25">
      <c r="A1259" s="207"/>
      <c r="C1259" s="207"/>
      <c r="K1259" s="207"/>
      <c r="L1259" s="207"/>
      <c r="M1259" s="207"/>
      <c r="R1259" s="209"/>
      <c r="AB1259" s="210"/>
      <c r="AG1259" s="210"/>
      <c r="AJ1259" s="210"/>
    </row>
    <row r="1260" spans="1:36" s="208" customFormat="1" x14ac:dyDescent="0.25">
      <c r="A1260" s="207"/>
      <c r="C1260" s="207"/>
      <c r="K1260" s="207"/>
      <c r="L1260" s="207"/>
      <c r="M1260" s="207"/>
      <c r="R1260" s="209"/>
      <c r="AB1260" s="210"/>
      <c r="AG1260" s="210"/>
      <c r="AJ1260" s="210"/>
    </row>
    <row r="1261" spans="1:36" s="208" customFormat="1" x14ac:dyDescent="0.25">
      <c r="A1261" s="207"/>
      <c r="C1261" s="207"/>
      <c r="K1261" s="207"/>
      <c r="L1261" s="207"/>
      <c r="M1261" s="207"/>
      <c r="R1261" s="209"/>
      <c r="AB1261" s="210"/>
      <c r="AG1261" s="210"/>
      <c r="AJ1261" s="210"/>
    </row>
    <row r="1262" spans="1:36" s="208" customFormat="1" x14ac:dyDescent="0.25">
      <c r="A1262" s="207"/>
      <c r="C1262" s="207"/>
      <c r="K1262" s="207"/>
      <c r="L1262" s="207"/>
      <c r="M1262" s="207"/>
      <c r="R1262" s="209"/>
      <c r="AB1262" s="210"/>
      <c r="AG1262" s="210"/>
      <c r="AJ1262" s="210"/>
    </row>
    <row r="1263" spans="1:36" s="208" customFormat="1" x14ac:dyDescent="0.25">
      <c r="A1263" s="207"/>
      <c r="C1263" s="207"/>
      <c r="K1263" s="207"/>
      <c r="L1263" s="207"/>
      <c r="M1263" s="207"/>
      <c r="R1263" s="209"/>
      <c r="AB1263" s="210"/>
      <c r="AG1263" s="210"/>
      <c r="AJ1263" s="210"/>
    </row>
    <row r="1264" spans="1:36" s="208" customFormat="1" x14ac:dyDescent="0.25">
      <c r="A1264" s="207"/>
      <c r="C1264" s="207"/>
      <c r="K1264" s="207"/>
      <c r="L1264" s="207"/>
      <c r="M1264" s="207"/>
      <c r="R1264" s="209"/>
      <c r="AB1264" s="210"/>
      <c r="AG1264" s="210"/>
      <c r="AJ1264" s="210"/>
    </row>
    <row r="1265" spans="1:36" s="208" customFormat="1" x14ac:dyDescent="0.25">
      <c r="A1265" s="207"/>
      <c r="C1265" s="207"/>
      <c r="K1265" s="207"/>
      <c r="L1265" s="207"/>
      <c r="M1265" s="207"/>
      <c r="R1265" s="209"/>
      <c r="AB1265" s="210"/>
      <c r="AG1265" s="210"/>
      <c r="AJ1265" s="210"/>
    </row>
    <row r="1266" spans="1:36" s="208" customFormat="1" x14ac:dyDescent="0.25">
      <c r="A1266" s="207"/>
      <c r="C1266" s="207"/>
      <c r="K1266" s="207"/>
      <c r="L1266" s="207"/>
      <c r="M1266" s="207"/>
      <c r="R1266" s="209"/>
      <c r="AB1266" s="210"/>
      <c r="AG1266" s="210"/>
      <c r="AJ1266" s="210"/>
    </row>
    <row r="1267" spans="1:36" s="208" customFormat="1" x14ac:dyDescent="0.25">
      <c r="A1267" s="207"/>
      <c r="C1267" s="207"/>
      <c r="K1267" s="207"/>
      <c r="L1267" s="207"/>
      <c r="M1267" s="207"/>
      <c r="R1267" s="209"/>
      <c r="AB1267" s="210"/>
      <c r="AG1267" s="210"/>
      <c r="AJ1267" s="210"/>
    </row>
    <row r="1268" spans="1:36" s="208" customFormat="1" x14ac:dyDescent="0.25">
      <c r="A1268" s="207"/>
      <c r="C1268" s="207"/>
      <c r="K1268" s="207"/>
      <c r="L1268" s="207"/>
      <c r="M1268" s="207"/>
      <c r="R1268" s="209"/>
      <c r="AB1268" s="210"/>
      <c r="AG1268" s="210"/>
      <c r="AJ1268" s="210"/>
    </row>
    <row r="1269" spans="1:36" s="208" customFormat="1" x14ac:dyDescent="0.25">
      <c r="A1269" s="207"/>
      <c r="C1269" s="207"/>
      <c r="K1269" s="207"/>
      <c r="L1269" s="207"/>
      <c r="M1269" s="207"/>
      <c r="R1269" s="209"/>
      <c r="AB1269" s="210"/>
      <c r="AG1269" s="210"/>
      <c r="AJ1269" s="210"/>
    </row>
    <row r="1270" spans="1:36" s="208" customFormat="1" x14ac:dyDescent="0.25">
      <c r="A1270" s="207"/>
      <c r="C1270" s="207"/>
      <c r="K1270" s="207"/>
      <c r="L1270" s="207"/>
      <c r="M1270" s="207"/>
      <c r="R1270" s="209"/>
      <c r="AB1270" s="210"/>
      <c r="AG1270" s="210"/>
      <c r="AJ1270" s="210"/>
    </row>
    <row r="1271" spans="1:36" s="208" customFormat="1" x14ac:dyDescent="0.25">
      <c r="A1271" s="207"/>
      <c r="C1271" s="207"/>
      <c r="K1271" s="207"/>
      <c r="L1271" s="207"/>
      <c r="M1271" s="207"/>
      <c r="R1271" s="209"/>
      <c r="AB1271" s="210"/>
      <c r="AG1271" s="210"/>
      <c r="AJ1271" s="210"/>
    </row>
    <row r="1272" spans="1:36" s="208" customFormat="1" x14ac:dyDescent="0.25">
      <c r="A1272" s="207"/>
      <c r="C1272" s="207"/>
      <c r="K1272" s="207"/>
      <c r="L1272" s="207"/>
      <c r="M1272" s="207"/>
      <c r="R1272" s="209"/>
      <c r="AB1272" s="210"/>
      <c r="AG1272" s="210"/>
      <c r="AJ1272" s="210"/>
    </row>
    <row r="1273" spans="1:36" s="208" customFormat="1" x14ac:dyDescent="0.25">
      <c r="A1273" s="207"/>
      <c r="C1273" s="207"/>
      <c r="K1273" s="207"/>
      <c r="L1273" s="207"/>
      <c r="M1273" s="207"/>
      <c r="R1273" s="209"/>
      <c r="AB1273" s="210"/>
      <c r="AG1273" s="210"/>
      <c r="AJ1273" s="210"/>
    </row>
    <row r="1274" spans="1:36" s="208" customFormat="1" x14ac:dyDescent="0.25">
      <c r="A1274" s="207"/>
      <c r="C1274" s="207"/>
      <c r="K1274" s="207"/>
      <c r="L1274" s="207"/>
      <c r="M1274" s="207"/>
      <c r="R1274" s="209"/>
      <c r="AB1274" s="210"/>
      <c r="AG1274" s="210"/>
      <c r="AJ1274" s="210"/>
    </row>
    <row r="1275" spans="1:36" s="208" customFormat="1" x14ac:dyDescent="0.25">
      <c r="A1275" s="207"/>
      <c r="C1275" s="207"/>
      <c r="K1275" s="207"/>
      <c r="L1275" s="207"/>
      <c r="M1275" s="207"/>
      <c r="R1275" s="209"/>
      <c r="AB1275" s="210"/>
      <c r="AG1275" s="210"/>
      <c r="AJ1275" s="210"/>
    </row>
    <row r="1276" spans="1:36" s="208" customFormat="1" x14ac:dyDescent="0.25">
      <c r="A1276" s="207"/>
      <c r="C1276" s="207"/>
      <c r="K1276" s="207"/>
      <c r="L1276" s="207"/>
      <c r="M1276" s="207"/>
      <c r="R1276" s="209"/>
      <c r="AB1276" s="210"/>
      <c r="AG1276" s="210"/>
      <c r="AJ1276" s="210"/>
    </row>
    <row r="1277" spans="1:36" s="208" customFormat="1" x14ac:dyDescent="0.25">
      <c r="A1277" s="207"/>
      <c r="C1277" s="207"/>
      <c r="K1277" s="207"/>
      <c r="L1277" s="207"/>
      <c r="M1277" s="207"/>
      <c r="R1277" s="209"/>
      <c r="AB1277" s="210"/>
      <c r="AG1277" s="210"/>
      <c r="AJ1277" s="210"/>
    </row>
    <row r="1278" spans="1:36" s="208" customFormat="1" x14ac:dyDescent="0.25">
      <c r="A1278" s="207"/>
      <c r="C1278" s="207"/>
      <c r="K1278" s="207"/>
      <c r="L1278" s="207"/>
      <c r="M1278" s="207"/>
      <c r="R1278" s="209"/>
      <c r="AB1278" s="210"/>
      <c r="AG1278" s="210"/>
      <c r="AJ1278" s="210"/>
    </row>
    <row r="1279" spans="1:36" s="208" customFormat="1" x14ac:dyDescent="0.25">
      <c r="A1279" s="207"/>
      <c r="C1279" s="207"/>
      <c r="K1279" s="207"/>
      <c r="L1279" s="207"/>
      <c r="M1279" s="207"/>
      <c r="R1279" s="209"/>
      <c r="AB1279" s="210"/>
      <c r="AG1279" s="210"/>
      <c r="AJ1279" s="210"/>
    </row>
    <row r="1280" spans="1:36" s="208" customFormat="1" x14ac:dyDescent="0.25">
      <c r="A1280" s="207"/>
      <c r="C1280" s="207"/>
      <c r="K1280" s="207"/>
      <c r="L1280" s="207"/>
      <c r="M1280" s="207"/>
      <c r="R1280" s="209"/>
      <c r="AB1280" s="210"/>
      <c r="AG1280" s="210"/>
      <c r="AJ1280" s="210"/>
    </row>
    <row r="1281" spans="1:36" s="208" customFormat="1" x14ac:dyDescent="0.25">
      <c r="A1281" s="207"/>
      <c r="C1281" s="207"/>
      <c r="K1281" s="207"/>
      <c r="L1281" s="207"/>
      <c r="M1281" s="207"/>
      <c r="R1281" s="209"/>
      <c r="AB1281" s="210"/>
      <c r="AG1281" s="210"/>
      <c r="AJ1281" s="210"/>
    </row>
    <row r="1282" spans="1:36" s="208" customFormat="1" x14ac:dyDescent="0.25">
      <c r="A1282" s="207"/>
      <c r="C1282" s="207"/>
      <c r="K1282" s="207"/>
      <c r="L1282" s="207"/>
      <c r="M1282" s="207"/>
      <c r="R1282" s="209"/>
      <c r="AB1282" s="210"/>
      <c r="AG1282" s="210"/>
      <c r="AJ1282" s="210"/>
    </row>
    <row r="1283" spans="1:36" s="208" customFormat="1" x14ac:dyDescent="0.25">
      <c r="A1283" s="207"/>
      <c r="C1283" s="207"/>
      <c r="K1283" s="207"/>
      <c r="L1283" s="207"/>
      <c r="M1283" s="207"/>
      <c r="R1283" s="209"/>
      <c r="AB1283" s="210"/>
      <c r="AG1283" s="210"/>
      <c r="AJ1283" s="210"/>
    </row>
    <row r="1284" spans="1:36" s="208" customFormat="1" x14ac:dyDescent="0.25">
      <c r="A1284" s="207"/>
      <c r="C1284" s="207"/>
      <c r="K1284" s="207"/>
      <c r="L1284" s="207"/>
      <c r="M1284" s="207"/>
      <c r="R1284" s="209"/>
      <c r="AB1284" s="210"/>
      <c r="AG1284" s="210"/>
      <c r="AJ1284" s="210"/>
    </row>
    <row r="1285" spans="1:36" s="208" customFormat="1" x14ac:dyDescent="0.25">
      <c r="A1285" s="207"/>
      <c r="C1285" s="207"/>
      <c r="K1285" s="207"/>
      <c r="L1285" s="207"/>
      <c r="M1285" s="207"/>
      <c r="R1285" s="209"/>
      <c r="AB1285" s="210"/>
      <c r="AG1285" s="210"/>
      <c r="AJ1285" s="210"/>
    </row>
    <row r="1286" spans="1:36" s="208" customFormat="1" x14ac:dyDescent="0.25">
      <c r="A1286" s="207"/>
      <c r="C1286" s="207"/>
      <c r="K1286" s="207"/>
      <c r="L1286" s="207"/>
      <c r="M1286" s="207"/>
      <c r="R1286" s="209"/>
      <c r="AB1286" s="210"/>
      <c r="AG1286" s="210"/>
      <c r="AJ1286" s="210"/>
    </row>
    <row r="1287" spans="1:36" s="208" customFormat="1" x14ac:dyDescent="0.25">
      <c r="A1287" s="207"/>
      <c r="C1287" s="207"/>
      <c r="K1287" s="207"/>
      <c r="L1287" s="207"/>
      <c r="M1287" s="207"/>
      <c r="R1287" s="209"/>
      <c r="AB1287" s="210"/>
      <c r="AG1287" s="210"/>
      <c r="AJ1287" s="210"/>
    </row>
    <row r="1288" spans="1:36" s="208" customFormat="1" x14ac:dyDescent="0.25">
      <c r="A1288" s="207"/>
      <c r="C1288" s="207"/>
      <c r="K1288" s="207"/>
      <c r="L1288" s="207"/>
      <c r="M1288" s="207"/>
      <c r="R1288" s="209"/>
      <c r="AB1288" s="210"/>
      <c r="AG1288" s="210"/>
      <c r="AJ1288" s="210"/>
    </row>
    <row r="1289" spans="1:36" s="208" customFormat="1" x14ac:dyDescent="0.25">
      <c r="A1289" s="207"/>
      <c r="C1289" s="207"/>
      <c r="K1289" s="207"/>
      <c r="L1289" s="207"/>
      <c r="M1289" s="207"/>
      <c r="R1289" s="209"/>
      <c r="AB1289" s="210"/>
      <c r="AG1289" s="210"/>
      <c r="AJ1289" s="210"/>
    </row>
    <row r="1290" spans="1:36" s="208" customFormat="1" x14ac:dyDescent="0.25">
      <c r="A1290" s="207"/>
      <c r="C1290" s="207"/>
      <c r="K1290" s="207"/>
      <c r="L1290" s="207"/>
      <c r="M1290" s="207"/>
      <c r="R1290" s="209"/>
      <c r="AB1290" s="210"/>
      <c r="AG1290" s="210"/>
      <c r="AJ1290" s="210"/>
    </row>
    <row r="1291" spans="1:36" s="208" customFormat="1" x14ac:dyDescent="0.25">
      <c r="A1291" s="207"/>
      <c r="C1291" s="207"/>
      <c r="K1291" s="207"/>
      <c r="L1291" s="207"/>
      <c r="M1291" s="207"/>
      <c r="R1291" s="209"/>
      <c r="AB1291" s="210"/>
      <c r="AG1291" s="210"/>
      <c r="AJ1291" s="210"/>
    </row>
    <row r="1292" spans="1:36" s="208" customFormat="1" x14ac:dyDescent="0.25">
      <c r="A1292" s="207"/>
      <c r="C1292" s="207"/>
      <c r="K1292" s="207"/>
      <c r="L1292" s="207"/>
      <c r="M1292" s="207"/>
      <c r="R1292" s="209"/>
      <c r="AB1292" s="210"/>
      <c r="AG1292" s="210"/>
      <c r="AJ1292" s="210"/>
    </row>
    <row r="1293" spans="1:36" s="208" customFormat="1" x14ac:dyDescent="0.25">
      <c r="A1293" s="207"/>
      <c r="C1293" s="207"/>
      <c r="K1293" s="207"/>
      <c r="L1293" s="207"/>
      <c r="M1293" s="207"/>
      <c r="R1293" s="209"/>
      <c r="AB1293" s="210"/>
      <c r="AG1293" s="210"/>
      <c r="AJ1293" s="210"/>
    </row>
    <row r="1294" spans="1:36" s="208" customFormat="1" x14ac:dyDescent="0.25">
      <c r="A1294" s="207"/>
      <c r="C1294" s="207"/>
      <c r="K1294" s="207"/>
      <c r="L1294" s="207"/>
      <c r="M1294" s="207"/>
      <c r="R1294" s="209"/>
      <c r="AB1294" s="210"/>
      <c r="AG1294" s="210"/>
      <c r="AJ1294" s="210"/>
    </row>
    <row r="1295" spans="1:36" s="208" customFormat="1" x14ac:dyDescent="0.25">
      <c r="A1295" s="207"/>
      <c r="C1295" s="207"/>
      <c r="K1295" s="207"/>
      <c r="L1295" s="207"/>
      <c r="M1295" s="207"/>
      <c r="R1295" s="209"/>
      <c r="AB1295" s="210"/>
      <c r="AG1295" s="210"/>
      <c r="AJ1295" s="210"/>
    </row>
    <row r="1296" spans="1:36" s="208" customFormat="1" x14ac:dyDescent="0.25">
      <c r="A1296" s="207"/>
      <c r="C1296" s="207"/>
      <c r="K1296" s="207"/>
      <c r="L1296" s="207"/>
      <c r="M1296" s="207"/>
      <c r="R1296" s="209"/>
      <c r="AB1296" s="210"/>
      <c r="AG1296" s="210"/>
      <c r="AJ1296" s="210"/>
    </row>
    <row r="1297" spans="1:36" s="208" customFormat="1" x14ac:dyDescent="0.25">
      <c r="A1297" s="207"/>
      <c r="C1297" s="207"/>
      <c r="K1297" s="207"/>
      <c r="L1297" s="207"/>
      <c r="M1297" s="207"/>
      <c r="R1297" s="209"/>
      <c r="AB1297" s="210"/>
      <c r="AG1297" s="210"/>
      <c r="AJ1297" s="210"/>
    </row>
    <row r="1298" spans="1:36" s="208" customFormat="1" x14ac:dyDescent="0.25">
      <c r="A1298" s="207"/>
      <c r="C1298" s="207"/>
      <c r="K1298" s="207"/>
      <c r="L1298" s="207"/>
      <c r="M1298" s="207"/>
      <c r="R1298" s="209"/>
      <c r="AB1298" s="210"/>
      <c r="AG1298" s="210"/>
      <c r="AJ1298" s="210"/>
    </row>
    <row r="1299" spans="1:36" s="208" customFormat="1" x14ac:dyDescent="0.25">
      <c r="A1299" s="207"/>
      <c r="C1299" s="207"/>
      <c r="K1299" s="207"/>
      <c r="L1299" s="207"/>
      <c r="M1299" s="207"/>
      <c r="R1299" s="209"/>
      <c r="AB1299" s="210"/>
      <c r="AG1299" s="210"/>
      <c r="AJ1299" s="210"/>
    </row>
    <row r="1300" spans="1:36" s="208" customFormat="1" x14ac:dyDescent="0.25">
      <c r="A1300" s="207"/>
      <c r="C1300" s="207"/>
      <c r="K1300" s="207"/>
      <c r="L1300" s="207"/>
      <c r="M1300" s="207"/>
      <c r="R1300" s="209"/>
      <c r="AB1300" s="210"/>
      <c r="AG1300" s="210"/>
      <c r="AJ1300" s="210"/>
    </row>
    <row r="1301" spans="1:36" s="208" customFormat="1" x14ac:dyDescent="0.25">
      <c r="A1301" s="207"/>
      <c r="C1301" s="207"/>
      <c r="K1301" s="207"/>
      <c r="L1301" s="207"/>
      <c r="M1301" s="207"/>
      <c r="R1301" s="209"/>
      <c r="AB1301" s="210"/>
      <c r="AG1301" s="210"/>
      <c r="AJ1301" s="210"/>
    </row>
    <row r="1302" spans="1:36" s="208" customFormat="1" x14ac:dyDescent="0.25">
      <c r="A1302" s="207"/>
      <c r="C1302" s="207"/>
      <c r="K1302" s="207"/>
      <c r="L1302" s="207"/>
      <c r="M1302" s="207"/>
      <c r="R1302" s="209"/>
      <c r="AB1302" s="210"/>
      <c r="AG1302" s="210"/>
      <c r="AJ1302" s="210"/>
    </row>
    <row r="1303" spans="1:36" s="208" customFormat="1" x14ac:dyDescent="0.25">
      <c r="A1303" s="207"/>
      <c r="C1303" s="207"/>
      <c r="K1303" s="207"/>
      <c r="L1303" s="207"/>
      <c r="M1303" s="207"/>
      <c r="R1303" s="209"/>
      <c r="AB1303" s="210"/>
      <c r="AG1303" s="210"/>
      <c r="AJ1303" s="210"/>
    </row>
    <row r="1304" spans="1:36" s="208" customFormat="1" x14ac:dyDescent="0.25">
      <c r="A1304" s="207"/>
      <c r="C1304" s="207"/>
      <c r="K1304" s="207"/>
      <c r="L1304" s="207"/>
      <c r="M1304" s="207"/>
      <c r="R1304" s="209"/>
      <c r="AB1304" s="210"/>
      <c r="AG1304" s="210"/>
      <c r="AJ1304" s="210"/>
    </row>
    <row r="1305" spans="1:36" s="208" customFormat="1" x14ac:dyDescent="0.25">
      <c r="A1305" s="207"/>
      <c r="C1305" s="207"/>
      <c r="K1305" s="207"/>
      <c r="L1305" s="207"/>
      <c r="M1305" s="207"/>
      <c r="R1305" s="209"/>
      <c r="AB1305" s="210"/>
      <c r="AG1305" s="210"/>
      <c r="AJ1305" s="210"/>
    </row>
    <row r="1306" spans="1:36" s="208" customFormat="1" x14ac:dyDescent="0.25">
      <c r="A1306" s="207"/>
      <c r="C1306" s="207"/>
      <c r="K1306" s="207"/>
      <c r="L1306" s="207"/>
      <c r="M1306" s="207"/>
      <c r="R1306" s="209"/>
      <c r="AB1306" s="210"/>
      <c r="AG1306" s="210"/>
      <c r="AJ1306" s="210"/>
    </row>
    <row r="1307" spans="1:36" s="208" customFormat="1" x14ac:dyDescent="0.25">
      <c r="A1307" s="207"/>
      <c r="C1307" s="207"/>
      <c r="K1307" s="207"/>
      <c r="L1307" s="207"/>
      <c r="M1307" s="207"/>
      <c r="R1307" s="209"/>
      <c r="AB1307" s="210"/>
      <c r="AG1307" s="210"/>
      <c r="AJ1307" s="210"/>
    </row>
    <row r="1308" spans="1:36" s="208" customFormat="1" x14ac:dyDescent="0.25">
      <c r="A1308" s="207"/>
      <c r="C1308" s="207"/>
      <c r="K1308" s="207"/>
      <c r="L1308" s="207"/>
      <c r="M1308" s="207"/>
      <c r="R1308" s="209"/>
      <c r="AB1308" s="210"/>
      <c r="AG1308" s="210"/>
      <c r="AJ1308" s="210"/>
    </row>
    <row r="1309" spans="1:36" s="208" customFormat="1" x14ac:dyDescent="0.25">
      <c r="A1309" s="207"/>
      <c r="C1309" s="207"/>
      <c r="K1309" s="207"/>
      <c r="L1309" s="207"/>
      <c r="M1309" s="207"/>
      <c r="R1309" s="209"/>
      <c r="AB1309" s="210"/>
      <c r="AG1309" s="210"/>
      <c r="AJ1309" s="210"/>
    </row>
    <row r="1310" spans="1:36" s="208" customFormat="1" x14ac:dyDescent="0.25">
      <c r="A1310" s="207"/>
      <c r="C1310" s="207"/>
      <c r="K1310" s="207"/>
      <c r="L1310" s="207"/>
      <c r="M1310" s="207"/>
      <c r="R1310" s="209"/>
      <c r="AB1310" s="210"/>
      <c r="AG1310" s="210"/>
      <c r="AJ1310" s="210"/>
    </row>
    <row r="1311" spans="1:36" s="208" customFormat="1" x14ac:dyDescent="0.25">
      <c r="A1311" s="207"/>
      <c r="C1311" s="207"/>
      <c r="K1311" s="207"/>
      <c r="L1311" s="207"/>
      <c r="M1311" s="207"/>
      <c r="R1311" s="209"/>
      <c r="AB1311" s="210"/>
      <c r="AG1311" s="210"/>
      <c r="AJ1311" s="210"/>
    </row>
    <row r="1312" spans="1:36" s="208" customFormat="1" x14ac:dyDescent="0.25">
      <c r="A1312" s="207"/>
      <c r="C1312" s="207"/>
      <c r="K1312" s="207"/>
      <c r="L1312" s="207"/>
      <c r="M1312" s="207"/>
      <c r="R1312" s="209"/>
      <c r="AB1312" s="210"/>
      <c r="AG1312" s="210"/>
      <c r="AJ1312" s="210"/>
    </row>
    <row r="1313" spans="1:36" s="208" customFormat="1" x14ac:dyDescent="0.25">
      <c r="A1313" s="207"/>
      <c r="C1313" s="207"/>
      <c r="K1313" s="207"/>
      <c r="L1313" s="207"/>
      <c r="M1313" s="207"/>
      <c r="R1313" s="209"/>
      <c r="AB1313" s="210"/>
      <c r="AG1313" s="210"/>
      <c r="AJ1313" s="210"/>
    </row>
    <row r="1314" spans="1:36" s="208" customFormat="1" x14ac:dyDescent="0.25">
      <c r="A1314" s="207"/>
      <c r="C1314" s="207"/>
      <c r="K1314" s="207"/>
      <c r="L1314" s="207"/>
      <c r="M1314" s="207"/>
      <c r="R1314" s="209"/>
      <c r="AB1314" s="210"/>
      <c r="AG1314" s="210"/>
      <c r="AJ1314" s="210"/>
    </row>
    <row r="1315" spans="1:36" s="208" customFormat="1" x14ac:dyDescent="0.25">
      <c r="A1315" s="207"/>
      <c r="C1315" s="207"/>
      <c r="K1315" s="207"/>
      <c r="L1315" s="207"/>
      <c r="M1315" s="207"/>
      <c r="R1315" s="209"/>
      <c r="AB1315" s="210"/>
      <c r="AG1315" s="210"/>
      <c r="AJ1315" s="210"/>
    </row>
    <row r="1316" spans="1:36" s="208" customFormat="1" x14ac:dyDescent="0.25">
      <c r="A1316" s="207"/>
      <c r="C1316" s="207"/>
      <c r="K1316" s="207"/>
      <c r="L1316" s="207"/>
      <c r="M1316" s="207"/>
      <c r="R1316" s="209"/>
      <c r="AB1316" s="210"/>
      <c r="AG1316" s="210"/>
      <c r="AJ1316" s="210"/>
    </row>
    <row r="1317" spans="1:36" s="208" customFormat="1" x14ac:dyDescent="0.25">
      <c r="A1317" s="207"/>
      <c r="C1317" s="207"/>
      <c r="K1317" s="207"/>
      <c r="L1317" s="207"/>
      <c r="M1317" s="207"/>
      <c r="R1317" s="209"/>
      <c r="AB1317" s="210"/>
      <c r="AG1317" s="210"/>
      <c r="AJ1317" s="210"/>
    </row>
    <row r="1318" spans="1:36" s="208" customFormat="1" x14ac:dyDescent="0.25">
      <c r="A1318" s="207"/>
      <c r="C1318" s="207"/>
      <c r="K1318" s="207"/>
      <c r="L1318" s="207"/>
      <c r="M1318" s="207"/>
      <c r="R1318" s="209"/>
      <c r="AB1318" s="210"/>
      <c r="AG1318" s="210"/>
      <c r="AJ1318" s="210"/>
    </row>
    <row r="1319" spans="1:36" s="208" customFormat="1" x14ac:dyDescent="0.25">
      <c r="A1319" s="207"/>
      <c r="C1319" s="207"/>
      <c r="K1319" s="207"/>
      <c r="L1319" s="207"/>
      <c r="M1319" s="207"/>
      <c r="R1319" s="209"/>
      <c r="AB1319" s="210"/>
      <c r="AG1319" s="210"/>
      <c r="AJ1319" s="210"/>
    </row>
    <row r="1320" spans="1:36" s="208" customFormat="1" x14ac:dyDescent="0.25">
      <c r="A1320" s="207"/>
      <c r="C1320" s="207"/>
      <c r="K1320" s="207"/>
      <c r="L1320" s="207"/>
      <c r="M1320" s="207"/>
      <c r="R1320" s="209"/>
      <c r="AB1320" s="210"/>
      <c r="AG1320" s="210"/>
      <c r="AJ1320" s="210"/>
    </row>
    <row r="1321" spans="1:36" s="208" customFormat="1" x14ac:dyDescent="0.25">
      <c r="A1321" s="207"/>
      <c r="C1321" s="207"/>
      <c r="K1321" s="207"/>
      <c r="L1321" s="207"/>
      <c r="M1321" s="207"/>
      <c r="R1321" s="209"/>
      <c r="AB1321" s="210"/>
      <c r="AG1321" s="210"/>
      <c r="AJ1321" s="210"/>
    </row>
    <row r="1322" spans="1:36" s="208" customFormat="1" x14ac:dyDescent="0.25">
      <c r="A1322" s="207"/>
      <c r="C1322" s="207"/>
      <c r="K1322" s="207"/>
      <c r="L1322" s="207"/>
      <c r="M1322" s="207"/>
      <c r="R1322" s="209"/>
      <c r="AB1322" s="210"/>
      <c r="AG1322" s="210"/>
      <c r="AJ1322" s="210"/>
    </row>
    <row r="1323" spans="1:36" s="208" customFormat="1" x14ac:dyDescent="0.25">
      <c r="A1323" s="207"/>
      <c r="C1323" s="207"/>
      <c r="K1323" s="207"/>
      <c r="L1323" s="207"/>
      <c r="M1323" s="207"/>
      <c r="R1323" s="209"/>
      <c r="AB1323" s="210"/>
      <c r="AG1323" s="210"/>
      <c r="AJ1323" s="210"/>
    </row>
    <row r="1324" spans="1:36" s="208" customFormat="1" x14ac:dyDescent="0.25">
      <c r="A1324" s="207"/>
      <c r="C1324" s="207"/>
      <c r="K1324" s="207"/>
      <c r="L1324" s="207"/>
      <c r="M1324" s="207"/>
      <c r="R1324" s="209"/>
      <c r="AB1324" s="210"/>
      <c r="AG1324" s="210"/>
      <c r="AJ1324" s="210"/>
    </row>
    <row r="1325" spans="1:36" s="208" customFormat="1" x14ac:dyDescent="0.25">
      <c r="A1325" s="207"/>
      <c r="C1325" s="207"/>
      <c r="K1325" s="207"/>
      <c r="L1325" s="207"/>
      <c r="M1325" s="207"/>
      <c r="R1325" s="209"/>
      <c r="AB1325" s="210"/>
      <c r="AG1325" s="210"/>
      <c r="AJ1325" s="210"/>
    </row>
    <row r="1326" spans="1:36" s="208" customFormat="1" x14ac:dyDescent="0.25">
      <c r="A1326" s="207"/>
      <c r="C1326" s="207"/>
      <c r="K1326" s="207"/>
      <c r="L1326" s="207"/>
      <c r="M1326" s="207"/>
      <c r="R1326" s="209"/>
      <c r="AB1326" s="210"/>
      <c r="AG1326" s="210"/>
      <c r="AJ1326" s="210"/>
    </row>
    <row r="1327" spans="1:36" s="208" customFormat="1" x14ac:dyDescent="0.25">
      <c r="A1327" s="207"/>
      <c r="C1327" s="207"/>
      <c r="K1327" s="207"/>
      <c r="L1327" s="207"/>
      <c r="M1327" s="207"/>
      <c r="R1327" s="209"/>
      <c r="AB1327" s="210"/>
      <c r="AG1327" s="210"/>
      <c r="AJ1327" s="210"/>
    </row>
    <row r="1328" spans="1:36" s="208" customFormat="1" x14ac:dyDescent="0.25">
      <c r="A1328" s="207"/>
      <c r="C1328" s="207"/>
      <c r="K1328" s="207"/>
      <c r="L1328" s="207"/>
      <c r="M1328" s="207"/>
      <c r="R1328" s="209"/>
      <c r="AB1328" s="210"/>
      <c r="AG1328" s="210"/>
      <c r="AJ1328" s="210"/>
    </row>
    <row r="1329" spans="1:36" s="208" customFormat="1" x14ac:dyDescent="0.25">
      <c r="A1329" s="207"/>
      <c r="C1329" s="207"/>
      <c r="K1329" s="207"/>
      <c r="L1329" s="207"/>
      <c r="M1329" s="207"/>
      <c r="R1329" s="209"/>
      <c r="AB1329" s="210"/>
      <c r="AG1329" s="210"/>
      <c r="AJ1329" s="210"/>
    </row>
    <row r="1330" spans="1:36" s="208" customFormat="1" x14ac:dyDescent="0.25">
      <c r="A1330" s="207"/>
      <c r="C1330" s="207"/>
      <c r="K1330" s="207"/>
      <c r="L1330" s="207"/>
      <c r="M1330" s="207"/>
      <c r="R1330" s="209"/>
      <c r="AB1330" s="210"/>
      <c r="AG1330" s="210"/>
      <c r="AJ1330" s="210"/>
    </row>
    <row r="1331" spans="1:36" s="208" customFormat="1" x14ac:dyDescent="0.25">
      <c r="A1331" s="207"/>
      <c r="C1331" s="207"/>
      <c r="K1331" s="207"/>
      <c r="L1331" s="207"/>
      <c r="M1331" s="207"/>
      <c r="R1331" s="209"/>
      <c r="AB1331" s="210"/>
      <c r="AG1331" s="210"/>
      <c r="AJ1331" s="210"/>
    </row>
    <row r="1332" spans="1:36" s="208" customFormat="1" x14ac:dyDescent="0.25">
      <c r="A1332" s="207"/>
      <c r="C1332" s="207"/>
      <c r="K1332" s="207"/>
      <c r="L1332" s="207"/>
      <c r="M1332" s="207"/>
      <c r="R1332" s="209"/>
      <c r="AB1332" s="210"/>
      <c r="AG1332" s="210"/>
      <c r="AJ1332" s="210"/>
    </row>
    <row r="1333" spans="1:36" s="208" customFormat="1" x14ac:dyDescent="0.25">
      <c r="A1333" s="207"/>
      <c r="C1333" s="207"/>
      <c r="K1333" s="207"/>
      <c r="L1333" s="207"/>
      <c r="M1333" s="207"/>
      <c r="R1333" s="209"/>
      <c r="AB1333" s="210"/>
      <c r="AG1333" s="210"/>
      <c r="AJ1333" s="210"/>
    </row>
    <row r="1334" spans="1:36" s="208" customFormat="1" x14ac:dyDescent="0.25">
      <c r="A1334" s="207"/>
      <c r="C1334" s="207"/>
      <c r="K1334" s="207"/>
      <c r="L1334" s="207"/>
      <c r="M1334" s="207"/>
      <c r="R1334" s="209"/>
      <c r="AB1334" s="210"/>
      <c r="AG1334" s="210"/>
      <c r="AJ1334" s="210"/>
    </row>
    <row r="1335" spans="1:36" s="208" customFormat="1" x14ac:dyDescent="0.25">
      <c r="A1335" s="207"/>
      <c r="C1335" s="207"/>
      <c r="K1335" s="207"/>
      <c r="L1335" s="207"/>
      <c r="M1335" s="207"/>
      <c r="R1335" s="209"/>
      <c r="AB1335" s="210"/>
      <c r="AG1335" s="210"/>
      <c r="AJ1335" s="210"/>
    </row>
    <row r="1336" spans="1:36" s="208" customFormat="1" x14ac:dyDescent="0.25">
      <c r="A1336" s="207"/>
      <c r="C1336" s="207"/>
      <c r="K1336" s="207"/>
      <c r="L1336" s="207"/>
      <c r="M1336" s="207"/>
      <c r="R1336" s="209"/>
      <c r="AB1336" s="210"/>
      <c r="AG1336" s="210"/>
      <c r="AJ1336" s="210"/>
    </row>
    <row r="1337" spans="1:36" s="208" customFormat="1" x14ac:dyDescent="0.25">
      <c r="A1337" s="207"/>
      <c r="C1337" s="207"/>
      <c r="K1337" s="207"/>
      <c r="L1337" s="207"/>
      <c r="M1337" s="207"/>
      <c r="R1337" s="209"/>
      <c r="AB1337" s="210"/>
      <c r="AG1337" s="210"/>
      <c r="AJ1337" s="210"/>
    </row>
    <row r="1338" spans="1:36" s="208" customFormat="1" x14ac:dyDescent="0.25">
      <c r="A1338" s="207"/>
      <c r="C1338" s="207"/>
      <c r="K1338" s="207"/>
      <c r="L1338" s="207"/>
      <c r="M1338" s="207"/>
      <c r="R1338" s="209"/>
      <c r="AB1338" s="210"/>
      <c r="AG1338" s="210"/>
      <c r="AJ1338" s="210"/>
    </row>
    <row r="1339" spans="1:36" s="208" customFormat="1" x14ac:dyDescent="0.25">
      <c r="A1339" s="207"/>
      <c r="C1339" s="207"/>
      <c r="K1339" s="207"/>
      <c r="L1339" s="207"/>
      <c r="M1339" s="207"/>
      <c r="R1339" s="209"/>
      <c r="AB1339" s="210"/>
      <c r="AG1339" s="210"/>
      <c r="AJ1339" s="210"/>
    </row>
    <row r="1340" spans="1:36" s="208" customFormat="1" x14ac:dyDescent="0.25">
      <c r="A1340" s="207"/>
      <c r="C1340" s="207"/>
      <c r="K1340" s="207"/>
      <c r="L1340" s="207"/>
      <c r="M1340" s="207"/>
      <c r="R1340" s="209"/>
      <c r="AB1340" s="210"/>
      <c r="AG1340" s="210"/>
      <c r="AJ1340" s="210"/>
    </row>
    <row r="1341" spans="1:36" s="208" customFormat="1" x14ac:dyDescent="0.25">
      <c r="A1341" s="207"/>
      <c r="C1341" s="207"/>
      <c r="K1341" s="207"/>
      <c r="L1341" s="207"/>
      <c r="M1341" s="207"/>
      <c r="R1341" s="209"/>
      <c r="AB1341" s="210"/>
      <c r="AG1341" s="210"/>
      <c r="AJ1341" s="210"/>
    </row>
    <row r="1342" spans="1:36" s="208" customFormat="1" x14ac:dyDescent="0.25">
      <c r="A1342" s="207"/>
      <c r="C1342" s="207"/>
      <c r="K1342" s="207"/>
      <c r="L1342" s="207"/>
      <c r="M1342" s="207"/>
      <c r="R1342" s="209"/>
      <c r="AB1342" s="210"/>
      <c r="AG1342" s="210"/>
      <c r="AJ1342" s="210"/>
    </row>
    <row r="1343" spans="1:36" s="208" customFormat="1" x14ac:dyDescent="0.25">
      <c r="A1343" s="207"/>
      <c r="C1343" s="207"/>
      <c r="K1343" s="207"/>
      <c r="L1343" s="207"/>
      <c r="M1343" s="207"/>
      <c r="R1343" s="209"/>
      <c r="AB1343" s="210"/>
      <c r="AG1343" s="210"/>
      <c r="AJ1343" s="210"/>
    </row>
    <row r="1344" spans="1:36" s="208" customFormat="1" x14ac:dyDescent="0.25">
      <c r="A1344" s="207"/>
      <c r="C1344" s="207"/>
      <c r="K1344" s="207"/>
      <c r="L1344" s="207"/>
      <c r="M1344" s="207"/>
      <c r="R1344" s="209"/>
      <c r="AB1344" s="210"/>
      <c r="AG1344" s="210"/>
      <c r="AJ1344" s="210"/>
    </row>
    <row r="1345" spans="1:36" s="208" customFormat="1" x14ac:dyDescent="0.25">
      <c r="A1345" s="207"/>
      <c r="C1345" s="207"/>
      <c r="K1345" s="207"/>
      <c r="L1345" s="207"/>
      <c r="M1345" s="207"/>
      <c r="R1345" s="209"/>
      <c r="AB1345" s="210"/>
      <c r="AG1345" s="210"/>
      <c r="AJ1345" s="210"/>
    </row>
    <row r="1346" spans="1:36" s="208" customFormat="1" x14ac:dyDescent="0.25">
      <c r="A1346" s="207"/>
      <c r="C1346" s="207"/>
      <c r="K1346" s="207"/>
      <c r="L1346" s="207"/>
      <c r="M1346" s="207"/>
      <c r="R1346" s="209"/>
      <c r="AB1346" s="210"/>
      <c r="AG1346" s="210"/>
      <c r="AJ1346" s="210"/>
    </row>
    <row r="1347" spans="1:36" s="208" customFormat="1" x14ac:dyDescent="0.25">
      <c r="A1347" s="207"/>
      <c r="C1347" s="207"/>
      <c r="K1347" s="207"/>
      <c r="L1347" s="207"/>
      <c r="M1347" s="207"/>
      <c r="R1347" s="209"/>
      <c r="AB1347" s="210"/>
      <c r="AG1347" s="210"/>
      <c r="AJ1347" s="210"/>
    </row>
    <row r="1348" spans="1:36" s="208" customFormat="1" x14ac:dyDescent="0.25">
      <c r="A1348" s="207"/>
      <c r="C1348" s="207"/>
      <c r="K1348" s="207"/>
      <c r="L1348" s="207"/>
      <c r="M1348" s="207"/>
      <c r="R1348" s="209"/>
      <c r="AB1348" s="210"/>
      <c r="AG1348" s="210"/>
      <c r="AJ1348" s="210"/>
    </row>
    <row r="1349" spans="1:36" s="208" customFormat="1" x14ac:dyDescent="0.25">
      <c r="A1349" s="207"/>
      <c r="C1349" s="207"/>
      <c r="K1349" s="207"/>
      <c r="L1349" s="207"/>
      <c r="M1349" s="207"/>
      <c r="R1349" s="209"/>
      <c r="AB1349" s="210"/>
      <c r="AG1349" s="210"/>
      <c r="AJ1349" s="210"/>
    </row>
    <row r="1350" spans="1:36" s="208" customFormat="1" x14ac:dyDescent="0.25">
      <c r="A1350" s="207"/>
      <c r="C1350" s="207"/>
      <c r="K1350" s="207"/>
      <c r="L1350" s="207"/>
      <c r="M1350" s="207"/>
      <c r="R1350" s="209"/>
      <c r="AB1350" s="210"/>
      <c r="AG1350" s="210"/>
      <c r="AJ1350" s="210"/>
    </row>
    <row r="1351" spans="1:36" s="208" customFormat="1" x14ac:dyDescent="0.25">
      <c r="A1351" s="207"/>
      <c r="C1351" s="207"/>
      <c r="K1351" s="207"/>
      <c r="L1351" s="207"/>
      <c r="M1351" s="207"/>
      <c r="R1351" s="209"/>
      <c r="AB1351" s="210"/>
      <c r="AG1351" s="210"/>
      <c r="AJ1351" s="210"/>
    </row>
    <row r="1352" spans="1:36" s="208" customFormat="1" x14ac:dyDescent="0.25">
      <c r="A1352" s="207"/>
      <c r="C1352" s="207"/>
      <c r="K1352" s="207"/>
      <c r="L1352" s="207"/>
      <c r="M1352" s="207"/>
      <c r="R1352" s="209"/>
      <c r="AB1352" s="210"/>
      <c r="AG1352" s="210"/>
      <c r="AJ1352" s="210"/>
    </row>
    <row r="1353" spans="1:36" s="208" customFormat="1" x14ac:dyDescent="0.25">
      <c r="A1353" s="207"/>
      <c r="C1353" s="207"/>
      <c r="K1353" s="207"/>
      <c r="L1353" s="207"/>
      <c r="M1353" s="207"/>
      <c r="R1353" s="209"/>
      <c r="AB1353" s="210"/>
      <c r="AG1353" s="210"/>
      <c r="AJ1353" s="210"/>
    </row>
    <row r="1354" spans="1:36" s="208" customFormat="1" x14ac:dyDescent="0.25">
      <c r="A1354" s="207"/>
      <c r="C1354" s="207"/>
      <c r="K1354" s="207"/>
      <c r="L1354" s="207"/>
      <c r="M1354" s="207"/>
      <c r="R1354" s="209"/>
      <c r="AB1354" s="210"/>
      <c r="AG1354" s="210"/>
      <c r="AJ1354" s="210"/>
    </row>
    <row r="1355" spans="1:36" s="208" customFormat="1" x14ac:dyDescent="0.25">
      <c r="A1355" s="207"/>
      <c r="C1355" s="207"/>
      <c r="K1355" s="207"/>
      <c r="L1355" s="207"/>
      <c r="M1355" s="207"/>
      <c r="R1355" s="209"/>
      <c r="AB1355" s="210"/>
      <c r="AG1355" s="210"/>
      <c r="AJ1355" s="210"/>
    </row>
    <row r="1356" spans="1:36" s="208" customFormat="1" x14ac:dyDescent="0.25">
      <c r="A1356" s="207"/>
      <c r="C1356" s="207"/>
      <c r="K1356" s="207"/>
      <c r="L1356" s="207"/>
      <c r="M1356" s="207"/>
      <c r="R1356" s="209"/>
      <c r="AB1356" s="210"/>
      <c r="AG1356" s="210"/>
      <c r="AJ1356" s="210"/>
    </row>
    <row r="1357" spans="1:36" s="208" customFormat="1" x14ac:dyDescent="0.25">
      <c r="A1357" s="207"/>
      <c r="C1357" s="207"/>
      <c r="K1357" s="207"/>
      <c r="L1357" s="207"/>
      <c r="M1357" s="207"/>
      <c r="R1357" s="209"/>
      <c r="AB1357" s="210"/>
      <c r="AG1357" s="210"/>
      <c r="AJ1357" s="210"/>
    </row>
    <row r="1358" spans="1:36" s="208" customFormat="1" x14ac:dyDescent="0.25">
      <c r="A1358" s="207"/>
      <c r="C1358" s="207"/>
      <c r="K1358" s="207"/>
      <c r="L1358" s="207"/>
      <c r="M1358" s="207"/>
      <c r="R1358" s="209"/>
      <c r="AB1358" s="210"/>
      <c r="AG1358" s="210"/>
      <c r="AJ1358" s="210"/>
    </row>
    <row r="1359" spans="1:36" s="208" customFormat="1" x14ac:dyDescent="0.25">
      <c r="A1359" s="207"/>
      <c r="C1359" s="207"/>
      <c r="K1359" s="207"/>
      <c r="L1359" s="207"/>
      <c r="M1359" s="207"/>
      <c r="R1359" s="209"/>
      <c r="AB1359" s="210"/>
      <c r="AG1359" s="210"/>
      <c r="AJ1359" s="210"/>
    </row>
    <row r="1360" spans="1:36" s="208" customFormat="1" x14ac:dyDescent="0.25">
      <c r="A1360" s="207"/>
      <c r="C1360" s="207"/>
      <c r="K1360" s="207"/>
      <c r="L1360" s="207"/>
      <c r="M1360" s="207"/>
      <c r="R1360" s="209"/>
      <c r="AB1360" s="210"/>
      <c r="AG1360" s="210"/>
      <c r="AJ1360" s="210"/>
    </row>
    <row r="1361" spans="1:36" s="208" customFormat="1" x14ac:dyDescent="0.25">
      <c r="A1361" s="207"/>
      <c r="C1361" s="207"/>
      <c r="K1361" s="207"/>
      <c r="L1361" s="207"/>
      <c r="M1361" s="207"/>
      <c r="R1361" s="209"/>
      <c r="AB1361" s="210"/>
      <c r="AG1361" s="210"/>
      <c r="AJ1361" s="210"/>
    </row>
    <row r="1362" spans="1:36" s="208" customFormat="1" x14ac:dyDescent="0.25">
      <c r="A1362" s="207"/>
      <c r="C1362" s="207"/>
      <c r="K1362" s="207"/>
      <c r="L1362" s="207"/>
      <c r="M1362" s="207"/>
      <c r="R1362" s="209"/>
      <c r="AB1362" s="210"/>
      <c r="AG1362" s="210"/>
      <c r="AJ1362" s="210"/>
    </row>
    <row r="1363" spans="1:36" s="208" customFormat="1" x14ac:dyDescent="0.25">
      <c r="A1363" s="207"/>
      <c r="C1363" s="207"/>
      <c r="K1363" s="207"/>
      <c r="L1363" s="207"/>
      <c r="M1363" s="207"/>
      <c r="R1363" s="209"/>
      <c r="AB1363" s="210"/>
      <c r="AG1363" s="210"/>
      <c r="AJ1363" s="210"/>
    </row>
    <row r="1364" spans="1:36" s="208" customFormat="1" x14ac:dyDescent="0.25">
      <c r="A1364" s="207"/>
      <c r="C1364" s="207"/>
      <c r="K1364" s="207"/>
      <c r="L1364" s="207"/>
      <c r="M1364" s="207"/>
      <c r="R1364" s="209"/>
      <c r="AB1364" s="210"/>
      <c r="AG1364" s="210"/>
      <c r="AJ1364" s="210"/>
    </row>
    <row r="1365" spans="1:36" s="208" customFormat="1" x14ac:dyDescent="0.25">
      <c r="A1365" s="207"/>
      <c r="C1365" s="207"/>
      <c r="K1365" s="207"/>
      <c r="L1365" s="207"/>
      <c r="M1365" s="207"/>
      <c r="R1365" s="209"/>
      <c r="AB1365" s="210"/>
      <c r="AG1365" s="210"/>
      <c r="AJ1365" s="210"/>
    </row>
    <row r="1366" spans="1:36" s="208" customFormat="1" x14ac:dyDescent="0.25">
      <c r="A1366" s="207"/>
      <c r="C1366" s="207"/>
      <c r="K1366" s="207"/>
      <c r="L1366" s="207"/>
      <c r="M1366" s="207"/>
      <c r="R1366" s="209"/>
      <c r="AB1366" s="210"/>
      <c r="AG1366" s="210"/>
      <c r="AJ1366" s="210"/>
    </row>
    <row r="1367" spans="1:36" s="208" customFormat="1" x14ac:dyDescent="0.25">
      <c r="A1367" s="207"/>
      <c r="C1367" s="207"/>
      <c r="K1367" s="207"/>
      <c r="L1367" s="207"/>
      <c r="M1367" s="207"/>
      <c r="R1367" s="209"/>
      <c r="AB1367" s="210"/>
      <c r="AG1367" s="210"/>
      <c r="AJ1367" s="210"/>
    </row>
    <row r="1368" spans="1:36" s="208" customFormat="1" x14ac:dyDescent="0.25">
      <c r="A1368" s="207"/>
      <c r="C1368" s="207"/>
      <c r="K1368" s="207"/>
      <c r="L1368" s="207"/>
      <c r="M1368" s="207"/>
      <c r="R1368" s="209"/>
      <c r="AB1368" s="210"/>
      <c r="AG1368" s="210"/>
      <c r="AJ1368" s="210"/>
    </row>
    <row r="1369" spans="1:36" s="208" customFormat="1" x14ac:dyDescent="0.25">
      <c r="A1369" s="207"/>
      <c r="C1369" s="207"/>
      <c r="K1369" s="207"/>
      <c r="L1369" s="207"/>
      <c r="M1369" s="207"/>
      <c r="R1369" s="209"/>
      <c r="AB1369" s="210"/>
      <c r="AG1369" s="210"/>
      <c r="AJ1369" s="210"/>
    </row>
    <row r="1370" spans="1:36" s="208" customFormat="1" x14ac:dyDescent="0.25">
      <c r="A1370" s="207"/>
      <c r="C1370" s="207"/>
      <c r="K1370" s="207"/>
      <c r="L1370" s="207"/>
      <c r="M1370" s="207"/>
      <c r="R1370" s="209"/>
      <c r="AB1370" s="210"/>
      <c r="AG1370" s="210"/>
      <c r="AJ1370" s="210"/>
    </row>
    <row r="1371" spans="1:36" s="208" customFormat="1" x14ac:dyDescent="0.25">
      <c r="A1371" s="207"/>
      <c r="C1371" s="207"/>
      <c r="K1371" s="207"/>
      <c r="L1371" s="207"/>
      <c r="M1371" s="207"/>
      <c r="R1371" s="209"/>
      <c r="AB1371" s="210"/>
      <c r="AG1371" s="210"/>
      <c r="AJ1371" s="210"/>
    </row>
    <row r="1372" spans="1:36" s="208" customFormat="1" x14ac:dyDescent="0.25">
      <c r="A1372" s="207"/>
      <c r="C1372" s="207"/>
      <c r="K1372" s="207"/>
      <c r="L1372" s="207"/>
      <c r="M1372" s="207"/>
      <c r="R1372" s="209"/>
      <c r="AB1372" s="210"/>
      <c r="AG1372" s="210"/>
      <c r="AJ1372" s="210"/>
    </row>
    <row r="1373" spans="1:36" s="208" customFormat="1" x14ac:dyDescent="0.25">
      <c r="A1373" s="207"/>
      <c r="C1373" s="207"/>
      <c r="K1373" s="207"/>
      <c r="L1373" s="207"/>
      <c r="M1373" s="207"/>
      <c r="R1373" s="209"/>
      <c r="AB1373" s="210"/>
      <c r="AG1373" s="210"/>
      <c r="AJ1373" s="210"/>
    </row>
    <row r="1374" spans="1:36" s="208" customFormat="1" x14ac:dyDescent="0.25">
      <c r="A1374" s="207"/>
      <c r="C1374" s="207"/>
      <c r="K1374" s="207"/>
      <c r="L1374" s="207"/>
      <c r="M1374" s="207"/>
      <c r="R1374" s="209"/>
      <c r="AB1374" s="210"/>
      <c r="AG1374" s="210"/>
      <c r="AJ1374" s="210"/>
    </row>
    <row r="1375" spans="1:36" s="208" customFormat="1" x14ac:dyDescent="0.25">
      <c r="A1375" s="207"/>
      <c r="C1375" s="207"/>
      <c r="K1375" s="207"/>
      <c r="L1375" s="207"/>
      <c r="M1375" s="207"/>
      <c r="R1375" s="209"/>
      <c r="AB1375" s="210"/>
      <c r="AG1375" s="210"/>
      <c r="AJ1375" s="210"/>
    </row>
    <row r="1376" spans="1:36" s="208" customFormat="1" x14ac:dyDescent="0.25">
      <c r="A1376" s="207"/>
      <c r="C1376" s="207"/>
      <c r="K1376" s="207"/>
      <c r="L1376" s="207"/>
      <c r="M1376" s="207"/>
      <c r="R1376" s="209"/>
      <c r="AB1376" s="210"/>
      <c r="AG1376" s="210"/>
      <c r="AJ1376" s="210"/>
    </row>
    <row r="1377" spans="1:36" s="208" customFormat="1" x14ac:dyDescent="0.25">
      <c r="A1377" s="207"/>
      <c r="C1377" s="207"/>
      <c r="K1377" s="207"/>
      <c r="L1377" s="207"/>
      <c r="M1377" s="207"/>
      <c r="R1377" s="209"/>
      <c r="AB1377" s="210"/>
      <c r="AG1377" s="210"/>
      <c r="AJ1377" s="210"/>
    </row>
    <row r="1378" spans="1:36" s="208" customFormat="1" x14ac:dyDescent="0.25">
      <c r="A1378" s="207"/>
      <c r="C1378" s="207"/>
      <c r="K1378" s="207"/>
      <c r="L1378" s="207"/>
      <c r="M1378" s="207"/>
      <c r="R1378" s="209"/>
      <c r="AB1378" s="210"/>
      <c r="AG1378" s="210"/>
      <c r="AJ1378" s="210"/>
    </row>
    <row r="1379" spans="1:36" s="208" customFormat="1" x14ac:dyDescent="0.25">
      <c r="A1379" s="207"/>
      <c r="C1379" s="207"/>
      <c r="K1379" s="207"/>
      <c r="L1379" s="207"/>
      <c r="M1379" s="207"/>
      <c r="R1379" s="209"/>
      <c r="AB1379" s="210"/>
      <c r="AG1379" s="210"/>
      <c r="AJ1379" s="210"/>
    </row>
    <row r="1380" spans="1:36" s="208" customFormat="1" x14ac:dyDescent="0.25">
      <c r="A1380" s="207"/>
      <c r="C1380" s="207"/>
      <c r="K1380" s="207"/>
      <c r="L1380" s="207"/>
      <c r="M1380" s="207"/>
      <c r="R1380" s="209"/>
      <c r="AB1380" s="210"/>
      <c r="AG1380" s="210"/>
      <c r="AJ1380" s="210"/>
    </row>
    <row r="1381" spans="1:36" s="208" customFormat="1" x14ac:dyDescent="0.25">
      <c r="A1381" s="207"/>
      <c r="C1381" s="207"/>
      <c r="K1381" s="207"/>
      <c r="L1381" s="207"/>
      <c r="M1381" s="207"/>
      <c r="R1381" s="209"/>
      <c r="AB1381" s="210"/>
      <c r="AG1381" s="210"/>
      <c r="AJ1381" s="210"/>
    </row>
    <row r="1382" spans="1:36" s="208" customFormat="1" x14ac:dyDescent="0.25">
      <c r="A1382" s="207"/>
      <c r="C1382" s="207"/>
      <c r="K1382" s="207"/>
      <c r="L1382" s="207"/>
      <c r="M1382" s="207"/>
      <c r="R1382" s="209"/>
      <c r="AB1382" s="210"/>
      <c r="AG1382" s="210"/>
      <c r="AJ1382" s="210"/>
    </row>
    <row r="1383" spans="1:36" s="208" customFormat="1" x14ac:dyDescent="0.25">
      <c r="A1383" s="207"/>
      <c r="C1383" s="207"/>
      <c r="K1383" s="207"/>
      <c r="L1383" s="207"/>
      <c r="M1383" s="207"/>
      <c r="R1383" s="209"/>
      <c r="AB1383" s="210"/>
      <c r="AG1383" s="210"/>
      <c r="AJ1383" s="210"/>
    </row>
    <row r="1384" spans="1:36" s="208" customFormat="1" x14ac:dyDescent="0.25">
      <c r="A1384" s="207"/>
      <c r="C1384" s="207"/>
      <c r="K1384" s="207"/>
      <c r="L1384" s="207"/>
      <c r="M1384" s="207"/>
      <c r="R1384" s="209"/>
      <c r="AB1384" s="210"/>
      <c r="AG1384" s="210"/>
      <c r="AJ1384" s="210"/>
    </row>
    <row r="1385" spans="1:36" s="208" customFormat="1" x14ac:dyDescent="0.25">
      <c r="A1385" s="207"/>
      <c r="C1385" s="207"/>
      <c r="K1385" s="207"/>
      <c r="L1385" s="207"/>
      <c r="M1385" s="207"/>
      <c r="R1385" s="209"/>
      <c r="AB1385" s="210"/>
      <c r="AG1385" s="210"/>
      <c r="AJ1385" s="210"/>
    </row>
    <row r="1386" spans="1:36" s="208" customFormat="1" x14ac:dyDescent="0.25">
      <c r="A1386" s="207"/>
      <c r="C1386" s="207"/>
      <c r="K1386" s="207"/>
      <c r="L1386" s="207"/>
      <c r="M1386" s="207"/>
      <c r="R1386" s="209"/>
      <c r="AB1386" s="210"/>
      <c r="AG1386" s="210"/>
      <c r="AJ1386" s="210"/>
    </row>
    <row r="1387" spans="1:36" s="208" customFormat="1" x14ac:dyDescent="0.25">
      <c r="A1387" s="207"/>
      <c r="C1387" s="207"/>
      <c r="K1387" s="207"/>
      <c r="L1387" s="207"/>
      <c r="M1387" s="207"/>
      <c r="R1387" s="209"/>
      <c r="AB1387" s="210"/>
      <c r="AG1387" s="210"/>
      <c r="AJ1387" s="210"/>
    </row>
    <row r="1388" spans="1:36" s="208" customFormat="1" x14ac:dyDescent="0.25">
      <c r="A1388" s="207"/>
      <c r="C1388" s="207"/>
      <c r="K1388" s="207"/>
      <c r="L1388" s="207"/>
      <c r="M1388" s="207"/>
      <c r="R1388" s="209"/>
      <c r="AB1388" s="210"/>
      <c r="AG1388" s="210"/>
      <c r="AJ1388" s="210"/>
    </row>
    <row r="1389" spans="1:36" s="208" customFormat="1" x14ac:dyDescent="0.25">
      <c r="A1389" s="207"/>
      <c r="C1389" s="207"/>
      <c r="K1389" s="207"/>
      <c r="L1389" s="207"/>
      <c r="M1389" s="207"/>
      <c r="R1389" s="209"/>
      <c r="AB1389" s="210"/>
      <c r="AG1389" s="210"/>
      <c r="AJ1389" s="210"/>
    </row>
    <row r="1390" spans="1:36" s="208" customFormat="1" x14ac:dyDescent="0.25">
      <c r="A1390" s="207"/>
      <c r="C1390" s="207"/>
      <c r="K1390" s="207"/>
      <c r="L1390" s="207"/>
      <c r="M1390" s="207"/>
      <c r="R1390" s="209"/>
      <c r="AB1390" s="210"/>
      <c r="AG1390" s="210"/>
      <c r="AJ1390" s="210"/>
    </row>
    <row r="1391" spans="1:36" s="208" customFormat="1" x14ac:dyDescent="0.25">
      <c r="A1391" s="207"/>
      <c r="C1391" s="207"/>
      <c r="K1391" s="207"/>
      <c r="L1391" s="207"/>
      <c r="M1391" s="207"/>
      <c r="R1391" s="209"/>
      <c r="AB1391" s="210"/>
      <c r="AG1391" s="210"/>
      <c r="AJ1391" s="210"/>
    </row>
    <row r="1392" spans="1:36" s="208" customFormat="1" x14ac:dyDescent="0.25">
      <c r="A1392" s="207"/>
      <c r="C1392" s="207"/>
      <c r="K1392" s="207"/>
      <c r="L1392" s="207"/>
      <c r="M1392" s="207"/>
      <c r="R1392" s="209"/>
      <c r="AB1392" s="210"/>
      <c r="AG1392" s="210"/>
      <c r="AJ1392" s="210"/>
    </row>
    <row r="1393" spans="1:36" s="208" customFormat="1" x14ac:dyDescent="0.25">
      <c r="A1393" s="207"/>
      <c r="C1393" s="207"/>
      <c r="K1393" s="207"/>
      <c r="L1393" s="207"/>
      <c r="M1393" s="207"/>
      <c r="R1393" s="209"/>
      <c r="AB1393" s="210"/>
      <c r="AG1393" s="210"/>
      <c r="AJ1393" s="210"/>
    </row>
    <row r="1394" spans="1:36" s="208" customFormat="1" x14ac:dyDescent="0.25">
      <c r="A1394" s="207"/>
      <c r="C1394" s="207"/>
      <c r="K1394" s="207"/>
      <c r="L1394" s="207"/>
      <c r="M1394" s="207"/>
      <c r="R1394" s="209"/>
      <c r="AB1394" s="210"/>
      <c r="AG1394" s="210"/>
      <c r="AJ1394" s="210"/>
    </row>
    <row r="1395" spans="1:36" s="208" customFormat="1" x14ac:dyDescent="0.25">
      <c r="A1395" s="207"/>
      <c r="C1395" s="207"/>
      <c r="K1395" s="207"/>
      <c r="L1395" s="207"/>
      <c r="M1395" s="207"/>
      <c r="R1395" s="209"/>
      <c r="AB1395" s="210"/>
      <c r="AG1395" s="210"/>
      <c r="AJ1395" s="210"/>
    </row>
    <row r="1396" spans="1:36" s="208" customFormat="1" x14ac:dyDescent="0.25">
      <c r="A1396" s="207"/>
      <c r="C1396" s="207"/>
      <c r="K1396" s="207"/>
      <c r="L1396" s="207"/>
      <c r="M1396" s="207"/>
      <c r="R1396" s="209"/>
      <c r="AB1396" s="210"/>
      <c r="AG1396" s="210"/>
      <c r="AJ1396" s="210"/>
    </row>
    <row r="1397" spans="1:36" s="208" customFormat="1" x14ac:dyDescent="0.25">
      <c r="A1397" s="207"/>
      <c r="C1397" s="207"/>
      <c r="K1397" s="207"/>
      <c r="L1397" s="207"/>
      <c r="M1397" s="207"/>
      <c r="R1397" s="209"/>
      <c r="AB1397" s="210"/>
      <c r="AG1397" s="210"/>
      <c r="AJ1397" s="210"/>
    </row>
    <row r="1398" spans="1:36" s="208" customFormat="1" x14ac:dyDescent="0.25">
      <c r="A1398" s="207"/>
      <c r="C1398" s="207"/>
      <c r="K1398" s="207"/>
      <c r="L1398" s="207"/>
      <c r="M1398" s="207"/>
      <c r="R1398" s="209"/>
      <c r="AB1398" s="210"/>
      <c r="AG1398" s="210"/>
      <c r="AJ1398" s="210"/>
    </row>
    <row r="1399" spans="1:36" s="208" customFormat="1" x14ac:dyDescent="0.25">
      <c r="A1399" s="207"/>
      <c r="C1399" s="207"/>
      <c r="K1399" s="207"/>
      <c r="L1399" s="207"/>
      <c r="M1399" s="207"/>
      <c r="R1399" s="209"/>
      <c r="AB1399" s="210"/>
      <c r="AG1399" s="210"/>
      <c r="AJ1399" s="210"/>
    </row>
    <row r="1400" spans="1:36" s="208" customFormat="1" x14ac:dyDescent="0.25">
      <c r="A1400" s="207"/>
      <c r="C1400" s="207"/>
      <c r="K1400" s="207"/>
      <c r="L1400" s="207"/>
      <c r="M1400" s="207"/>
      <c r="R1400" s="209"/>
      <c r="AB1400" s="210"/>
      <c r="AG1400" s="210"/>
      <c r="AJ1400" s="210"/>
    </row>
    <row r="1401" spans="1:36" s="208" customFormat="1" x14ac:dyDescent="0.25">
      <c r="A1401" s="207"/>
      <c r="C1401" s="207"/>
      <c r="K1401" s="207"/>
      <c r="L1401" s="207"/>
      <c r="M1401" s="207"/>
      <c r="R1401" s="209"/>
      <c r="AB1401" s="210"/>
      <c r="AG1401" s="210"/>
      <c r="AJ1401" s="210"/>
    </row>
    <row r="1402" spans="1:36" s="208" customFormat="1" x14ac:dyDescent="0.25">
      <c r="A1402" s="207"/>
      <c r="C1402" s="207"/>
      <c r="K1402" s="207"/>
      <c r="L1402" s="207"/>
      <c r="M1402" s="207"/>
      <c r="R1402" s="209"/>
      <c r="AB1402" s="210"/>
      <c r="AG1402" s="210"/>
      <c r="AJ1402" s="210"/>
    </row>
    <row r="1403" spans="1:36" s="208" customFormat="1" x14ac:dyDescent="0.25">
      <c r="A1403" s="207"/>
      <c r="C1403" s="207"/>
      <c r="K1403" s="207"/>
      <c r="L1403" s="207"/>
      <c r="M1403" s="207"/>
      <c r="R1403" s="209"/>
      <c r="AB1403" s="210"/>
      <c r="AG1403" s="210"/>
      <c r="AJ1403" s="210"/>
    </row>
    <row r="1404" spans="1:36" s="208" customFormat="1" x14ac:dyDescent="0.25">
      <c r="A1404" s="207"/>
      <c r="C1404" s="207"/>
      <c r="K1404" s="207"/>
      <c r="L1404" s="207"/>
      <c r="M1404" s="207"/>
      <c r="R1404" s="209"/>
      <c r="AB1404" s="210"/>
      <c r="AG1404" s="210"/>
      <c r="AJ1404" s="210"/>
    </row>
    <row r="1405" spans="1:36" s="208" customFormat="1" x14ac:dyDescent="0.25">
      <c r="A1405" s="207"/>
      <c r="C1405" s="207"/>
      <c r="K1405" s="207"/>
      <c r="L1405" s="207"/>
      <c r="M1405" s="207"/>
      <c r="R1405" s="209"/>
      <c r="AB1405" s="210"/>
      <c r="AG1405" s="210"/>
      <c r="AJ1405" s="210"/>
    </row>
    <row r="1406" spans="1:36" s="208" customFormat="1" x14ac:dyDescent="0.25">
      <c r="A1406" s="207"/>
      <c r="C1406" s="207"/>
      <c r="K1406" s="207"/>
      <c r="L1406" s="207"/>
      <c r="M1406" s="207"/>
      <c r="R1406" s="209"/>
      <c r="AB1406" s="210"/>
      <c r="AG1406" s="210"/>
      <c r="AJ1406" s="210"/>
    </row>
    <row r="1407" spans="1:36" s="208" customFormat="1" x14ac:dyDescent="0.25">
      <c r="A1407" s="207"/>
      <c r="C1407" s="207"/>
      <c r="K1407" s="207"/>
      <c r="L1407" s="207"/>
      <c r="M1407" s="207"/>
      <c r="R1407" s="209"/>
      <c r="AB1407" s="210"/>
      <c r="AG1407" s="210"/>
      <c r="AJ1407" s="210"/>
    </row>
    <row r="1408" spans="1:36" s="208" customFormat="1" x14ac:dyDescent="0.25">
      <c r="A1408" s="207"/>
      <c r="C1408" s="207"/>
      <c r="K1408" s="207"/>
      <c r="L1408" s="207"/>
      <c r="M1408" s="207"/>
      <c r="R1408" s="209"/>
      <c r="AB1408" s="210"/>
      <c r="AG1408" s="210"/>
      <c r="AJ1408" s="210"/>
    </row>
    <row r="1409" spans="1:36" s="208" customFormat="1" x14ac:dyDescent="0.25">
      <c r="A1409" s="207"/>
      <c r="C1409" s="207"/>
      <c r="K1409" s="207"/>
      <c r="L1409" s="207"/>
      <c r="M1409" s="207"/>
      <c r="R1409" s="209"/>
      <c r="AB1409" s="210"/>
      <c r="AG1409" s="210"/>
      <c r="AJ1409" s="210"/>
    </row>
    <row r="1410" spans="1:36" s="208" customFormat="1" x14ac:dyDescent="0.25">
      <c r="A1410" s="207"/>
      <c r="C1410" s="207"/>
      <c r="K1410" s="207"/>
      <c r="L1410" s="207"/>
      <c r="M1410" s="207"/>
      <c r="R1410" s="209"/>
      <c r="AB1410" s="210"/>
      <c r="AG1410" s="210"/>
      <c r="AJ1410" s="210"/>
    </row>
    <row r="1411" spans="1:36" s="208" customFormat="1" x14ac:dyDescent="0.25">
      <c r="A1411" s="207"/>
      <c r="C1411" s="207"/>
      <c r="K1411" s="207"/>
      <c r="L1411" s="207"/>
      <c r="M1411" s="207"/>
      <c r="R1411" s="209"/>
      <c r="AB1411" s="210"/>
      <c r="AG1411" s="210"/>
      <c r="AJ1411" s="210"/>
    </row>
    <row r="1412" spans="1:36" s="208" customFormat="1" x14ac:dyDescent="0.25">
      <c r="A1412" s="207"/>
      <c r="C1412" s="207"/>
      <c r="K1412" s="207"/>
      <c r="L1412" s="207"/>
      <c r="M1412" s="207"/>
      <c r="R1412" s="209"/>
      <c r="AB1412" s="210"/>
      <c r="AG1412" s="210"/>
      <c r="AJ1412" s="210"/>
    </row>
    <row r="1413" spans="1:36" s="208" customFormat="1" x14ac:dyDescent="0.25">
      <c r="A1413" s="207"/>
      <c r="C1413" s="207"/>
      <c r="K1413" s="207"/>
      <c r="L1413" s="207"/>
      <c r="M1413" s="207"/>
      <c r="R1413" s="209"/>
      <c r="AB1413" s="210"/>
      <c r="AG1413" s="210"/>
      <c r="AJ1413" s="210"/>
    </row>
    <row r="1414" spans="1:36" s="208" customFormat="1" x14ac:dyDescent="0.25">
      <c r="A1414" s="207"/>
      <c r="C1414" s="207"/>
      <c r="K1414" s="207"/>
      <c r="L1414" s="207"/>
      <c r="M1414" s="207"/>
      <c r="R1414" s="209"/>
      <c r="AB1414" s="210"/>
      <c r="AG1414" s="210"/>
      <c r="AJ1414" s="210"/>
    </row>
    <row r="1415" spans="1:36" s="208" customFormat="1" x14ac:dyDescent="0.25">
      <c r="A1415" s="207"/>
      <c r="C1415" s="207"/>
      <c r="K1415" s="207"/>
      <c r="L1415" s="207"/>
      <c r="M1415" s="207"/>
      <c r="R1415" s="209"/>
      <c r="AB1415" s="210"/>
      <c r="AG1415" s="210"/>
      <c r="AJ1415" s="210"/>
    </row>
    <row r="1416" spans="1:36" s="208" customFormat="1" x14ac:dyDescent="0.25">
      <c r="A1416" s="207"/>
      <c r="C1416" s="207"/>
      <c r="K1416" s="207"/>
      <c r="L1416" s="207"/>
      <c r="M1416" s="207"/>
      <c r="R1416" s="209"/>
      <c r="AB1416" s="210"/>
      <c r="AG1416" s="210"/>
      <c r="AJ1416" s="210"/>
    </row>
    <row r="1417" spans="1:36" s="208" customFormat="1" x14ac:dyDescent="0.25">
      <c r="A1417" s="207"/>
      <c r="C1417" s="207"/>
      <c r="K1417" s="207"/>
      <c r="L1417" s="207"/>
      <c r="M1417" s="207"/>
      <c r="R1417" s="209"/>
      <c r="AB1417" s="210"/>
      <c r="AG1417" s="210"/>
      <c r="AJ1417" s="210"/>
    </row>
    <row r="1418" spans="1:36" s="208" customFormat="1" x14ac:dyDescent="0.25">
      <c r="A1418" s="207"/>
      <c r="C1418" s="207"/>
      <c r="K1418" s="207"/>
      <c r="L1418" s="207"/>
      <c r="M1418" s="207"/>
      <c r="R1418" s="209"/>
      <c r="AB1418" s="210"/>
      <c r="AG1418" s="210"/>
      <c r="AJ1418" s="210"/>
    </row>
    <row r="1419" spans="1:36" s="208" customFormat="1" x14ac:dyDescent="0.25">
      <c r="A1419" s="207"/>
      <c r="C1419" s="207"/>
      <c r="K1419" s="207"/>
      <c r="L1419" s="207"/>
      <c r="M1419" s="207"/>
      <c r="R1419" s="209"/>
      <c r="AB1419" s="210"/>
      <c r="AG1419" s="210"/>
      <c r="AJ1419" s="210"/>
    </row>
    <row r="1420" spans="1:36" s="208" customFormat="1" x14ac:dyDescent="0.25">
      <c r="A1420" s="207"/>
      <c r="C1420" s="207"/>
      <c r="K1420" s="207"/>
      <c r="L1420" s="207"/>
      <c r="M1420" s="207"/>
      <c r="R1420" s="209"/>
      <c r="AB1420" s="210"/>
      <c r="AG1420" s="210"/>
      <c r="AJ1420" s="210"/>
    </row>
    <row r="1421" spans="1:36" s="208" customFormat="1" x14ac:dyDescent="0.25">
      <c r="A1421" s="207"/>
      <c r="C1421" s="207"/>
      <c r="K1421" s="207"/>
      <c r="L1421" s="207"/>
      <c r="M1421" s="207"/>
      <c r="R1421" s="209"/>
      <c r="AB1421" s="210"/>
      <c r="AG1421" s="210"/>
      <c r="AJ1421" s="210"/>
    </row>
    <row r="1422" spans="1:36" s="208" customFormat="1" x14ac:dyDescent="0.25">
      <c r="A1422" s="207"/>
      <c r="C1422" s="207"/>
      <c r="K1422" s="207"/>
      <c r="L1422" s="207"/>
      <c r="M1422" s="207"/>
      <c r="R1422" s="209"/>
      <c r="AB1422" s="210"/>
      <c r="AG1422" s="210"/>
      <c r="AJ1422" s="210"/>
    </row>
    <row r="1423" spans="1:36" s="208" customFormat="1" x14ac:dyDescent="0.25">
      <c r="A1423" s="207"/>
      <c r="C1423" s="207"/>
      <c r="K1423" s="207"/>
      <c r="L1423" s="207"/>
      <c r="M1423" s="207"/>
      <c r="R1423" s="209"/>
      <c r="AB1423" s="210"/>
      <c r="AG1423" s="210"/>
      <c r="AJ1423" s="210"/>
    </row>
    <row r="1424" spans="1:36" s="208" customFormat="1" x14ac:dyDescent="0.25">
      <c r="A1424" s="207"/>
      <c r="C1424" s="207"/>
      <c r="K1424" s="207"/>
      <c r="L1424" s="207"/>
      <c r="M1424" s="207"/>
      <c r="R1424" s="209"/>
      <c r="AB1424" s="210"/>
      <c r="AG1424" s="210"/>
      <c r="AJ1424" s="210"/>
    </row>
    <row r="1425" spans="1:36" s="208" customFormat="1" x14ac:dyDescent="0.25">
      <c r="A1425" s="207"/>
      <c r="C1425" s="207"/>
      <c r="K1425" s="207"/>
      <c r="L1425" s="207"/>
      <c r="M1425" s="207"/>
      <c r="R1425" s="209"/>
      <c r="AB1425" s="210"/>
      <c r="AG1425" s="210"/>
      <c r="AJ1425" s="210"/>
    </row>
    <row r="1426" spans="1:36" s="208" customFormat="1" x14ac:dyDescent="0.25">
      <c r="A1426" s="207"/>
      <c r="C1426" s="207"/>
      <c r="K1426" s="207"/>
      <c r="L1426" s="207"/>
      <c r="M1426" s="207"/>
      <c r="R1426" s="209"/>
      <c r="AB1426" s="210"/>
      <c r="AG1426" s="210"/>
      <c r="AJ1426" s="210"/>
    </row>
    <row r="1427" spans="1:36" s="208" customFormat="1" x14ac:dyDescent="0.25">
      <c r="A1427" s="207"/>
      <c r="C1427" s="207"/>
      <c r="K1427" s="207"/>
      <c r="L1427" s="207"/>
      <c r="M1427" s="207"/>
      <c r="R1427" s="209"/>
      <c r="AB1427" s="210"/>
      <c r="AG1427" s="210"/>
      <c r="AJ1427" s="210"/>
    </row>
    <row r="1428" spans="1:36" s="208" customFormat="1" x14ac:dyDescent="0.25">
      <c r="A1428" s="207"/>
      <c r="C1428" s="207"/>
      <c r="K1428" s="207"/>
      <c r="L1428" s="207"/>
      <c r="M1428" s="207"/>
      <c r="R1428" s="209"/>
      <c r="AB1428" s="210"/>
      <c r="AG1428" s="210"/>
      <c r="AJ1428" s="210"/>
    </row>
    <row r="1429" spans="1:36" s="208" customFormat="1" x14ac:dyDescent="0.25">
      <c r="A1429" s="207"/>
      <c r="C1429" s="207"/>
      <c r="K1429" s="207"/>
      <c r="L1429" s="207"/>
      <c r="M1429" s="207"/>
      <c r="R1429" s="209"/>
      <c r="AB1429" s="210"/>
      <c r="AG1429" s="210"/>
      <c r="AJ1429" s="210"/>
    </row>
    <row r="1430" spans="1:36" s="208" customFormat="1" x14ac:dyDescent="0.25">
      <c r="A1430" s="207"/>
      <c r="C1430" s="207"/>
      <c r="K1430" s="207"/>
      <c r="L1430" s="207"/>
      <c r="M1430" s="207"/>
      <c r="R1430" s="209"/>
      <c r="AB1430" s="210"/>
      <c r="AG1430" s="210"/>
      <c r="AJ1430" s="210"/>
    </row>
    <row r="1431" spans="1:36" s="208" customFormat="1" x14ac:dyDescent="0.25">
      <c r="A1431" s="207"/>
      <c r="C1431" s="207"/>
      <c r="K1431" s="207"/>
      <c r="L1431" s="207"/>
      <c r="M1431" s="207"/>
      <c r="R1431" s="209"/>
      <c r="AB1431" s="210"/>
      <c r="AG1431" s="210"/>
      <c r="AJ1431" s="210"/>
    </row>
    <row r="1432" spans="1:36" s="208" customFormat="1" x14ac:dyDescent="0.25">
      <c r="A1432" s="207"/>
      <c r="C1432" s="207"/>
      <c r="K1432" s="207"/>
      <c r="L1432" s="207"/>
      <c r="M1432" s="207"/>
      <c r="R1432" s="209"/>
      <c r="AB1432" s="210"/>
      <c r="AG1432" s="210"/>
      <c r="AJ1432" s="210"/>
    </row>
    <row r="1433" spans="1:36" s="208" customFormat="1" x14ac:dyDescent="0.25">
      <c r="A1433" s="207"/>
      <c r="C1433" s="207"/>
      <c r="K1433" s="207"/>
      <c r="L1433" s="207"/>
      <c r="M1433" s="207"/>
      <c r="R1433" s="209"/>
      <c r="AB1433" s="210"/>
      <c r="AG1433" s="210"/>
      <c r="AJ1433" s="210"/>
    </row>
    <row r="1434" spans="1:36" s="208" customFormat="1" x14ac:dyDescent="0.25">
      <c r="A1434" s="207"/>
      <c r="C1434" s="207"/>
      <c r="K1434" s="207"/>
      <c r="L1434" s="207"/>
      <c r="M1434" s="207"/>
      <c r="R1434" s="209"/>
      <c r="AB1434" s="210"/>
      <c r="AG1434" s="210"/>
      <c r="AJ1434" s="210"/>
    </row>
    <row r="1435" spans="1:36" s="208" customFormat="1" x14ac:dyDescent="0.25">
      <c r="A1435" s="207"/>
      <c r="C1435" s="207"/>
      <c r="K1435" s="207"/>
      <c r="L1435" s="207"/>
      <c r="M1435" s="207"/>
      <c r="R1435" s="209"/>
      <c r="AB1435" s="210"/>
      <c r="AG1435" s="210"/>
      <c r="AJ1435" s="210"/>
    </row>
    <row r="1436" spans="1:36" s="208" customFormat="1" x14ac:dyDescent="0.25">
      <c r="A1436" s="207"/>
      <c r="C1436" s="207"/>
      <c r="K1436" s="207"/>
      <c r="L1436" s="207"/>
      <c r="M1436" s="207"/>
      <c r="R1436" s="209"/>
      <c r="AB1436" s="210"/>
      <c r="AG1436" s="210"/>
      <c r="AJ1436" s="210"/>
    </row>
    <row r="1437" spans="1:36" s="208" customFormat="1" x14ac:dyDescent="0.25">
      <c r="A1437" s="207"/>
      <c r="C1437" s="207"/>
      <c r="K1437" s="207"/>
      <c r="L1437" s="207"/>
      <c r="M1437" s="207"/>
      <c r="R1437" s="209"/>
      <c r="AB1437" s="210"/>
      <c r="AG1437" s="210"/>
      <c r="AJ1437" s="210"/>
    </row>
    <row r="1438" spans="1:36" s="208" customFormat="1" x14ac:dyDescent="0.25">
      <c r="A1438" s="207"/>
      <c r="C1438" s="207"/>
      <c r="K1438" s="207"/>
      <c r="L1438" s="207"/>
      <c r="M1438" s="207"/>
      <c r="R1438" s="209"/>
      <c r="AB1438" s="210"/>
      <c r="AG1438" s="210"/>
      <c r="AJ1438" s="210"/>
    </row>
    <row r="1439" spans="1:36" s="208" customFormat="1" x14ac:dyDescent="0.25">
      <c r="A1439" s="207"/>
      <c r="C1439" s="207"/>
      <c r="K1439" s="207"/>
      <c r="L1439" s="207"/>
      <c r="M1439" s="207"/>
      <c r="R1439" s="209"/>
      <c r="AB1439" s="210"/>
      <c r="AG1439" s="210"/>
      <c r="AJ1439" s="210"/>
    </row>
    <row r="1440" spans="1:36" s="208" customFormat="1" x14ac:dyDescent="0.25">
      <c r="A1440" s="207"/>
      <c r="C1440" s="207"/>
      <c r="K1440" s="207"/>
      <c r="L1440" s="207"/>
      <c r="M1440" s="207"/>
      <c r="R1440" s="209"/>
      <c r="AB1440" s="210"/>
      <c r="AG1440" s="210"/>
      <c r="AJ1440" s="210"/>
    </row>
    <row r="1441" spans="1:36" s="208" customFormat="1" x14ac:dyDescent="0.25">
      <c r="A1441" s="207"/>
      <c r="C1441" s="207"/>
      <c r="K1441" s="207"/>
      <c r="L1441" s="207"/>
      <c r="M1441" s="207"/>
      <c r="R1441" s="209"/>
      <c r="AB1441" s="210"/>
      <c r="AG1441" s="210"/>
      <c r="AJ1441" s="210"/>
    </row>
    <row r="1442" spans="1:36" s="208" customFormat="1" x14ac:dyDescent="0.25">
      <c r="A1442" s="207"/>
      <c r="C1442" s="207"/>
      <c r="K1442" s="207"/>
      <c r="L1442" s="207"/>
      <c r="M1442" s="207"/>
      <c r="R1442" s="209"/>
      <c r="AB1442" s="210"/>
      <c r="AG1442" s="210"/>
      <c r="AJ1442" s="210"/>
    </row>
    <row r="1443" spans="1:36" s="208" customFormat="1" x14ac:dyDescent="0.25">
      <c r="A1443" s="207"/>
      <c r="C1443" s="207"/>
      <c r="K1443" s="207"/>
      <c r="L1443" s="207"/>
      <c r="M1443" s="207"/>
      <c r="R1443" s="209"/>
      <c r="AB1443" s="210"/>
      <c r="AG1443" s="210"/>
      <c r="AJ1443" s="210"/>
    </row>
    <row r="1444" spans="1:36" s="208" customFormat="1" x14ac:dyDescent="0.25">
      <c r="A1444" s="207"/>
      <c r="C1444" s="207"/>
      <c r="K1444" s="207"/>
      <c r="L1444" s="207"/>
      <c r="M1444" s="207"/>
      <c r="R1444" s="209"/>
      <c r="AB1444" s="210"/>
      <c r="AG1444" s="210"/>
      <c r="AJ1444" s="210"/>
    </row>
    <row r="1445" spans="1:36" s="208" customFormat="1" x14ac:dyDescent="0.25">
      <c r="A1445" s="207"/>
      <c r="C1445" s="207"/>
      <c r="K1445" s="207"/>
      <c r="L1445" s="207"/>
      <c r="M1445" s="207"/>
      <c r="R1445" s="209"/>
      <c r="AB1445" s="210"/>
      <c r="AG1445" s="210"/>
      <c r="AJ1445" s="210"/>
    </row>
    <row r="1446" spans="1:36" s="208" customFormat="1" x14ac:dyDescent="0.25">
      <c r="A1446" s="207"/>
      <c r="C1446" s="207"/>
      <c r="K1446" s="207"/>
      <c r="L1446" s="207"/>
      <c r="M1446" s="207"/>
      <c r="R1446" s="209"/>
      <c r="AB1446" s="210"/>
      <c r="AG1446" s="210"/>
      <c r="AJ1446" s="210"/>
    </row>
    <row r="1447" spans="1:36" s="208" customFormat="1" x14ac:dyDescent="0.25">
      <c r="A1447" s="207"/>
      <c r="C1447" s="207"/>
      <c r="K1447" s="207"/>
      <c r="L1447" s="207"/>
      <c r="M1447" s="207"/>
      <c r="R1447" s="209"/>
      <c r="AB1447" s="210"/>
      <c r="AG1447" s="210"/>
      <c r="AJ1447" s="210"/>
    </row>
    <row r="1448" spans="1:36" s="208" customFormat="1" x14ac:dyDescent="0.25">
      <c r="A1448" s="207"/>
      <c r="C1448" s="207"/>
      <c r="K1448" s="207"/>
      <c r="L1448" s="207"/>
      <c r="M1448" s="207"/>
      <c r="R1448" s="209"/>
      <c r="AB1448" s="210"/>
      <c r="AG1448" s="210"/>
      <c r="AJ1448" s="210"/>
    </row>
    <row r="1449" spans="1:36" s="208" customFormat="1" x14ac:dyDescent="0.25">
      <c r="A1449" s="207"/>
      <c r="C1449" s="207"/>
      <c r="K1449" s="207"/>
      <c r="L1449" s="207"/>
      <c r="M1449" s="207"/>
      <c r="R1449" s="209"/>
      <c r="AB1449" s="210"/>
      <c r="AG1449" s="210"/>
      <c r="AJ1449" s="210"/>
    </row>
    <row r="1450" spans="1:36" s="208" customFormat="1" x14ac:dyDescent="0.25">
      <c r="A1450" s="207"/>
      <c r="C1450" s="207"/>
      <c r="K1450" s="207"/>
      <c r="L1450" s="207"/>
      <c r="M1450" s="207"/>
      <c r="R1450" s="209"/>
      <c r="AB1450" s="210"/>
      <c r="AG1450" s="210"/>
      <c r="AJ1450" s="210"/>
    </row>
    <row r="1451" spans="1:36" s="208" customFormat="1" x14ac:dyDescent="0.25">
      <c r="A1451" s="207"/>
      <c r="C1451" s="207"/>
      <c r="K1451" s="207"/>
      <c r="L1451" s="207"/>
      <c r="M1451" s="207"/>
      <c r="R1451" s="209"/>
      <c r="AB1451" s="210"/>
      <c r="AG1451" s="210"/>
      <c r="AJ1451" s="210"/>
    </row>
    <row r="1452" spans="1:36" s="208" customFormat="1" x14ac:dyDescent="0.25">
      <c r="A1452" s="207"/>
      <c r="C1452" s="207"/>
      <c r="K1452" s="207"/>
      <c r="L1452" s="207"/>
      <c r="M1452" s="207"/>
      <c r="R1452" s="209"/>
      <c r="AB1452" s="210"/>
      <c r="AG1452" s="210"/>
      <c r="AJ1452" s="210"/>
    </row>
    <row r="1453" spans="1:36" s="208" customFormat="1" x14ac:dyDescent="0.25">
      <c r="A1453" s="207"/>
      <c r="C1453" s="207"/>
      <c r="K1453" s="207"/>
      <c r="L1453" s="207"/>
      <c r="M1453" s="207"/>
      <c r="R1453" s="209"/>
      <c r="AB1453" s="210"/>
      <c r="AG1453" s="210"/>
      <c r="AJ1453" s="210"/>
    </row>
    <row r="1454" spans="1:36" s="208" customFormat="1" x14ac:dyDescent="0.25">
      <c r="A1454" s="207"/>
      <c r="C1454" s="207"/>
      <c r="K1454" s="207"/>
      <c r="L1454" s="207"/>
      <c r="M1454" s="207"/>
      <c r="R1454" s="209"/>
      <c r="AB1454" s="210"/>
      <c r="AG1454" s="210"/>
      <c r="AJ1454" s="210"/>
    </row>
    <row r="1455" spans="1:36" s="208" customFormat="1" x14ac:dyDescent="0.25">
      <c r="A1455" s="207"/>
      <c r="C1455" s="207"/>
      <c r="K1455" s="207"/>
      <c r="L1455" s="207"/>
      <c r="M1455" s="207"/>
      <c r="R1455" s="209"/>
      <c r="AB1455" s="210"/>
      <c r="AG1455" s="210"/>
      <c r="AJ1455" s="210"/>
    </row>
    <row r="1456" spans="1:36" s="208" customFormat="1" x14ac:dyDescent="0.25">
      <c r="A1456" s="207"/>
      <c r="C1456" s="207"/>
      <c r="K1456" s="207"/>
      <c r="L1456" s="207"/>
      <c r="M1456" s="207"/>
      <c r="R1456" s="209"/>
      <c r="AB1456" s="210"/>
      <c r="AG1456" s="210"/>
      <c r="AJ1456" s="210"/>
    </row>
    <row r="1457" spans="1:36" s="208" customFormat="1" x14ac:dyDescent="0.25">
      <c r="A1457" s="207"/>
      <c r="C1457" s="207"/>
      <c r="K1457" s="207"/>
      <c r="L1457" s="207"/>
      <c r="M1457" s="207"/>
      <c r="R1457" s="209"/>
      <c r="AB1457" s="210"/>
      <c r="AG1457" s="210"/>
      <c r="AJ1457" s="210"/>
    </row>
    <row r="1458" spans="1:36" s="208" customFormat="1" x14ac:dyDescent="0.25">
      <c r="A1458" s="207"/>
      <c r="C1458" s="207"/>
      <c r="K1458" s="207"/>
      <c r="L1458" s="207"/>
      <c r="M1458" s="207"/>
      <c r="R1458" s="209"/>
      <c r="AB1458" s="210"/>
      <c r="AG1458" s="210"/>
      <c r="AJ1458" s="210"/>
    </row>
    <row r="1459" spans="1:36" s="208" customFormat="1" x14ac:dyDescent="0.25">
      <c r="A1459" s="207"/>
      <c r="C1459" s="207"/>
      <c r="K1459" s="207"/>
      <c r="L1459" s="207"/>
      <c r="M1459" s="207"/>
      <c r="R1459" s="209"/>
      <c r="AB1459" s="210"/>
      <c r="AG1459" s="210"/>
      <c r="AJ1459" s="210"/>
    </row>
    <row r="1460" spans="1:36" s="208" customFormat="1" x14ac:dyDescent="0.25">
      <c r="A1460" s="207"/>
      <c r="C1460" s="207"/>
      <c r="K1460" s="207"/>
      <c r="L1460" s="207"/>
      <c r="M1460" s="207"/>
      <c r="R1460" s="209"/>
      <c r="AB1460" s="210"/>
      <c r="AG1460" s="210"/>
      <c r="AJ1460" s="210"/>
    </row>
    <row r="1461" spans="1:36" s="208" customFormat="1" x14ac:dyDescent="0.25">
      <c r="A1461" s="207"/>
      <c r="C1461" s="207"/>
      <c r="K1461" s="207"/>
      <c r="L1461" s="207"/>
      <c r="M1461" s="207"/>
      <c r="R1461" s="209"/>
      <c r="AB1461" s="210"/>
      <c r="AG1461" s="210"/>
      <c r="AJ1461" s="210"/>
    </row>
    <row r="1462" spans="1:36" s="208" customFormat="1" x14ac:dyDescent="0.25">
      <c r="A1462" s="207"/>
      <c r="C1462" s="207"/>
      <c r="K1462" s="207"/>
      <c r="L1462" s="207"/>
      <c r="M1462" s="207"/>
      <c r="R1462" s="209"/>
      <c r="AB1462" s="210"/>
      <c r="AG1462" s="210"/>
      <c r="AJ1462" s="210"/>
    </row>
    <row r="1463" spans="1:36" s="208" customFormat="1" x14ac:dyDescent="0.25">
      <c r="A1463" s="207"/>
      <c r="C1463" s="207"/>
      <c r="K1463" s="207"/>
      <c r="L1463" s="207"/>
      <c r="M1463" s="207"/>
      <c r="R1463" s="209"/>
      <c r="AB1463" s="210"/>
      <c r="AG1463" s="210"/>
      <c r="AJ1463" s="210"/>
    </row>
    <row r="1464" spans="1:36" s="208" customFormat="1" x14ac:dyDescent="0.25">
      <c r="A1464" s="207"/>
      <c r="C1464" s="207"/>
      <c r="K1464" s="207"/>
      <c r="L1464" s="207"/>
      <c r="M1464" s="207"/>
      <c r="R1464" s="209"/>
      <c r="AB1464" s="210"/>
      <c r="AG1464" s="210"/>
      <c r="AJ1464" s="210"/>
    </row>
    <row r="1465" spans="1:36" s="208" customFormat="1" x14ac:dyDescent="0.25">
      <c r="A1465" s="207"/>
      <c r="C1465" s="207"/>
      <c r="K1465" s="207"/>
      <c r="L1465" s="207"/>
      <c r="M1465" s="207"/>
      <c r="R1465" s="209"/>
      <c r="AB1465" s="210"/>
      <c r="AG1465" s="210"/>
      <c r="AJ1465" s="210"/>
    </row>
    <row r="1466" spans="1:36" s="208" customFormat="1" x14ac:dyDescent="0.25">
      <c r="A1466" s="207"/>
      <c r="C1466" s="207"/>
      <c r="K1466" s="207"/>
      <c r="L1466" s="207"/>
      <c r="M1466" s="207"/>
      <c r="R1466" s="209"/>
      <c r="AB1466" s="210"/>
      <c r="AG1466" s="210"/>
      <c r="AJ1466" s="210"/>
    </row>
    <row r="1467" spans="1:36" s="208" customFormat="1" x14ac:dyDescent="0.25">
      <c r="A1467" s="207"/>
      <c r="C1467" s="207"/>
      <c r="K1467" s="207"/>
      <c r="L1467" s="207"/>
      <c r="M1467" s="207"/>
      <c r="R1467" s="209"/>
      <c r="AB1467" s="210"/>
      <c r="AG1467" s="210"/>
      <c r="AJ1467" s="210"/>
    </row>
    <row r="1468" spans="1:36" s="208" customFormat="1" x14ac:dyDescent="0.25">
      <c r="A1468" s="207"/>
      <c r="C1468" s="207"/>
      <c r="K1468" s="207"/>
      <c r="L1468" s="207"/>
      <c r="M1468" s="207"/>
      <c r="R1468" s="209"/>
      <c r="AB1468" s="210"/>
      <c r="AG1468" s="210"/>
      <c r="AJ1468" s="210"/>
    </row>
    <row r="1469" spans="1:36" s="208" customFormat="1" x14ac:dyDescent="0.25">
      <c r="A1469" s="207"/>
      <c r="C1469" s="207"/>
      <c r="K1469" s="207"/>
      <c r="L1469" s="207"/>
      <c r="M1469" s="207"/>
      <c r="R1469" s="209"/>
      <c r="AB1469" s="210"/>
      <c r="AG1469" s="210"/>
      <c r="AJ1469" s="210"/>
    </row>
    <row r="1470" spans="1:36" s="208" customFormat="1" x14ac:dyDescent="0.25">
      <c r="A1470" s="207"/>
      <c r="C1470" s="207"/>
      <c r="K1470" s="207"/>
      <c r="L1470" s="207"/>
      <c r="M1470" s="207"/>
      <c r="R1470" s="209"/>
      <c r="AB1470" s="210"/>
      <c r="AG1470" s="210"/>
      <c r="AJ1470" s="210"/>
    </row>
  </sheetData>
  <sheetProtection algorithmName="SHA-512" hashValue="U3/+TNwggvXzZPetBj9KQEy+F+en+JyoBs5EkV++NLjXv1eB34P3oNbaJ/kGXI71uCiXCJ5IlHFBkAlxf0nnJw==" saltValue="ZycpdEphq0Aj6SfkSa4pkQ==" spinCount="100000" sheet="1" objects="1" scenarios="1"/>
  <autoFilter ref="A4:AJ14" xr:uid="{00000000-0009-0000-0000-000007000000}"/>
  <mergeCells count="20">
    <mergeCell ref="AG3:AG4"/>
    <mergeCell ref="AH3:AI3"/>
    <mergeCell ref="AJ3:AJ4"/>
    <mergeCell ref="P3:P4"/>
    <mergeCell ref="Q3:AB3"/>
    <mergeCell ref="AC3:AC4"/>
    <mergeCell ref="AD3:AD4"/>
    <mergeCell ref="AE3:AF3"/>
    <mergeCell ref="O3:O4"/>
    <mergeCell ref="A3:A4"/>
    <mergeCell ref="B3:B4"/>
    <mergeCell ref="D3:D4"/>
    <mergeCell ref="C3:C4"/>
    <mergeCell ref="E3:E4"/>
    <mergeCell ref="F3:F4"/>
    <mergeCell ref="G3:G4"/>
    <mergeCell ref="H3:H4"/>
    <mergeCell ref="I3:I4"/>
    <mergeCell ref="J3:J4"/>
    <mergeCell ref="K3:N3"/>
  </mergeCells>
  <pageMargins left="0.31496062992125984" right="0.15748031496062992" top="0.47244094488188981" bottom="0.23622047244094491" header="0.23622047244094491" footer="7.874015748031496E-2"/>
  <pageSetup paperSize="9" scale="26" orientation="landscape" r:id="rId1"/>
  <headerFooter>
    <oddHeader>&amp;C&amp;"-,Negrito"Planilha de Composição de Custos</oddHeader>
    <oddFooter>Página &amp;P de &amp;N</oddFooter>
  </headerFooter>
  <ignoredErrors>
    <ignoredError sqref="D7 D10 D12 G1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'Indicadores Financeiros'!$C$127:$C$131</xm:f>
          </x14:formula1>
          <xm:sqref>B1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H780"/>
  <sheetViews>
    <sheetView topLeftCell="A766" workbookViewId="0">
      <selection activeCell="F780" sqref="F780"/>
    </sheetView>
  </sheetViews>
  <sheetFormatPr defaultColWidth="9.140625" defaultRowHeight="15" x14ac:dyDescent="0.25"/>
  <cols>
    <col min="1" max="1" width="35.7109375" style="315" bestFit="1" customWidth="1"/>
    <col min="2" max="2" width="12.85546875" style="315" bestFit="1" customWidth="1"/>
    <col min="3" max="3" width="6.5703125" style="315" bestFit="1" customWidth="1"/>
    <col min="4" max="4" width="28.28515625" style="315" bestFit="1" customWidth="1"/>
    <col min="5" max="5" width="24.7109375" style="315" bestFit="1" customWidth="1"/>
    <col min="6" max="6" width="152.140625" style="315" bestFit="1" customWidth="1"/>
    <col min="7" max="7" width="38" style="315" bestFit="1" customWidth="1"/>
    <col min="8" max="8" width="43.7109375" style="315" bestFit="1" customWidth="1"/>
    <col min="9" max="9" width="23.7109375" style="315" bestFit="1" customWidth="1"/>
    <col min="10" max="10" width="21.85546875" style="315" bestFit="1" customWidth="1"/>
    <col min="11" max="11" width="31.42578125" style="315" bestFit="1" customWidth="1"/>
    <col min="12" max="12" width="42.85546875" style="315" bestFit="1" customWidth="1"/>
    <col min="13" max="13" width="69.5703125" style="315" bestFit="1" customWidth="1"/>
    <col min="14" max="14" width="35.7109375" style="315" bestFit="1" customWidth="1"/>
    <col min="15" max="15" width="203.85546875" style="315" bestFit="1" customWidth="1"/>
    <col min="16" max="16" width="40.140625" style="315" bestFit="1" customWidth="1"/>
    <col min="17" max="17" width="49.7109375" style="315" bestFit="1" customWidth="1"/>
    <col min="18" max="18" width="31.42578125" style="315" bestFit="1" customWidth="1"/>
    <col min="19" max="19" width="51.140625" style="315" bestFit="1" customWidth="1"/>
    <col min="20" max="20" width="31.7109375" style="315" bestFit="1" customWidth="1"/>
    <col min="21" max="21" width="49.28515625" style="315" bestFit="1" customWidth="1"/>
    <col min="22" max="23" width="29" style="315" bestFit="1" customWidth="1"/>
    <col min="24" max="24" width="26.7109375" style="315" bestFit="1" customWidth="1"/>
    <col min="25" max="25" width="28.28515625" style="315" bestFit="1" customWidth="1"/>
    <col min="26" max="26" width="17" style="315" bestFit="1" customWidth="1"/>
    <col min="27" max="27" width="36.5703125" style="315" bestFit="1" customWidth="1"/>
    <col min="28" max="28" width="23" style="315" bestFit="1" customWidth="1"/>
    <col min="29" max="29" width="23.42578125" style="315" bestFit="1" customWidth="1"/>
    <col min="30" max="30" width="28.42578125" style="315" bestFit="1" customWidth="1"/>
    <col min="31" max="31" width="19.85546875" style="315" bestFit="1" customWidth="1"/>
    <col min="32" max="32" width="14.85546875" style="315" bestFit="1" customWidth="1"/>
    <col min="33" max="33" width="23.85546875" style="315" bestFit="1" customWidth="1"/>
    <col min="34" max="34" width="24.42578125" style="315" bestFit="1" customWidth="1"/>
    <col min="35" max="35" width="29.140625" style="315" bestFit="1" customWidth="1"/>
    <col min="36" max="36" width="20.5703125" style="315" bestFit="1" customWidth="1"/>
    <col min="37" max="37" width="15.7109375" style="315" bestFit="1" customWidth="1"/>
    <col min="38" max="38" width="23.7109375" style="315" bestFit="1" customWidth="1"/>
    <col min="39" max="39" width="24.28515625" style="315" bestFit="1" customWidth="1"/>
    <col min="40" max="40" width="28.85546875" style="315" bestFit="1" customWidth="1"/>
    <col min="41" max="41" width="20.42578125" style="315" bestFit="1" customWidth="1"/>
    <col min="42" max="42" width="15" style="315" bestFit="1" customWidth="1"/>
    <col min="43" max="44" width="42.7109375" style="315" bestFit="1" customWidth="1"/>
    <col min="45" max="45" width="37.85546875" style="315" bestFit="1" customWidth="1"/>
    <col min="46" max="46" width="34.5703125" style="315" bestFit="1" customWidth="1"/>
    <col min="47" max="47" width="27.5703125" style="315" bestFit="1" customWidth="1"/>
    <col min="48" max="48" width="21.140625" style="315" bestFit="1" customWidth="1"/>
    <col min="49" max="49" width="33.42578125" style="315" bestFit="1" customWidth="1"/>
    <col min="50" max="50" width="35.140625" style="315" bestFit="1" customWidth="1"/>
    <col min="51" max="51" width="22.85546875" style="315" bestFit="1" customWidth="1"/>
    <col min="52" max="52" width="27.5703125" style="315" bestFit="1" customWidth="1"/>
    <col min="53" max="53" width="19.5703125" style="315" bestFit="1" customWidth="1"/>
    <col min="54" max="54" width="38.7109375" style="315" bestFit="1" customWidth="1"/>
    <col min="55" max="55" width="42.140625" style="315" bestFit="1" customWidth="1"/>
    <col min="56" max="56" width="30.42578125" style="315" bestFit="1" customWidth="1"/>
    <col min="57" max="57" width="18.42578125" style="315" bestFit="1" customWidth="1"/>
    <col min="58" max="59" width="64.85546875" style="315" bestFit="1" customWidth="1"/>
    <col min="60" max="60" width="27.85546875" style="315" bestFit="1" customWidth="1"/>
    <col min="61" max="61" width="47.85546875" style="315" bestFit="1" customWidth="1"/>
    <col min="62" max="62" width="46.42578125" style="315" bestFit="1" customWidth="1"/>
    <col min="63" max="63" width="49.85546875" style="315" bestFit="1" customWidth="1"/>
    <col min="64" max="64" width="51.140625" style="315" bestFit="1" customWidth="1"/>
    <col min="65" max="65" width="37.28515625" style="315" bestFit="1" customWidth="1"/>
    <col min="66" max="16384" width="9.140625" style="315"/>
  </cols>
  <sheetData>
    <row r="1" spans="1:8" x14ac:dyDescent="0.25">
      <c r="A1" s="314" t="s">
        <v>624</v>
      </c>
      <c r="B1" s="314" t="s">
        <v>625</v>
      </c>
      <c r="C1" s="314" t="s">
        <v>626</v>
      </c>
      <c r="D1" s="314" t="s">
        <v>627</v>
      </c>
      <c r="E1" s="314" t="s">
        <v>151</v>
      </c>
      <c r="F1" s="314" t="s">
        <v>628</v>
      </c>
      <c r="G1" s="314" t="s">
        <v>629</v>
      </c>
      <c r="H1" s="314" t="s">
        <v>630</v>
      </c>
    </row>
    <row r="2" spans="1:8" x14ac:dyDescent="0.25">
      <c r="A2" s="316">
        <v>616</v>
      </c>
      <c r="B2" s="316">
        <v>64187</v>
      </c>
      <c r="C2" s="315" t="s">
        <v>631</v>
      </c>
      <c r="D2" s="315" t="s">
        <v>632</v>
      </c>
      <c r="E2" s="315" t="s">
        <v>585</v>
      </c>
      <c r="F2" s="315" t="s">
        <v>633</v>
      </c>
      <c r="G2" s="315" t="s">
        <v>634</v>
      </c>
      <c r="H2" s="315" t="s">
        <v>635</v>
      </c>
    </row>
    <row r="3" spans="1:8" x14ac:dyDescent="0.25">
      <c r="A3" s="316">
        <v>921</v>
      </c>
      <c r="B3" s="316">
        <v>66203</v>
      </c>
      <c r="C3" s="315" t="s">
        <v>636</v>
      </c>
      <c r="D3" s="315" t="s">
        <v>637</v>
      </c>
      <c r="E3" s="315" t="s">
        <v>543</v>
      </c>
      <c r="F3" s="315" t="s">
        <v>638</v>
      </c>
      <c r="G3" s="315" t="s">
        <v>634</v>
      </c>
      <c r="H3" s="315" t="s">
        <v>639</v>
      </c>
    </row>
    <row r="4" spans="1:8" x14ac:dyDescent="0.25">
      <c r="A4" s="316">
        <v>147</v>
      </c>
      <c r="B4" s="316">
        <v>46720</v>
      </c>
      <c r="C4" s="315" t="s">
        <v>640</v>
      </c>
      <c r="D4" s="315" t="s">
        <v>641</v>
      </c>
      <c r="E4" s="315" t="s">
        <v>458</v>
      </c>
      <c r="F4" s="315" t="s">
        <v>642</v>
      </c>
      <c r="G4" s="315" t="s">
        <v>634</v>
      </c>
      <c r="H4" s="315" t="s">
        <v>635</v>
      </c>
    </row>
    <row r="5" spans="1:8" x14ac:dyDescent="0.25">
      <c r="A5" s="316">
        <v>475</v>
      </c>
      <c r="B5" s="316">
        <v>63981</v>
      </c>
      <c r="C5" s="315" t="s">
        <v>640</v>
      </c>
      <c r="D5" s="315" t="s">
        <v>641</v>
      </c>
      <c r="E5" s="315" t="s">
        <v>458</v>
      </c>
      <c r="F5" s="315" t="s">
        <v>643</v>
      </c>
      <c r="G5" s="315" t="s">
        <v>634</v>
      </c>
      <c r="H5" s="315" t="s">
        <v>644</v>
      </c>
    </row>
    <row r="6" spans="1:8" x14ac:dyDescent="0.25">
      <c r="A6" s="316">
        <v>83</v>
      </c>
      <c r="B6" s="316">
        <v>48901</v>
      </c>
      <c r="C6" s="315" t="s">
        <v>645</v>
      </c>
      <c r="D6" s="315" t="s">
        <v>646</v>
      </c>
      <c r="E6" s="315" t="s">
        <v>393</v>
      </c>
      <c r="F6" s="315" t="s">
        <v>647</v>
      </c>
      <c r="G6" s="315" t="s">
        <v>634</v>
      </c>
      <c r="H6" s="315" t="s">
        <v>635</v>
      </c>
    </row>
    <row r="7" spans="1:8" x14ac:dyDescent="0.25">
      <c r="A7" s="316">
        <v>833</v>
      </c>
      <c r="B7" s="316">
        <v>64120</v>
      </c>
      <c r="C7" s="315" t="s">
        <v>645</v>
      </c>
      <c r="D7" s="315" t="s">
        <v>646</v>
      </c>
      <c r="E7" s="315" t="s">
        <v>393</v>
      </c>
      <c r="F7" s="315" t="s">
        <v>648</v>
      </c>
      <c r="G7" s="315" t="s">
        <v>634</v>
      </c>
      <c r="H7" s="315" t="s">
        <v>649</v>
      </c>
    </row>
    <row r="8" spans="1:8" x14ac:dyDescent="0.25">
      <c r="A8" s="316">
        <v>53</v>
      </c>
      <c r="B8" s="316">
        <v>227</v>
      </c>
      <c r="C8" s="315" t="s">
        <v>640</v>
      </c>
      <c r="D8" s="315" t="s">
        <v>650</v>
      </c>
      <c r="E8" s="315" t="s">
        <v>364</v>
      </c>
      <c r="F8" s="315" t="s">
        <v>651</v>
      </c>
      <c r="G8" s="315" t="s">
        <v>634</v>
      </c>
      <c r="H8" s="315" t="s">
        <v>635</v>
      </c>
    </row>
    <row r="9" spans="1:8" x14ac:dyDescent="0.25">
      <c r="A9" s="316">
        <v>60</v>
      </c>
      <c r="B9" s="316">
        <v>47882</v>
      </c>
      <c r="C9" s="315" t="s">
        <v>640</v>
      </c>
      <c r="D9" s="315" t="s">
        <v>650</v>
      </c>
      <c r="E9" s="315" t="s">
        <v>370</v>
      </c>
      <c r="F9" s="315" t="s">
        <v>652</v>
      </c>
      <c r="G9" s="315" t="s">
        <v>634</v>
      </c>
      <c r="H9" s="315" t="s">
        <v>635</v>
      </c>
    </row>
    <row r="10" spans="1:8" x14ac:dyDescent="0.25">
      <c r="A10" s="316">
        <v>192</v>
      </c>
      <c r="B10" s="316">
        <v>302</v>
      </c>
      <c r="C10" s="315" t="s">
        <v>636</v>
      </c>
      <c r="D10" s="315" t="s">
        <v>653</v>
      </c>
      <c r="E10" s="315" t="s">
        <v>504</v>
      </c>
      <c r="F10" s="315" t="s">
        <v>654</v>
      </c>
      <c r="G10" s="315" t="s">
        <v>634</v>
      </c>
      <c r="H10" s="315" t="s">
        <v>635</v>
      </c>
    </row>
    <row r="11" spans="1:8" x14ac:dyDescent="0.25">
      <c r="A11" s="316">
        <v>349</v>
      </c>
      <c r="B11" s="316">
        <v>64218</v>
      </c>
      <c r="C11" s="315" t="s">
        <v>631</v>
      </c>
      <c r="D11" s="315" t="s">
        <v>632</v>
      </c>
      <c r="E11" s="315" t="s">
        <v>585</v>
      </c>
      <c r="F11" s="315" t="s">
        <v>655</v>
      </c>
      <c r="G11" s="315" t="s">
        <v>634</v>
      </c>
      <c r="H11" s="315" t="s">
        <v>635</v>
      </c>
    </row>
    <row r="12" spans="1:8" x14ac:dyDescent="0.25">
      <c r="A12" s="316">
        <v>217</v>
      </c>
      <c r="B12" s="316">
        <v>48956</v>
      </c>
      <c r="C12" s="315" t="s">
        <v>640</v>
      </c>
      <c r="D12" s="315" t="s">
        <v>641</v>
      </c>
      <c r="E12" s="315" t="s">
        <v>530</v>
      </c>
      <c r="F12" s="315" t="s">
        <v>656</v>
      </c>
      <c r="G12" s="315" t="s">
        <v>634</v>
      </c>
      <c r="H12" s="315" t="s">
        <v>635</v>
      </c>
    </row>
    <row r="13" spans="1:8" x14ac:dyDescent="0.25">
      <c r="A13" s="316">
        <v>283</v>
      </c>
      <c r="B13" s="316">
        <v>49668</v>
      </c>
      <c r="C13" s="315" t="s">
        <v>640</v>
      </c>
      <c r="D13" s="315" t="s">
        <v>657</v>
      </c>
      <c r="E13" s="315" t="s">
        <v>595</v>
      </c>
      <c r="F13" s="315" t="s">
        <v>658</v>
      </c>
      <c r="G13" s="315" t="s">
        <v>634</v>
      </c>
      <c r="H13" s="315" t="s">
        <v>635</v>
      </c>
    </row>
    <row r="14" spans="1:8" x14ac:dyDescent="0.25">
      <c r="A14" s="316">
        <v>772</v>
      </c>
      <c r="B14" s="316">
        <v>46861</v>
      </c>
      <c r="C14" s="315" t="s">
        <v>645</v>
      </c>
      <c r="D14" s="315" t="s">
        <v>659</v>
      </c>
      <c r="E14" s="315" t="s">
        <v>453</v>
      </c>
      <c r="F14" s="315" t="s">
        <v>660</v>
      </c>
      <c r="G14" s="315" t="s">
        <v>634</v>
      </c>
      <c r="H14" s="315" t="s">
        <v>635</v>
      </c>
    </row>
    <row r="15" spans="1:8" x14ac:dyDescent="0.25">
      <c r="A15" s="316">
        <v>849</v>
      </c>
      <c r="B15" s="316">
        <v>66185</v>
      </c>
      <c r="C15" s="315" t="s">
        <v>631</v>
      </c>
      <c r="D15" s="315" t="s">
        <v>661</v>
      </c>
      <c r="E15" s="315" t="s">
        <v>334</v>
      </c>
      <c r="F15" s="315" t="s">
        <v>662</v>
      </c>
      <c r="G15" s="315" t="s">
        <v>634</v>
      </c>
      <c r="H15" s="315" t="s">
        <v>635</v>
      </c>
    </row>
    <row r="16" spans="1:8" x14ac:dyDescent="0.25">
      <c r="A16" s="316">
        <v>927</v>
      </c>
      <c r="B16" s="316">
        <v>66534</v>
      </c>
      <c r="C16" s="315" t="s">
        <v>640</v>
      </c>
      <c r="D16" s="315" t="s">
        <v>663</v>
      </c>
      <c r="E16" s="315" t="s">
        <v>451</v>
      </c>
      <c r="F16" s="315" t="s">
        <v>664</v>
      </c>
      <c r="G16" s="315" t="s">
        <v>634</v>
      </c>
      <c r="H16" s="315" t="s">
        <v>665</v>
      </c>
    </row>
    <row r="17" spans="1:8" x14ac:dyDescent="0.25">
      <c r="A17" s="316">
        <v>45</v>
      </c>
      <c r="B17" s="316">
        <v>63853</v>
      </c>
      <c r="C17" s="315" t="s">
        <v>640</v>
      </c>
      <c r="D17" s="315" t="s">
        <v>666</v>
      </c>
      <c r="E17" s="315" t="s">
        <v>356</v>
      </c>
      <c r="F17" s="315" t="s">
        <v>667</v>
      </c>
      <c r="G17" s="315" t="s">
        <v>634</v>
      </c>
      <c r="H17" s="315" t="s">
        <v>635</v>
      </c>
    </row>
    <row r="18" spans="1:8" x14ac:dyDescent="0.25">
      <c r="A18" s="316">
        <v>80</v>
      </c>
      <c r="B18" s="316">
        <v>53853</v>
      </c>
      <c r="C18" s="315" t="s">
        <v>640</v>
      </c>
      <c r="D18" s="315" t="s">
        <v>668</v>
      </c>
      <c r="E18" s="315" t="s">
        <v>391</v>
      </c>
      <c r="F18" s="315" t="s">
        <v>669</v>
      </c>
      <c r="G18" s="315" t="s">
        <v>634</v>
      </c>
      <c r="H18" s="315" t="s">
        <v>635</v>
      </c>
    </row>
    <row r="19" spans="1:8" x14ac:dyDescent="0.25">
      <c r="A19" s="316">
        <v>212</v>
      </c>
      <c r="B19" s="316">
        <v>305</v>
      </c>
      <c r="C19" s="315" t="s">
        <v>640</v>
      </c>
      <c r="D19" s="315" t="s">
        <v>663</v>
      </c>
      <c r="E19" s="315" t="s">
        <v>524</v>
      </c>
      <c r="F19" s="315" t="s">
        <v>670</v>
      </c>
      <c r="G19" s="315" t="s">
        <v>634</v>
      </c>
      <c r="H19" s="315" t="s">
        <v>635</v>
      </c>
    </row>
    <row r="20" spans="1:8" x14ac:dyDescent="0.25">
      <c r="A20" s="316">
        <v>308</v>
      </c>
      <c r="B20" s="316">
        <v>64177</v>
      </c>
      <c r="C20" s="315" t="s">
        <v>640</v>
      </c>
      <c r="D20" s="315" t="s">
        <v>666</v>
      </c>
      <c r="E20" s="315" t="s">
        <v>619</v>
      </c>
      <c r="F20" s="315" t="s">
        <v>671</v>
      </c>
      <c r="G20" s="315" t="s">
        <v>634</v>
      </c>
      <c r="H20" s="315" t="s">
        <v>635</v>
      </c>
    </row>
    <row r="21" spans="1:8" x14ac:dyDescent="0.25">
      <c r="A21" s="316">
        <v>402</v>
      </c>
      <c r="B21" s="316">
        <v>63837</v>
      </c>
      <c r="C21" s="315" t="s">
        <v>640</v>
      </c>
      <c r="D21" s="315" t="s">
        <v>663</v>
      </c>
      <c r="E21" s="315" t="s">
        <v>345</v>
      </c>
      <c r="F21" s="315" t="s">
        <v>672</v>
      </c>
      <c r="G21" s="315" t="s">
        <v>634</v>
      </c>
      <c r="H21" s="315" t="s">
        <v>673</v>
      </c>
    </row>
    <row r="22" spans="1:8" x14ac:dyDescent="0.25">
      <c r="A22" s="316">
        <v>610</v>
      </c>
      <c r="B22" s="316">
        <v>63952</v>
      </c>
      <c r="C22" s="315" t="s">
        <v>640</v>
      </c>
      <c r="D22" s="315" t="s">
        <v>657</v>
      </c>
      <c r="E22" s="315" t="s">
        <v>447</v>
      </c>
      <c r="F22" s="315" t="s">
        <v>674</v>
      </c>
      <c r="G22" s="315" t="s">
        <v>634</v>
      </c>
      <c r="H22" s="315" t="s">
        <v>644</v>
      </c>
    </row>
    <row r="23" spans="1:8" x14ac:dyDescent="0.25">
      <c r="A23" s="316">
        <v>670</v>
      </c>
      <c r="B23" s="316">
        <v>64178</v>
      </c>
      <c r="C23" s="315" t="s">
        <v>640</v>
      </c>
      <c r="D23" s="315" t="s">
        <v>666</v>
      </c>
      <c r="E23" s="315" t="s">
        <v>619</v>
      </c>
      <c r="F23" s="315" t="s">
        <v>675</v>
      </c>
      <c r="G23" s="315" t="s">
        <v>676</v>
      </c>
      <c r="H23" s="315" t="s">
        <v>677</v>
      </c>
    </row>
    <row r="24" spans="1:8" x14ac:dyDescent="0.25">
      <c r="A24" s="316">
        <v>8</v>
      </c>
      <c r="B24" s="316">
        <v>287</v>
      </c>
      <c r="C24" s="315" t="s">
        <v>640</v>
      </c>
      <c r="D24" s="315" t="s">
        <v>657</v>
      </c>
      <c r="E24" s="315" t="s">
        <v>316</v>
      </c>
      <c r="F24" s="315" t="s">
        <v>678</v>
      </c>
      <c r="G24" s="315" t="s">
        <v>634</v>
      </c>
      <c r="H24" s="315" t="s">
        <v>635</v>
      </c>
    </row>
    <row r="25" spans="1:8" x14ac:dyDescent="0.25">
      <c r="A25" s="316">
        <v>208</v>
      </c>
      <c r="B25" s="316">
        <v>33569</v>
      </c>
      <c r="C25" s="315" t="s">
        <v>679</v>
      </c>
      <c r="D25" s="315" t="s">
        <v>680</v>
      </c>
      <c r="E25" s="315" t="s">
        <v>520</v>
      </c>
      <c r="F25" s="315" t="s">
        <v>681</v>
      </c>
      <c r="G25" s="315" t="s">
        <v>634</v>
      </c>
      <c r="H25" s="315" t="s">
        <v>635</v>
      </c>
    </row>
    <row r="26" spans="1:8" x14ac:dyDescent="0.25">
      <c r="A26" s="316">
        <v>213</v>
      </c>
      <c r="B26" s="316">
        <v>55701</v>
      </c>
      <c r="C26" s="315" t="s">
        <v>640</v>
      </c>
      <c r="D26" s="315" t="s">
        <v>650</v>
      </c>
      <c r="E26" s="315" t="s">
        <v>525</v>
      </c>
      <c r="F26" s="315" t="s">
        <v>682</v>
      </c>
      <c r="G26" s="315" t="s">
        <v>634</v>
      </c>
      <c r="H26" s="315" t="s">
        <v>635</v>
      </c>
    </row>
    <row r="27" spans="1:8" x14ac:dyDescent="0.25">
      <c r="A27" s="316">
        <v>365</v>
      </c>
      <c r="B27" s="316">
        <v>1348</v>
      </c>
      <c r="C27" s="315" t="s">
        <v>640</v>
      </c>
      <c r="D27" s="315" t="s">
        <v>683</v>
      </c>
      <c r="E27" s="315" t="s">
        <v>324</v>
      </c>
      <c r="F27" s="315" t="s">
        <v>684</v>
      </c>
      <c r="G27" s="315" t="s">
        <v>634</v>
      </c>
      <c r="H27" s="315" t="s">
        <v>635</v>
      </c>
    </row>
    <row r="28" spans="1:8" x14ac:dyDescent="0.25">
      <c r="A28" s="316">
        <v>604</v>
      </c>
      <c r="B28" s="316">
        <v>64723</v>
      </c>
      <c r="C28" s="315" t="s">
        <v>679</v>
      </c>
      <c r="D28" s="315" t="s">
        <v>680</v>
      </c>
      <c r="E28" s="315" t="s">
        <v>520</v>
      </c>
      <c r="F28" s="315" t="s">
        <v>685</v>
      </c>
      <c r="G28" s="315" t="s">
        <v>634</v>
      </c>
      <c r="H28" s="315" t="s">
        <v>644</v>
      </c>
    </row>
    <row r="29" spans="1:8" x14ac:dyDescent="0.25">
      <c r="A29" s="316">
        <v>778</v>
      </c>
      <c r="B29" s="316">
        <v>14</v>
      </c>
      <c r="C29" s="315" t="s">
        <v>640</v>
      </c>
      <c r="D29" s="315" t="s">
        <v>650</v>
      </c>
      <c r="E29" s="315" t="s">
        <v>608</v>
      </c>
      <c r="F29" s="315" t="s">
        <v>686</v>
      </c>
      <c r="G29" s="315" t="s">
        <v>634</v>
      </c>
      <c r="H29" s="315" t="s">
        <v>687</v>
      </c>
    </row>
    <row r="30" spans="1:8" x14ac:dyDescent="0.25">
      <c r="A30" s="316">
        <v>199</v>
      </c>
      <c r="B30" s="316">
        <v>64189</v>
      </c>
      <c r="C30" s="315" t="s">
        <v>640</v>
      </c>
      <c r="D30" s="315" t="s">
        <v>688</v>
      </c>
      <c r="E30" s="315" t="s">
        <v>511</v>
      </c>
      <c r="F30" s="315" t="s">
        <v>689</v>
      </c>
      <c r="G30" s="315" t="s">
        <v>634</v>
      </c>
      <c r="H30" s="315" t="s">
        <v>635</v>
      </c>
    </row>
    <row r="31" spans="1:8" x14ac:dyDescent="0.25">
      <c r="A31" s="316">
        <v>346</v>
      </c>
      <c r="B31" s="316">
        <v>31</v>
      </c>
      <c r="C31" s="315" t="s">
        <v>640</v>
      </c>
      <c r="D31" s="315" t="s">
        <v>657</v>
      </c>
      <c r="E31" s="315" t="s">
        <v>316</v>
      </c>
      <c r="F31" s="315" t="s">
        <v>690</v>
      </c>
      <c r="G31" s="315" t="s">
        <v>634</v>
      </c>
      <c r="H31" s="315" t="s">
        <v>673</v>
      </c>
    </row>
    <row r="32" spans="1:8" x14ac:dyDescent="0.25">
      <c r="A32" s="316">
        <v>414</v>
      </c>
      <c r="B32" s="316">
        <v>63812</v>
      </c>
      <c r="C32" s="315" t="s">
        <v>640</v>
      </c>
      <c r="D32" s="315" t="s">
        <v>683</v>
      </c>
      <c r="E32" s="315" t="s">
        <v>481</v>
      </c>
      <c r="F32" s="315" t="s">
        <v>691</v>
      </c>
      <c r="G32" s="315" t="s">
        <v>634</v>
      </c>
      <c r="H32" s="315" t="s">
        <v>673</v>
      </c>
    </row>
    <row r="33" spans="1:8" x14ac:dyDescent="0.25">
      <c r="A33" s="316">
        <v>653</v>
      </c>
      <c r="B33" s="316">
        <v>45917</v>
      </c>
      <c r="C33" s="315" t="s">
        <v>640</v>
      </c>
      <c r="D33" s="315" t="s">
        <v>683</v>
      </c>
      <c r="E33" s="315" t="s">
        <v>481</v>
      </c>
      <c r="F33" s="315" t="s">
        <v>692</v>
      </c>
      <c r="G33" s="315" t="s">
        <v>634</v>
      </c>
      <c r="H33" s="315" t="s">
        <v>665</v>
      </c>
    </row>
    <row r="34" spans="1:8" x14ac:dyDescent="0.25">
      <c r="A34" s="316">
        <v>779</v>
      </c>
      <c r="B34" s="316">
        <v>64084</v>
      </c>
      <c r="C34" s="315" t="s">
        <v>640</v>
      </c>
      <c r="D34" s="315" t="s">
        <v>683</v>
      </c>
      <c r="E34" s="315" t="s">
        <v>481</v>
      </c>
      <c r="F34" s="315" t="s">
        <v>693</v>
      </c>
      <c r="G34" s="315" t="s">
        <v>634</v>
      </c>
      <c r="H34" s="315" t="s">
        <v>649</v>
      </c>
    </row>
    <row r="35" spans="1:8" x14ac:dyDescent="0.25">
      <c r="A35" s="316">
        <v>822</v>
      </c>
      <c r="B35" s="316">
        <v>63891</v>
      </c>
      <c r="C35" s="315" t="s">
        <v>640</v>
      </c>
      <c r="D35" s="315" t="s">
        <v>666</v>
      </c>
      <c r="E35" s="315" t="s">
        <v>397</v>
      </c>
      <c r="F35" s="315" t="s">
        <v>694</v>
      </c>
      <c r="G35" s="315" t="s">
        <v>634</v>
      </c>
      <c r="H35" s="315" t="s">
        <v>639</v>
      </c>
    </row>
    <row r="36" spans="1:8" x14ac:dyDescent="0.25">
      <c r="A36" s="316">
        <v>44</v>
      </c>
      <c r="B36" s="316">
        <v>48933</v>
      </c>
      <c r="C36" s="315" t="s">
        <v>640</v>
      </c>
      <c r="D36" s="315" t="s">
        <v>666</v>
      </c>
      <c r="E36" s="315" t="s">
        <v>355</v>
      </c>
      <c r="F36" s="315" t="s">
        <v>695</v>
      </c>
      <c r="G36" s="315" t="s">
        <v>634</v>
      </c>
      <c r="H36" s="315" t="s">
        <v>635</v>
      </c>
    </row>
    <row r="37" spans="1:8" x14ac:dyDescent="0.25">
      <c r="A37" s="316">
        <v>49</v>
      </c>
      <c r="B37" s="316">
        <v>48911</v>
      </c>
      <c r="C37" s="315" t="s">
        <v>640</v>
      </c>
      <c r="D37" s="315" t="s">
        <v>666</v>
      </c>
      <c r="E37" s="315" t="s">
        <v>359</v>
      </c>
      <c r="F37" s="315" t="s">
        <v>696</v>
      </c>
      <c r="G37" s="315" t="s">
        <v>634</v>
      </c>
      <c r="H37" s="315" t="s">
        <v>635</v>
      </c>
    </row>
    <row r="38" spans="1:8" x14ac:dyDescent="0.25">
      <c r="A38" s="316">
        <v>242</v>
      </c>
      <c r="B38" s="316">
        <v>213</v>
      </c>
      <c r="C38" s="315" t="s">
        <v>640</v>
      </c>
      <c r="D38" s="315" t="s">
        <v>650</v>
      </c>
      <c r="E38" s="315" t="s">
        <v>555</v>
      </c>
      <c r="F38" s="315" t="s">
        <v>697</v>
      </c>
      <c r="G38" s="315" t="s">
        <v>634</v>
      </c>
      <c r="H38" s="315" t="s">
        <v>635</v>
      </c>
    </row>
    <row r="39" spans="1:8" x14ac:dyDescent="0.25">
      <c r="A39" s="316">
        <v>304</v>
      </c>
      <c r="B39" s="316">
        <v>48516</v>
      </c>
      <c r="C39" s="315" t="s">
        <v>640</v>
      </c>
      <c r="D39" s="315" t="s">
        <v>688</v>
      </c>
      <c r="E39" s="315" t="s">
        <v>615</v>
      </c>
      <c r="F39" s="315" t="s">
        <v>698</v>
      </c>
      <c r="G39" s="315" t="s">
        <v>634</v>
      </c>
      <c r="H39" s="315" t="s">
        <v>635</v>
      </c>
    </row>
    <row r="40" spans="1:8" x14ac:dyDescent="0.25">
      <c r="A40" s="316">
        <v>361</v>
      </c>
      <c r="B40" s="316">
        <v>64016</v>
      </c>
      <c r="C40" s="315" t="s">
        <v>640</v>
      </c>
      <c r="D40" s="315" t="s">
        <v>663</v>
      </c>
      <c r="E40" s="315" t="s">
        <v>489</v>
      </c>
      <c r="F40" s="315" t="s">
        <v>699</v>
      </c>
      <c r="G40" s="315" t="s">
        <v>634</v>
      </c>
      <c r="H40" s="315" t="s">
        <v>635</v>
      </c>
    </row>
    <row r="41" spans="1:8" x14ac:dyDescent="0.25">
      <c r="A41" s="316">
        <v>642</v>
      </c>
      <c r="B41" s="316">
        <v>64133</v>
      </c>
      <c r="C41" s="315" t="s">
        <v>640</v>
      </c>
      <c r="D41" s="315" t="s">
        <v>666</v>
      </c>
      <c r="E41" s="315" t="s">
        <v>355</v>
      </c>
      <c r="F41" s="315" t="s">
        <v>700</v>
      </c>
      <c r="G41" s="315" t="s">
        <v>634</v>
      </c>
      <c r="H41" s="315" t="s">
        <v>673</v>
      </c>
    </row>
    <row r="42" spans="1:8" x14ac:dyDescent="0.25">
      <c r="A42" s="316">
        <v>745</v>
      </c>
      <c r="B42" s="316">
        <v>63858</v>
      </c>
      <c r="C42" s="315" t="s">
        <v>640</v>
      </c>
      <c r="D42" s="315" t="s">
        <v>666</v>
      </c>
      <c r="E42" s="315" t="s">
        <v>359</v>
      </c>
      <c r="F42" s="315" t="s">
        <v>701</v>
      </c>
      <c r="G42" s="315" t="s">
        <v>634</v>
      </c>
      <c r="H42" s="315" t="s">
        <v>665</v>
      </c>
    </row>
    <row r="43" spans="1:8" x14ac:dyDescent="0.25">
      <c r="A43" s="316">
        <v>101</v>
      </c>
      <c r="B43" s="316">
        <v>51880</v>
      </c>
      <c r="C43" s="315" t="s">
        <v>640</v>
      </c>
      <c r="D43" s="315" t="s">
        <v>702</v>
      </c>
      <c r="E43" s="315" t="s">
        <v>411</v>
      </c>
      <c r="F43" s="315" t="s">
        <v>703</v>
      </c>
      <c r="G43" s="315" t="s">
        <v>634</v>
      </c>
      <c r="H43" s="315" t="s">
        <v>635</v>
      </c>
    </row>
    <row r="44" spans="1:8" x14ac:dyDescent="0.25">
      <c r="A44" s="316">
        <v>10</v>
      </c>
      <c r="B44" s="316">
        <v>212</v>
      </c>
      <c r="C44" s="315" t="s">
        <v>679</v>
      </c>
      <c r="D44" s="315" t="s">
        <v>704</v>
      </c>
      <c r="E44" s="315" t="s">
        <v>318</v>
      </c>
      <c r="F44" s="315" t="s">
        <v>705</v>
      </c>
      <c r="G44" s="315" t="s">
        <v>634</v>
      </c>
      <c r="H44" s="315" t="s">
        <v>635</v>
      </c>
    </row>
    <row r="45" spans="1:8" x14ac:dyDescent="0.25">
      <c r="A45" s="316">
        <v>33</v>
      </c>
      <c r="B45" s="316">
        <v>48900</v>
      </c>
      <c r="C45" s="315" t="s">
        <v>706</v>
      </c>
      <c r="D45" s="315" t="s">
        <v>707</v>
      </c>
      <c r="E45" s="315" t="s">
        <v>343</v>
      </c>
      <c r="F45" s="315" t="s">
        <v>708</v>
      </c>
      <c r="G45" s="315" t="s">
        <v>634</v>
      </c>
      <c r="H45" s="315" t="s">
        <v>635</v>
      </c>
    </row>
    <row r="46" spans="1:8" x14ac:dyDescent="0.25">
      <c r="A46" s="316">
        <v>72</v>
      </c>
      <c r="B46" s="316">
        <v>48897</v>
      </c>
      <c r="C46" s="315" t="s">
        <v>706</v>
      </c>
      <c r="D46" s="315" t="s">
        <v>709</v>
      </c>
      <c r="E46" s="315" t="s">
        <v>383</v>
      </c>
      <c r="F46" s="315" t="s">
        <v>710</v>
      </c>
      <c r="G46" s="315" t="s">
        <v>634</v>
      </c>
      <c r="H46" s="315" t="s">
        <v>635</v>
      </c>
    </row>
    <row r="47" spans="1:8" x14ac:dyDescent="0.25">
      <c r="A47" s="316">
        <v>75</v>
      </c>
      <c r="B47" s="316">
        <v>47015</v>
      </c>
      <c r="C47" s="315" t="s">
        <v>636</v>
      </c>
      <c r="D47" s="315" t="s">
        <v>711</v>
      </c>
      <c r="E47" s="315" t="s">
        <v>386</v>
      </c>
      <c r="F47" s="315" t="s">
        <v>712</v>
      </c>
      <c r="G47" s="315" t="s">
        <v>634</v>
      </c>
      <c r="H47" s="315" t="s">
        <v>635</v>
      </c>
    </row>
    <row r="48" spans="1:8" x14ac:dyDescent="0.25">
      <c r="A48" s="316">
        <v>88</v>
      </c>
      <c r="B48" s="316">
        <v>63810</v>
      </c>
      <c r="C48" s="315" t="s">
        <v>636</v>
      </c>
      <c r="D48" s="315" t="s">
        <v>713</v>
      </c>
      <c r="E48" s="315" t="s">
        <v>399</v>
      </c>
      <c r="F48" s="315" t="s">
        <v>714</v>
      </c>
      <c r="G48" s="315" t="s">
        <v>634</v>
      </c>
      <c r="H48" s="315" t="s">
        <v>635</v>
      </c>
    </row>
    <row r="49" spans="1:8" x14ac:dyDescent="0.25">
      <c r="A49" s="316">
        <v>90</v>
      </c>
      <c r="B49" s="316">
        <v>48654</v>
      </c>
      <c r="C49" s="315" t="s">
        <v>645</v>
      </c>
      <c r="D49" s="315" t="s">
        <v>646</v>
      </c>
      <c r="E49" s="315" t="s">
        <v>401</v>
      </c>
      <c r="F49" s="315" t="s">
        <v>715</v>
      </c>
      <c r="G49" s="315" t="s">
        <v>634</v>
      </c>
      <c r="H49" s="315" t="s">
        <v>635</v>
      </c>
    </row>
    <row r="50" spans="1:8" x14ac:dyDescent="0.25">
      <c r="A50" s="316">
        <v>130</v>
      </c>
      <c r="B50" s="316">
        <v>63959</v>
      </c>
      <c r="C50" s="315" t="s">
        <v>640</v>
      </c>
      <c r="D50" s="315" t="s">
        <v>716</v>
      </c>
      <c r="E50" s="315" t="s">
        <v>440</v>
      </c>
      <c r="F50" s="315" t="s">
        <v>717</v>
      </c>
      <c r="G50" s="315" t="s">
        <v>634</v>
      </c>
      <c r="H50" s="315" t="s">
        <v>635</v>
      </c>
    </row>
    <row r="51" spans="1:8" x14ac:dyDescent="0.25">
      <c r="A51" s="316">
        <v>204</v>
      </c>
      <c r="B51" s="316">
        <v>45476</v>
      </c>
      <c r="C51" s="315" t="s">
        <v>718</v>
      </c>
      <c r="D51" s="315" t="s">
        <v>719</v>
      </c>
      <c r="E51" s="315" t="s">
        <v>516</v>
      </c>
      <c r="F51" s="315" t="s">
        <v>720</v>
      </c>
      <c r="G51" s="315" t="s">
        <v>634</v>
      </c>
      <c r="H51" s="315" t="s">
        <v>635</v>
      </c>
    </row>
    <row r="52" spans="1:8" x14ac:dyDescent="0.25">
      <c r="A52" s="316">
        <v>225</v>
      </c>
      <c r="B52" s="316">
        <v>48660</v>
      </c>
      <c r="C52" s="315" t="s">
        <v>640</v>
      </c>
      <c r="D52" s="315" t="s">
        <v>641</v>
      </c>
      <c r="E52" s="315" t="s">
        <v>538</v>
      </c>
      <c r="F52" s="315" t="s">
        <v>721</v>
      </c>
      <c r="G52" s="315" t="s">
        <v>634</v>
      </c>
      <c r="H52" s="315" t="s">
        <v>635</v>
      </c>
    </row>
    <row r="53" spans="1:8" x14ac:dyDescent="0.25">
      <c r="A53" s="316">
        <v>266</v>
      </c>
      <c r="B53" s="316">
        <v>49000</v>
      </c>
      <c r="C53" s="315" t="s">
        <v>640</v>
      </c>
      <c r="D53" s="315" t="s">
        <v>668</v>
      </c>
      <c r="E53" s="315" t="s">
        <v>577</v>
      </c>
      <c r="F53" s="315" t="s">
        <v>722</v>
      </c>
      <c r="G53" s="315" t="s">
        <v>634</v>
      </c>
      <c r="H53" s="315" t="s">
        <v>635</v>
      </c>
    </row>
    <row r="54" spans="1:8" x14ac:dyDescent="0.25">
      <c r="A54" s="316">
        <v>311</v>
      </c>
      <c r="B54" s="316">
        <v>64176</v>
      </c>
      <c r="C54" s="315" t="s">
        <v>679</v>
      </c>
      <c r="D54" s="315" t="s">
        <v>680</v>
      </c>
      <c r="E54" s="315" t="s">
        <v>622</v>
      </c>
      <c r="F54" s="315" t="s">
        <v>723</v>
      </c>
      <c r="G54" s="315" t="s">
        <v>634</v>
      </c>
      <c r="H54" s="315" t="s">
        <v>635</v>
      </c>
    </row>
    <row r="55" spans="1:8" x14ac:dyDescent="0.25">
      <c r="A55" s="316">
        <v>324</v>
      </c>
      <c r="B55" s="316">
        <v>64311</v>
      </c>
      <c r="C55" s="315" t="s">
        <v>631</v>
      </c>
      <c r="D55" s="315" t="s">
        <v>632</v>
      </c>
      <c r="E55" s="315" t="s">
        <v>585</v>
      </c>
      <c r="F55" s="315" t="s">
        <v>724</v>
      </c>
      <c r="G55" s="315" t="s">
        <v>634</v>
      </c>
      <c r="H55" s="315" t="s">
        <v>635</v>
      </c>
    </row>
    <row r="56" spans="1:8" x14ac:dyDescent="0.25">
      <c r="A56" s="316">
        <v>337</v>
      </c>
      <c r="B56" s="316">
        <v>63924</v>
      </c>
      <c r="C56" s="315" t="s">
        <v>706</v>
      </c>
      <c r="D56" s="315" t="s">
        <v>707</v>
      </c>
      <c r="E56" s="315" t="s">
        <v>414</v>
      </c>
      <c r="F56" s="315" t="s">
        <v>725</v>
      </c>
      <c r="G56" s="315" t="s">
        <v>634</v>
      </c>
      <c r="H56" s="315" t="s">
        <v>726</v>
      </c>
    </row>
    <row r="57" spans="1:8" x14ac:dyDescent="0.25">
      <c r="A57" s="316">
        <v>367</v>
      </c>
      <c r="B57" s="316">
        <v>309</v>
      </c>
      <c r="C57" s="315" t="s">
        <v>640</v>
      </c>
      <c r="D57" s="315" t="s">
        <v>702</v>
      </c>
      <c r="E57" s="315" t="s">
        <v>314</v>
      </c>
      <c r="F57" s="315" t="s">
        <v>727</v>
      </c>
      <c r="G57" s="315" t="s">
        <v>634</v>
      </c>
      <c r="H57" s="315" t="s">
        <v>673</v>
      </c>
    </row>
    <row r="58" spans="1:8" x14ac:dyDescent="0.25">
      <c r="A58" s="316">
        <v>380</v>
      </c>
      <c r="B58" s="316">
        <v>48680</v>
      </c>
      <c r="C58" s="315" t="s">
        <v>728</v>
      </c>
      <c r="D58" s="315" t="s">
        <v>729</v>
      </c>
      <c r="E58" s="315" t="s">
        <v>407</v>
      </c>
      <c r="F58" s="315" t="s">
        <v>730</v>
      </c>
      <c r="G58" s="315" t="s">
        <v>634</v>
      </c>
      <c r="H58" s="315" t="s">
        <v>644</v>
      </c>
    </row>
    <row r="59" spans="1:8" x14ac:dyDescent="0.25">
      <c r="A59" s="316">
        <v>382</v>
      </c>
      <c r="B59" s="316">
        <v>164</v>
      </c>
      <c r="C59" s="315" t="s">
        <v>636</v>
      </c>
      <c r="D59" s="315" t="s">
        <v>711</v>
      </c>
      <c r="E59" s="315" t="s">
        <v>386</v>
      </c>
      <c r="F59" s="315" t="s">
        <v>731</v>
      </c>
      <c r="G59" s="315" t="s">
        <v>634</v>
      </c>
      <c r="H59" s="315" t="s">
        <v>644</v>
      </c>
    </row>
    <row r="60" spans="1:8" x14ac:dyDescent="0.25">
      <c r="A60" s="316">
        <v>384</v>
      </c>
      <c r="B60" s="316">
        <v>63961</v>
      </c>
      <c r="C60" s="315" t="s">
        <v>640</v>
      </c>
      <c r="D60" s="315" t="s">
        <v>641</v>
      </c>
      <c r="E60" s="315" t="s">
        <v>530</v>
      </c>
      <c r="F60" s="315" t="s">
        <v>732</v>
      </c>
      <c r="G60" s="315" t="s">
        <v>634</v>
      </c>
      <c r="H60" s="315" t="s">
        <v>644</v>
      </c>
    </row>
    <row r="61" spans="1:8" x14ac:dyDescent="0.25">
      <c r="A61" s="316">
        <v>385</v>
      </c>
      <c r="B61" s="316">
        <v>3</v>
      </c>
      <c r="C61" s="315" t="s">
        <v>640</v>
      </c>
      <c r="D61" s="315" t="s">
        <v>641</v>
      </c>
      <c r="E61" s="315" t="s">
        <v>530</v>
      </c>
      <c r="F61" s="315" t="s">
        <v>733</v>
      </c>
      <c r="G61" s="315" t="s">
        <v>634</v>
      </c>
      <c r="H61" s="315" t="s">
        <v>649</v>
      </c>
    </row>
    <row r="62" spans="1:8" x14ac:dyDescent="0.25">
      <c r="A62" s="316">
        <v>392</v>
      </c>
      <c r="B62" s="316">
        <v>45477</v>
      </c>
      <c r="C62" s="315" t="s">
        <v>718</v>
      </c>
      <c r="D62" s="315" t="s">
        <v>719</v>
      </c>
      <c r="E62" s="315" t="s">
        <v>516</v>
      </c>
      <c r="F62" s="315" t="s">
        <v>734</v>
      </c>
      <c r="G62" s="315" t="s">
        <v>634</v>
      </c>
      <c r="H62" s="315" t="s">
        <v>665</v>
      </c>
    </row>
    <row r="63" spans="1:8" x14ac:dyDescent="0.25">
      <c r="A63" s="316">
        <v>434</v>
      </c>
      <c r="B63" s="316">
        <v>63828</v>
      </c>
      <c r="C63" s="315" t="s">
        <v>706</v>
      </c>
      <c r="D63" s="315" t="s">
        <v>707</v>
      </c>
      <c r="E63" s="315" t="s">
        <v>343</v>
      </c>
      <c r="F63" s="315" t="s">
        <v>735</v>
      </c>
      <c r="G63" s="315" t="s">
        <v>634</v>
      </c>
      <c r="H63" s="315" t="s">
        <v>644</v>
      </c>
    </row>
    <row r="64" spans="1:8" x14ac:dyDescent="0.25">
      <c r="A64" s="316">
        <v>492</v>
      </c>
      <c r="B64" s="316">
        <v>52386</v>
      </c>
      <c r="C64" s="315" t="s">
        <v>631</v>
      </c>
      <c r="D64" s="315" t="s">
        <v>632</v>
      </c>
      <c r="E64" s="315" t="s">
        <v>585</v>
      </c>
      <c r="F64" s="315" t="s">
        <v>736</v>
      </c>
      <c r="G64" s="315" t="s">
        <v>634</v>
      </c>
      <c r="H64" s="315" t="s">
        <v>737</v>
      </c>
    </row>
    <row r="65" spans="1:8" x14ac:dyDescent="0.25">
      <c r="A65" s="316">
        <v>525</v>
      </c>
      <c r="B65" s="316">
        <v>175</v>
      </c>
      <c r="C65" s="315" t="s">
        <v>631</v>
      </c>
      <c r="D65" s="315" t="s">
        <v>632</v>
      </c>
      <c r="E65" s="315" t="s">
        <v>585</v>
      </c>
      <c r="F65" s="315" t="s">
        <v>738</v>
      </c>
      <c r="G65" s="315" t="s">
        <v>634</v>
      </c>
      <c r="H65" s="315" t="s">
        <v>739</v>
      </c>
    </row>
    <row r="66" spans="1:8" x14ac:dyDescent="0.25">
      <c r="A66" s="316">
        <v>569</v>
      </c>
      <c r="B66" s="316">
        <v>63904</v>
      </c>
      <c r="C66" s="315" t="s">
        <v>728</v>
      </c>
      <c r="D66" s="315" t="s">
        <v>729</v>
      </c>
      <c r="E66" s="315" t="s">
        <v>407</v>
      </c>
      <c r="F66" s="315" t="s">
        <v>740</v>
      </c>
      <c r="G66" s="315" t="s">
        <v>634</v>
      </c>
      <c r="H66" s="315" t="s">
        <v>673</v>
      </c>
    </row>
    <row r="67" spans="1:8" x14ac:dyDescent="0.25">
      <c r="A67" s="316">
        <v>583</v>
      </c>
      <c r="B67" s="316">
        <v>64028</v>
      </c>
      <c r="C67" s="315" t="s">
        <v>640</v>
      </c>
      <c r="D67" s="315" t="s">
        <v>666</v>
      </c>
      <c r="E67" s="315" t="s">
        <v>442</v>
      </c>
      <c r="F67" s="315" t="s">
        <v>741</v>
      </c>
      <c r="G67" s="315" t="s">
        <v>634</v>
      </c>
      <c r="H67" s="315" t="s">
        <v>635</v>
      </c>
    </row>
    <row r="68" spans="1:8" x14ac:dyDescent="0.25">
      <c r="A68" s="316">
        <v>599</v>
      </c>
      <c r="B68" s="316">
        <v>174</v>
      </c>
      <c r="C68" s="315" t="s">
        <v>631</v>
      </c>
      <c r="D68" s="315" t="s">
        <v>742</v>
      </c>
      <c r="E68" s="315" t="s">
        <v>480</v>
      </c>
      <c r="F68" s="315" t="s">
        <v>743</v>
      </c>
      <c r="G68" s="315" t="s">
        <v>744</v>
      </c>
      <c r="H68" s="315" t="s">
        <v>745</v>
      </c>
    </row>
    <row r="69" spans="1:8" x14ac:dyDescent="0.25">
      <c r="A69" s="316">
        <v>691</v>
      </c>
      <c r="B69" s="316">
        <v>49241</v>
      </c>
      <c r="C69" s="315" t="s">
        <v>728</v>
      </c>
      <c r="D69" s="315" t="s">
        <v>729</v>
      </c>
      <c r="E69" s="315" t="s">
        <v>407</v>
      </c>
      <c r="F69" s="315" t="s">
        <v>746</v>
      </c>
      <c r="G69" s="315" t="s">
        <v>634</v>
      </c>
      <c r="H69" s="315" t="s">
        <v>665</v>
      </c>
    </row>
    <row r="70" spans="1:8" x14ac:dyDescent="0.25">
      <c r="A70" s="316">
        <v>827</v>
      </c>
      <c r="B70" s="316">
        <v>141</v>
      </c>
      <c r="C70" s="315" t="s">
        <v>631</v>
      </c>
      <c r="D70" s="315" t="s">
        <v>632</v>
      </c>
      <c r="E70" s="315" t="s">
        <v>585</v>
      </c>
      <c r="F70" s="315" t="s">
        <v>747</v>
      </c>
      <c r="G70" s="315" t="s">
        <v>634</v>
      </c>
      <c r="H70" s="315" t="s">
        <v>262</v>
      </c>
    </row>
    <row r="71" spans="1:8" x14ac:dyDescent="0.25">
      <c r="A71" s="316">
        <v>851</v>
      </c>
      <c r="B71" s="316">
        <v>22436</v>
      </c>
      <c r="C71" s="315" t="s">
        <v>645</v>
      </c>
      <c r="D71" s="315" t="s">
        <v>659</v>
      </c>
      <c r="E71" s="315" t="s">
        <v>580</v>
      </c>
      <c r="F71" s="315" t="s">
        <v>748</v>
      </c>
      <c r="G71" s="315" t="s">
        <v>634</v>
      </c>
      <c r="H71" s="315" t="s">
        <v>726</v>
      </c>
    </row>
    <row r="72" spans="1:8" x14ac:dyDescent="0.25">
      <c r="A72" s="316">
        <v>896</v>
      </c>
      <c r="B72" s="316">
        <v>66199</v>
      </c>
      <c r="C72" s="315" t="s">
        <v>631</v>
      </c>
      <c r="D72" s="315" t="s">
        <v>742</v>
      </c>
      <c r="E72" s="315" t="s">
        <v>480</v>
      </c>
      <c r="F72" s="315" t="s">
        <v>749</v>
      </c>
      <c r="G72" s="315" t="s">
        <v>634</v>
      </c>
      <c r="H72" s="315" t="s">
        <v>750</v>
      </c>
    </row>
    <row r="73" spans="1:8" x14ac:dyDescent="0.25">
      <c r="A73" s="316">
        <v>904</v>
      </c>
      <c r="B73" s="316">
        <v>13746</v>
      </c>
      <c r="C73" s="315" t="s">
        <v>636</v>
      </c>
      <c r="D73" s="315" t="s">
        <v>711</v>
      </c>
      <c r="E73" s="315" t="s">
        <v>386</v>
      </c>
      <c r="F73" s="315" t="s">
        <v>751</v>
      </c>
      <c r="G73" s="315" t="s">
        <v>744</v>
      </c>
      <c r="H73" s="315" t="s">
        <v>752</v>
      </c>
    </row>
    <row r="74" spans="1:8" x14ac:dyDescent="0.25">
      <c r="A74" s="316">
        <v>967</v>
      </c>
      <c r="B74" s="316">
        <v>821</v>
      </c>
      <c r="C74" s="315" t="s">
        <v>636</v>
      </c>
      <c r="D74" s="315" t="s">
        <v>653</v>
      </c>
      <c r="E74" s="315" t="s">
        <v>506</v>
      </c>
      <c r="F74" s="315" t="s">
        <v>753</v>
      </c>
      <c r="G74" s="315" t="s">
        <v>744</v>
      </c>
      <c r="H74" s="315" t="s">
        <v>752</v>
      </c>
    </row>
    <row r="75" spans="1:8" x14ac:dyDescent="0.25">
      <c r="A75" s="316">
        <v>970</v>
      </c>
      <c r="B75" s="316">
        <v>13872</v>
      </c>
      <c r="C75" s="315" t="s">
        <v>718</v>
      </c>
      <c r="D75" s="315" t="s">
        <v>719</v>
      </c>
      <c r="E75" s="315" t="s">
        <v>516</v>
      </c>
      <c r="F75" s="315" t="s">
        <v>754</v>
      </c>
      <c r="G75" s="315" t="s">
        <v>744</v>
      </c>
      <c r="H75" s="315" t="s">
        <v>752</v>
      </c>
    </row>
    <row r="76" spans="1:8" x14ac:dyDescent="0.25">
      <c r="A76" s="316">
        <v>999</v>
      </c>
      <c r="B76" s="316">
        <v>67710</v>
      </c>
      <c r="C76" s="315" t="s">
        <v>718</v>
      </c>
      <c r="D76" s="315" t="s">
        <v>719</v>
      </c>
      <c r="E76" s="315" t="s">
        <v>516</v>
      </c>
      <c r="F76" s="315" t="s">
        <v>755</v>
      </c>
      <c r="G76" s="315" t="s">
        <v>744</v>
      </c>
      <c r="H76" s="315" t="s">
        <v>745</v>
      </c>
    </row>
    <row r="77" spans="1:8" x14ac:dyDescent="0.25">
      <c r="A77" s="316">
        <v>86</v>
      </c>
      <c r="B77" s="316">
        <v>63888</v>
      </c>
      <c r="C77" s="315" t="s">
        <v>640</v>
      </c>
      <c r="D77" s="315" t="s">
        <v>666</v>
      </c>
      <c r="E77" s="315" t="s">
        <v>397</v>
      </c>
      <c r="F77" s="315" t="s">
        <v>756</v>
      </c>
      <c r="G77" s="315" t="s">
        <v>634</v>
      </c>
      <c r="H77" s="315" t="s">
        <v>635</v>
      </c>
    </row>
    <row r="78" spans="1:8" x14ac:dyDescent="0.25">
      <c r="A78" s="316">
        <v>298</v>
      </c>
      <c r="B78" s="316">
        <v>64286</v>
      </c>
      <c r="C78" s="315" t="s">
        <v>728</v>
      </c>
      <c r="D78" s="315" t="s">
        <v>757</v>
      </c>
      <c r="E78" s="315" t="s">
        <v>609</v>
      </c>
      <c r="F78" s="315" t="s">
        <v>758</v>
      </c>
      <c r="G78" s="315" t="s">
        <v>634</v>
      </c>
      <c r="H78" s="315" t="s">
        <v>635</v>
      </c>
    </row>
    <row r="79" spans="1:8" x14ac:dyDescent="0.25">
      <c r="A79" s="316">
        <v>180</v>
      </c>
      <c r="B79" s="316">
        <v>160</v>
      </c>
      <c r="C79" s="315" t="s">
        <v>645</v>
      </c>
      <c r="D79" s="315" t="s">
        <v>659</v>
      </c>
      <c r="E79" s="315" t="s">
        <v>492</v>
      </c>
      <c r="F79" s="315" t="s">
        <v>759</v>
      </c>
      <c r="G79" s="315" t="s">
        <v>634</v>
      </c>
      <c r="H79" s="315" t="s">
        <v>635</v>
      </c>
    </row>
    <row r="80" spans="1:8" x14ac:dyDescent="0.25">
      <c r="A80" s="316">
        <v>482</v>
      </c>
      <c r="B80" s="316">
        <v>21</v>
      </c>
      <c r="C80" s="315" t="s">
        <v>728</v>
      </c>
      <c r="D80" s="315" t="s">
        <v>729</v>
      </c>
      <c r="E80" s="315" t="s">
        <v>462</v>
      </c>
      <c r="F80" s="315" t="s">
        <v>760</v>
      </c>
      <c r="G80" s="315" t="s">
        <v>634</v>
      </c>
      <c r="H80" s="315" t="s">
        <v>673</v>
      </c>
    </row>
    <row r="81" spans="1:8" x14ac:dyDescent="0.25">
      <c r="A81" s="316">
        <v>892</v>
      </c>
      <c r="B81" s="316">
        <v>67170</v>
      </c>
      <c r="C81" s="315" t="s">
        <v>761</v>
      </c>
      <c r="D81" s="315" t="s">
        <v>762</v>
      </c>
      <c r="E81" s="315" t="s">
        <v>572</v>
      </c>
      <c r="F81" s="315" t="s">
        <v>763</v>
      </c>
      <c r="G81" s="315" t="s">
        <v>744</v>
      </c>
      <c r="H81" s="315" t="s">
        <v>745</v>
      </c>
    </row>
    <row r="82" spans="1:8" x14ac:dyDescent="0.25">
      <c r="A82" s="316">
        <v>893</v>
      </c>
      <c r="B82" s="316">
        <v>67171</v>
      </c>
      <c r="C82" s="315" t="s">
        <v>761</v>
      </c>
      <c r="D82" s="315" t="s">
        <v>762</v>
      </c>
      <c r="E82" s="315" t="s">
        <v>572</v>
      </c>
      <c r="F82" s="315" t="s">
        <v>764</v>
      </c>
      <c r="G82" s="315" t="s">
        <v>744</v>
      </c>
      <c r="H82" s="315" t="s">
        <v>745</v>
      </c>
    </row>
    <row r="83" spans="1:8" x14ac:dyDescent="0.25">
      <c r="A83" s="316">
        <v>136</v>
      </c>
      <c r="B83" s="316">
        <v>279</v>
      </c>
      <c r="C83" s="315" t="s">
        <v>640</v>
      </c>
      <c r="D83" s="315" t="s">
        <v>657</v>
      </c>
      <c r="E83" s="315" t="s">
        <v>447</v>
      </c>
      <c r="F83" s="315" t="s">
        <v>765</v>
      </c>
      <c r="G83" s="315" t="s">
        <v>634</v>
      </c>
      <c r="H83" s="315" t="s">
        <v>635</v>
      </c>
    </row>
    <row r="84" spans="1:8" x14ac:dyDescent="0.25">
      <c r="A84" s="316">
        <v>263</v>
      </c>
      <c r="B84" s="316">
        <v>49658</v>
      </c>
      <c r="C84" s="315" t="s">
        <v>631</v>
      </c>
      <c r="D84" s="315" t="s">
        <v>766</v>
      </c>
      <c r="E84" s="315" t="s">
        <v>575</v>
      </c>
      <c r="F84" s="315" t="s">
        <v>767</v>
      </c>
      <c r="G84" s="315" t="s">
        <v>634</v>
      </c>
      <c r="H84" s="315" t="s">
        <v>635</v>
      </c>
    </row>
    <row r="85" spans="1:8" x14ac:dyDescent="0.25">
      <c r="A85" s="316">
        <v>40</v>
      </c>
      <c r="B85" s="316">
        <v>48652</v>
      </c>
      <c r="C85" s="315" t="s">
        <v>728</v>
      </c>
      <c r="D85" s="315" t="s">
        <v>757</v>
      </c>
      <c r="E85" s="315" t="s">
        <v>351</v>
      </c>
      <c r="F85" s="315" t="s">
        <v>768</v>
      </c>
      <c r="G85" s="315" t="s">
        <v>634</v>
      </c>
      <c r="H85" s="315" t="s">
        <v>635</v>
      </c>
    </row>
    <row r="86" spans="1:8" x14ac:dyDescent="0.25">
      <c r="A86" s="316">
        <v>273</v>
      </c>
      <c r="B86" s="316">
        <v>64204</v>
      </c>
      <c r="C86" s="315" t="s">
        <v>679</v>
      </c>
      <c r="D86" s="315" t="s">
        <v>704</v>
      </c>
      <c r="E86" s="315" t="s">
        <v>584</v>
      </c>
      <c r="F86" s="315" t="s">
        <v>769</v>
      </c>
      <c r="G86" s="315" t="s">
        <v>634</v>
      </c>
      <c r="H86" s="315" t="s">
        <v>635</v>
      </c>
    </row>
    <row r="87" spans="1:8" x14ac:dyDescent="0.25">
      <c r="A87" s="316">
        <v>300</v>
      </c>
      <c r="B87" s="316">
        <v>135</v>
      </c>
      <c r="C87" s="315" t="s">
        <v>636</v>
      </c>
      <c r="D87" s="315" t="s">
        <v>711</v>
      </c>
      <c r="E87" s="315" t="s">
        <v>611</v>
      </c>
      <c r="F87" s="315" t="s">
        <v>770</v>
      </c>
      <c r="G87" s="315" t="s">
        <v>634</v>
      </c>
      <c r="H87" s="315" t="s">
        <v>635</v>
      </c>
    </row>
    <row r="88" spans="1:8" x14ac:dyDescent="0.25">
      <c r="A88" s="316">
        <v>19</v>
      </c>
      <c r="B88" s="316">
        <v>63806</v>
      </c>
      <c r="C88" s="315" t="s">
        <v>771</v>
      </c>
      <c r="D88" s="315" t="s">
        <v>772</v>
      </c>
      <c r="E88" s="315" t="s">
        <v>329</v>
      </c>
      <c r="F88" s="315" t="s">
        <v>773</v>
      </c>
      <c r="G88" s="315" t="s">
        <v>634</v>
      </c>
      <c r="H88" s="315" t="s">
        <v>635</v>
      </c>
    </row>
    <row r="89" spans="1:8" x14ac:dyDescent="0.25">
      <c r="A89" s="316">
        <v>149</v>
      </c>
      <c r="B89" s="316">
        <v>167</v>
      </c>
      <c r="C89" s="315" t="s">
        <v>640</v>
      </c>
      <c r="D89" s="315" t="s">
        <v>774</v>
      </c>
      <c r="E89" s="315" t="s">
        <v>460</v>
      </c>
      <c r="F89" s="315" t="s">
        <v>775</v>
      </c>
      <c r="G89" s="315" t="s">
        <v>634</v>
      </c>
      <c r="H89" s="315" t="s">
        <v>635</v>
      </c>
    </row>
    <row r="90" spans="1:8" x14ac:dyDescent="0.25">
      <c r="A90" s="316">
        <v>218</v>
      </c>
      <c r="B90" s="316">
        <v>63962</v>
      </c>
      <c r="C90" s="315" t="s">
        <v>771</v>
      </c>
      <c r="D90" s="315" t="s">
        <v>776</v>
      </c>
      <c r="E90" s="315" t="s">
        <v>531</v>
      </c>
      <c r="F90" s="315" t="s">
        <v>777</v>
      </c>
      <c r="G90" s="315" t="s">
        <v>634</v>
      </c>
      <c r="H90" s="315" t="s">
        <v>635</v>
      </c>
    </row>
    <row r="91" spans="1:8" x14ac:dyDescent="0.25">
      <c r="A91" s="316">
        <v>339</v>
      </c>
      <c r="B91" s="316">
        <v>4</v>
      </c>
      <c r="C91" s="315" t="s">
        <v>631</v>
      </c>
      <c r="D91" s="315" t="s">
        <v>632</v>
      </c>
      <c r="E91" s="315" t="s">
        <v>585</v>
      </c>
      <c r="F91" s="315" t="s">
        <v>778</v>
      </c>
      <c r="G91" s="315" t="s">
        <v>634</v>
      </c>
      <c r="H91" s="315" t="s">
        <v>639</v>
      </c>
    </row>
    <row r="92" spans="1:8" x14ac:dyDescent="0.25">
      <c r="A92" s="316">
        <v>471</v>
      </c>
      <c r="B92" s="316">
        <v>64024</v>
      </c>
      <c r="C92" s="315" t="s">
        <v>640</v>
      </c>
      <c r="D92" s="315" t="s">
        <v>774</v>
      </c>
      <c r="E92" s="315" t="s">
        <v>460</v>
      </c>
      <c r="F92" s="315" t="s">
        <v>779</v>
      </c>
      <c r="G92" s="315" t="s">
        <v>634</v>
      </c>
      <c r="H92" s="315" t="s">
        <v>635</v>
      </c>
    </row>
    <row r="93" spans="1:8" x14ac:dyDescent="0.25">
      <c r="A93" s="316">
        <v>523</v>
      </c>
      <c r="B93" s="316">
        <v>64247</v>
      </c>
      <c r="C93" s="315" t="s">
        <v>640</v>
      </c>
      <c r="D93" s="315" t="s">
        <v>716</v>
      </c>
      <c r="E93" s="315" t="s">
        <v>554</v>
      </c>
      <c r="F93" s="315" t="s">
        <v>780</v>
      </c>
      <c r="G93" s="315" t="s">
        <v>634</v>
      </c>
      <c r="H93" s="315" t="s">
        <v>726</v>
      </c>
    </row>
    <row r="94" spans="1:8" x14ac:dyDescent="0.25">
      <c r="A94" s="316">
        <v>920</v>
      </c>
      <c r="B94" s="316">
        <v>63917</v>
      </c>
      <c r="C94" s="315" t="s">
        <v>640</v>
      </c>
      <c r="D94" s="315" t="s">
        <v>702</v>
      </c>
      <c r="E94" s="315" t="s">
        <v>411</v>
      </c>
      <c r="F94" s="315" t="s">
        <v>781</v>
      </c>
      <c r="G94" s="315" t="s">
        <v>634</v>
      </c>
      <c r="H94" s="315" t="s">
        <v>665</v>
      </c>
    </row>
    <row r="95" spans="1:8" x14ac:dyDescent="0.25">
      <c r="A95" s="316">
        <v>928</v>
      </c>
      <c r="B95" s="316">
        <v>48536</v>
      </c>
      <c r="C95" s="315" t="s">
        <v>640</v>
      </c>
      <c r="D95" s="315" t="s">
        <v>716</v>
      </c>
      <c r="E95" s="315" t="s">
        <v>554</v>
      </c>
      <c r="F95" s="315" t="s">
        <v>782</v>
      </c>
      <c r="G95" s="315" t="s">
        <v>634</v>
      </c>
      <c r="H95" s="315" t="s">
        <v>635</v>
      </c>
    </row>
    <row r="96" spans="1:8" x14ac:dyDescent="0.25">
      <c r="A96" s="316">
        <v>6</v>
      </c>
      <c r="B96" s="316">
        <v>42</v>
      </c>
      <c r="C96" s="315" t="s">
        <v>640</v>
      </c>
      <c r="D96" s="315" t="s">
        <v>702</v>
      </c>
      <c r="E96" s="315" t="s">
        <v>314</v>
      </c>
      <c r="F96" s="315" t="s">
        <v>783</v>
      </c>
      <c r="G96" s="315" t="s">
        <v>634</v>
      </c>
      <c r="H96" s="315" t="s">
        <v>635</v>
      </c>
    </row>
    <row r="97" spans="1:8" x14ac:dyDescent="0.25">
      <c r="A97" s="316">
        <v>14</v>
      </c>
      <c r="B97" s="316">
        <v>63759</v>
      </c>
      <c r="C97" s="315" t="s">
        <v>640</v>
      </c>
      <c r="D97" s="315" t="s">
        <v>784</v>
      </c>
      <c r="E97" s="315" t="s">
        <v>323</v>
      </c>
      <c r="F97" s="315" t="s">
        <v>785</v>
      </c>
      <c r="G97" s="315" t="s">
        <v>634</v>
      </c>
      <c r="H97" s="315" t="s">
        <v>635</v>
      </c>
    </row>
    <row r="98" spans="1:8" x14ac:dyDescent="0.25">
      <c r="A98" s="316">
        <v>23</v>
      </c>
      <c r="B98" s="316">
        <v>64</v>
      </c>
      <c r="C98" s="315" t="s">
        <v>645</v>
      </c>
      <c r="D98" s="315" t="s">
        <v>786</v>
      </c>
      <c r="E98" s="315" t="s">
        <v>333</v>
      </c>
      <c r="F98" s="315" t="s">
        <v>787</v>
      </c>
      <c r="G98" s="315" t="s">
        <v>634</v>
      </c>
      <c r="H98" s="315" t="s">
        <v>635</v>
      </c>
    </row>
    <row r="99" spans="1:8" x14ac:dyDescent="0.25">
      <c r="A99" s="316">
        <v>37</v>
      </c>
      <c r="B99" s="316">
        <v>234</v>
      </c>
      <c r="C99" s="315" t="s">
        <v>640</v>
      </c>
      <c r="D99" s="315" t="s">
        <v>716</v>
      </c>
      <c r="E99" s="315" t="s">
        <v>347</v>
      </c>
      <c r="F99" s="315" t="s">
        <v>788</v>
      </c>
      <c r="G99" s="315" t="s">
        <v>634</v>
      </c>
      <c r="H99" s="315" t="s">
        <v>635</v>
      </c>
    </row>
    <row r="100" spans="1:8" x14ac:dyDescent="0.25">
      <c r="A100" s="316">
        <v>146</v>
      </c>
      <c r="B100" s="316">
        <v>357</v>
      </c>
      <c r="C100" s="315" t="s">
        <v>640</v>
      </c>
      <c r="D100" s="315" t="s">
        <v>650</v>
      </c>
      <c r="E100" s="315" t="s">
        <v>457</v>
      </c>
      <c r="F100" s="315" t="s">
        <v>789</v>
      </c>
      <c r="G100" s="315" t="s">
        <v>634</v>
      </c>
      <c r="H100" s="315" t="s">
        <v>635</v>
      </c>
    </row>
    <row r="101" spans="1:8" x14ac:dyDescent="0.25">
      <c r="A101" s="316">
        <v>241</v>
      </c>
      <c r="B101" s="316">
        <v>64245</v>
      </c>
      <c r="C101" s="315" t="s">
        <v>640</v>
      </c>
      <c r="D101" s="315" t="s">
        <v>716</v>
      </c>
      <c r="E101" s="315" t="s">
        <v>554</v>
      </c>
      <c r="F101" s="315" t="s">
        <v>790</v>
      </c>
      <c r="G101" s="315" t="s">
        <v>634</v>
      </c>
      <c r="H101" s="315" t="s">
        <v>635</v>
      </c>
    </row>
    <row r="102" spans="1:8" x14ac:dyDescent="0.25">
      <c r="A102" s="316">
        <v>285</v>
      </c>
      <c r="B102" s="316">
        <v>48515</v>
      </c>
      <c r="C102" s="315" t="s">
        <v>640</v>
      </c>
      <c r="D102" s="315" t="s">
        <v>702</v>
      </c>
      <c r="E102" s="315" t="s">
        <v>597</v>
      </c>
      <c r="F102" s="315" t="s">
        <v>791</v>
      </c>
      <c r="G102" s="315" t="s">
        <v>634</v>
      </c>
      <c r="H102" s="315" t="s">
        <v>635</v>
      </c>
    </row>
    <row r="103" spans="1:8" x14ac:dyDescent="0.25">
      <c r="A103" s="316">
        <v>435</v>
      </c>
      <c r="B103" s="316">
        <v>64339</v>
      </c>
      <c r="C103" s="315" t="s">
        <v>640</v>
      </c>
      <c r="D103" s="315" t="s">
        <v>702</v>
      </c>
      <c r="E103" s="315" t="s">
        <v>792</v>
      </c>
      <c r="F103" s="315" t="s">
        <v>793</v>
      </c>
      <c r="G103" s="315" t="s">
        <v>634</v>
      </c>
      <c r="H103" s="315" t="s">
        <v>673</v>
      </c>
    </row>
    <row r="104" spans="1:8" x14ac:dyDescent="0.25">
      <c r="A104" s="316">
        <v>555</v>
      </c>
      <c r="B104" s="316">
        <v>64248</v>
      </c>
      <c r="C104" s="315" t="s">
        <v>640</v>
      </c>
      <c r="D104" s="315" t="s">
        <v>716</v>
      </c>
      <c r="E104" s="315" t="s">
        <v>554</v>
      </c>
      <c r="F104" s="315" t="s">
        <v>794</v>
      </c>
      <c r="G104" s="315" t="s">
        <v>634</v>
      </c>
      <c r="H104" s="315" t="s">
        <v>795</v>
      </c>
    </row>
    <row r="105" spans="1:8" x14ac:dyDescent="0.25">
      <c r="A105" s="316">
        <v>622</v>
      </c>
      <c r="B105" s="316">
        <v>64252</v>
      </c>
      <c r="C105" s="315" t="s">
        <v>640</v>
      </c>
      <c r="D105" s="315" t="s">
        <v>650</v>
      </c>
      <c r="E105" s="315" t="s">
        <v>555</v>
      </c>
      <c r="F105" s="315" t="s">
        <v>796</v>
      </c>
      <c r="G105" s="315" t="s">
        <v>634</v>
      </c>
      <c r="H105" s="315" t="s">
        <v>644</v>
      </c>
    </row>
    <row r="106" spans="1:8" x14ac:dyDescent="0.25">
      <c r="A106" s="316">
        <v>672</v>
      </c>
      <c r="B106" s="316">
        <v>63778</v>
      </c>
      <c r="C106" s="315" t="s">
        <v>718</v>
      </c>
      <c r="D106" s="315" t="s">
        <v>797</v>
      </c>
      <c r="E106" s="315" t="s">
        <v>317</v>
      </c>
      <c r="F106" s="315" t="s">
        <v>798</v>
      </c>
      <c r="G106" s="315" t="s">
        <v>634</v>
      </c>
      <c r="H106" s="315" t="s">
        <v>665</v>
      </c>
    </row>
    <row r="107" spans="1:8" x14ac:dyDescent="0.25">
      <c r="A107" s="316">
        <v>687</v>
      </c>
      <c r="B107" s="316">
        <v>63895</v>
      </c>
      <c r="C107" s="315" t="s">
        <v>706</v>
      </c>
      <c r="D107" s="315" t="s">
        <v>799</v>
      </c>
      <c r="E107" s="315" t="s">
        <v>396</v>
      </c>
      <c r="F107" s="315" t="s">
        <v>800</v>
      </c>
      <c r="G107" s="315" t="s">
        <v>634</v>
      </c>
      <c r="H107" s="315" t="s">
        <v>665</v>
      </c>
    </row>
    <row r="108" spans="1:8" x14ac:dyDescent="0.25">
      <c r="A108" s="316">
        <v>919</v>
      </c>
      <c r="B108" s="316">
        <v>66205</v>
      </c>
      <c r="C108" s="315" t="s">
        <v>679</v>
      </c>
      <c r="D108" s="315" t="s">
        <v>704</v>
      </c>
      <c r="E108" s="315" t="s">
        <v>584</v>
      </c>
      <c r="F108" s="315" t="s">
        <v>801</v>
      </c>
      <c r="G108" s="315" t="s">
        <v>634</v>
      </c>
      <c r="H108" s="315" t="s">
        <v>644</v>
      </c>
    </row>
    <row r="109" spans="1:8" x14ac:dyDescent="0.25">
      <c r="A109" s="316">
        <v>4</v>
      </c>
      <c r="B109" s="316">
        <v>280</v>
      </c>
      <c r="C109" s="315" t="s">
        <v>771</v>
      </c>
      <c r="D109" s="315" t="s">
        <v>776</v>
      </c>
      <c r="E109" s="315" t="s">
        <v>312</v>
      </c>
      <c r="F109" s="315" t="s">
        <v>802</v>
      </c>
      <c r="G109" s="315" t="s">
        <v>634</v>
      </c>
      <c r="H109" s="315" t="s">
        <v>635</v>
      </c>
    </row>
    <row r="110" spans="1:8" x14ac:dyDescent="0.25">
      <c r="A110" s="316">
        <v>50</v>
      </c>
      <c r="B110" s="316">
        <v>63859</v>
      </c>
      <c r="C110" s="315" t="s">
        <v>728</v>
      </c>
      <c r="D110" s="315" t="s">
        <v>757</v>
      </c>
      <c r="E110" s="315" t="s">
        <v>360</v>
      </c>
      <c r="F110" s="315" t="s">
        <v>803</v>
      </c>
      <c r="G110" s="315" t="s">
        <v>634</v>
      </c>
      <c r="H110" s="315" t="s">
        <v>635</v>
      </c>
    </row>
    <row r="111" spans="1:8" x14ac:dyDescent="0.25">
      <c r="A111" s="316">
        <v>78</v>
      </c>
      <c r="B111" s="316">
        <v>48935</v>
      </c>
      <c r="C111" s="315" t="s">
        <v>631</v>
      </c>
      <c r="D111" s="315" t="s">
        <v>804</v>
      </c>
      <c r="E111" s="315" t="s">
        <v>389</v>
      </c>
      <c r="F111" s="315" t="s">
        <v>805</v>
      </c>
      <c r="G111" s="315" t="s">
        <v>634</v>
      </c>
      <c r="H111" s="315" t="s">
        <v>635</v>
      </c>
    </row>
    <row r="112" spans="1:8" x14ac:dyDescent="0.25">
      <c r="A112" s="316">
        <v>155</v>
      </c>
      <c r="B112" s="316">
        <v>64057</v>
      </c>
      <c r="C112" s="315" t="s">
        <v>679</v>
      </c>
      <c r="D112" s="315" t="s">
        <v>680</v>
      </c>
      <c r="E112" s="315" t="s">
        <v>467</v>
      </c>
      <c r="F112" s="315" t="s">
        <v>806</v>
      </c>
      <c r="G112" s="315" t="s">
        <v>634</v>
      </c>
      <c r="H112" s="315" t="s">
        <v>635</v>
      </c>
    </row>
    <row r="113" spans="1:8" x14ac:dyDescent="0.25">
      <c r="A113" s="316">
        <v>159</v>
      </c>
      <c r="B113" s="316">
        <v>128</v>
      </c>
      <c r="C113" s="315" t="s">
        <v>636</v>
      </c>
      <c r="D113" s="315" t="s">
        <v>637</v>
      </c>
      <c r="E113" s="315" t="s">
        <v>471</v>
      </c>
      <c r="F113" s="315" t="s">
        <v>807</v>
      </c>
      <c r="G113" s="315" t="s">
        <v>634</v>
      </c>
      <c r="H113" s="315" t="s">
        <v>635</v>
      </c>
    </row>
    <row r="114" spans="1:8" x14ac:dyDescent="0.25">
      <c r="A114" s="316">
        <v>166</v>
      </c>
      <c r="B114" s="316">
        <v>45381</v>
      </c>
      <c r="C114" s="315" t="s">
        <v>645</v>
      </c>
      <c r="D114" s="315" t="s">
        <v>659</v>
      </c>
      <c r="E114" s="315" t="s">
        <v>478</v>
      </c>
      <c r="F114" s="315" t="s">
        <v>808</v>
      </c>
      <c r="G114" s="315" t="s">
        <v>634</v>
      </c>
      <c r="H114" s="315" t="s">
        <v>635</v>
      </c>
    </row>
    <row r="115" spans="1:8" x14ac:dyDescent="0.25">
      <c r="A115" s="316">
        <v>258</v>
      </c>
      <c r="B115" s="316">
        <v>48922</v>
      </c>
      <c r="C115" s="315" t="s">
        <v>761</v>
      </c>
      <c r="D115" s="315" t="s">
        <v>762</v>
      </c>
      <c r="E115" s="315" t="s">
        <v>572</v>
      </c>
      <c r="F115" s="315" t="s">
        <v>809</v>
      </c>
      <c r="G115" s="315" t="s">
        <v>634</v>
      </c>
      <c r="H115" s="315" t="s">
        <v>635</v>
      </c>
    </row>
    <row r="116" spans="1:8" x14ac:dyDescent="0.25">
      <c r="A116" s="316">
        <v>260</v>
      </c>
      <c r="B116" s="316">
        <v>64290</v>
      </c>
      <c r="C116" s="315" t="s">
        <v>761</v>
      </c>
      <c r="D116" s="315" t="s">
        <v>762</v>
      </c>
      <c r="E116" s="315" t="s">
        <v>572</v>
      </c>
      <c r="F116" s="315" t="s">
        <v>810</v>
      </c>
      <c r="G116" s="315" t="s">
        <v>634</v>
      </c>
      <c r="H116" s="315" t="s">
        <v>726</v>
      </c>
    </row>
    <row r="117" spans="1:8" x14ac:dyDescent="0.25">
      <c r="A117" s="316">
        <v>274</v>
      </c>
      <c r="B117" s="316">
        <v>48662</v>
      </c>
      <c r="C117" s="315" t="s">
        <v>640</v>
      </c>
      <c r="D117" s="315" t="s">
        <v>650</v>
      </c>
      <c r="E117" s="315" t="s">
        <v>586</v>
      </c>
      <c r="F117" s="315" t="s">
        <v>811</v>
      </c>
      <c r="G117" s="315" t="s">
        <v>634</v>
      </c>
      <c r="H117" s="315" t="s">
        <v>635</v>
      </c>
    </row>
    <row r="118" spans="1:8" x14ac:dyDescent="0.25">
      <c r="A118" s="316">
        <v>432</v>
      </c>
      <c r="B118" s="316">
        <v>63914</v>
      </c>
      <c r="C118" s="315" t="s">
        <v>645</v>
      </c>
      <c r="D118" s="315" t="s">
        <v>659</v>
      </c>
      <c r="E118" s="315" t="s">
        <v>478</v>
      </c>
      <c r="F118" s="315" t="s">
        <v>812</v>
      </c>
      <c r="G118" s="315" t="s">
        <v>634</v>
      </c>
      <c r="H118" s="315" t="s">
        <v>673</v>
      </c>
    </row>
    <row r="119" spans="1:8" x14ac:dyDescent="0.25">
      <c r="A119" s="316">
        <v>493</v>
      </c>
      <c r="B119" s="316">
        <v>165</v>
      </c>
      <c r="C119" s="315" t="s">
        <v>636</v>
      </c>
      <c r="D119" s="315" t="s">
        <v>813</v>
      </c>
      <c r="E119" s="315" t="s">
        <v>395</v>
      </c>
      <c r="F119" s="315" t="s">
        <v>814</v>
      </c>
      <c r="G119" s="315" t="s">
        <v>634</v>
      </c>
      <c r="H119" s="315" t="s">
        <v>635</v>
      </c>
    </row>
    <row r="120" spans="1:8" x14ac:dyDescent="0.25">
      <c r="A120" s="316">
        <v>574</v>
      </c>
      <c r="B120" s="316">
        <v>63780</v>
      </c>
      <c r="C120" s="315" t="s">
        <v>718</v>
      </c>
      <c r="D120" s="315" t="s">
        <v>719</v>
      </c>
      <c r="E120" s="315" t="s">
        <v>321</v>
      </c>
      <c r="F120" s="315" t="s">
        <v>815</v>
      </c>
      <c r="G120" s="315" t="s">
        <v>634</v>
      </c>
      <c r="H120" s="315" t="s">
        <v>639</v>
      </c>
    </row>
    <row r="121" spans="1:8" x14ac:dyDescent="0.25">
      <c r="A121" s="316">
        <v>585</v>
      </c>
      <c r="B121" s="316">
        <v>64239</v>
      </c>
      <c r="C121" s="315" t="s">
        <v>636</v>
      </c>
      <c r="D121" s="315" t="s">
        <v>816</v>
      </c>
      <c r="E121" s="315" t="s">
        <v>542</v>
      </c>
      <c r="F121" s="315" t="s">
        <v>817</v>
      </c>
      <c r="G121" s="315" t="s">
        <v>634</v>
      </c>
      <c r="H121" s="315" t="s">
        <v>665</v>
      </c>
    </row>
    <row r="122" spans="1:8" x14ac:dyDescent="0.25">
      <c r="A122" s="316">
        <v>664</v>
      </c>
      <c r="B122" s="316">
        <v>63781</v>
      </c>
      <c r="C122" s="315" t="s">
        <v>718</v>
      </c>
      <c r="D122" s="315" t="s">
        <v>719</v>
      </c>
      <c r="E122" s="315" t="s">
        <v>321</v>
      </c>
      <c r="F122" s="315" t="s">
        <v>818</v>
      </c>
      <c r="G122" s="315" t="s">
        <v>634</v>
      </c>
      <c r="H122" s="315" t="s">
        <v>819</v>
      </c>
    </row>
    <row r="123" spans="1:8" x14ac:dyDescent="0.25">
      <c r="A123" s="316">
        <v>665</v>
      </c>
      <c r="B123" s="316">
        <v>63785</v>
      </c>
      <c r="C123" s="315" t="s">
        <v>718</v>
      </c>
      <c r="D123" s="315" t="s">
        <v>719</v>
      </c>
      <c r="E123" s="315" t="s">
        <v>321</v>
      </c>
      <c r="F123" s="315" t="s">
        <v>820</v>
      </c>
      <c r="G123" s="315" t="s">
        <v>634</v>
      </c>
      <c r="H123" s="315" t="s">
        <v>649</v>
      </c>
    </row>
    <row r="124" spans="1:8" x14ac:dyDescent="0.25">
      <c r="A124" s="316">
        <v>1004</v>
      </c>
      <c r="B124" s="316">
        <v>67138</v>
      </c>
      <c r="C124" s="315" t="s">
        <v>636</v>
      </c>
      <c r="D124" s="315" t="s">
        <v>637</v>
      </c>
      <c r="E124" s="315" t="s">
        <v>548</v>
      </c>
      <c r="F124" s="315" t="s">
        <v>821</v>
      </c>
      <c r="G124" s="315" t="s">
        <v>744</v>
      </c>
      <c r="H124" s="315" t="s">
        <v>822</v>
      </c>
    </row>
    <row r="125" spans="1:8" x14ac:dyDescent="0.25">
      <c r="A125" s="316">
        <v>1013</v>
      </c>
      <c r="B125" s="316">
        <v>67863</v>
      </c>
      <c r="C125" s="315" t="s">
        <v>771</v>
      </c>
      <c r="D125" s="315" t="s">
        <v>776</v>
      </c>
      <c r="E125" s="315" t="s">
        <v>312</v>
      </c>
      <c r="F125" s="315" t="s">
        <v>823</v>
      </c>
      <c r="G125" s="315" t="s">
        <v>744</v>
      </c>
      <c r="H125" s="315" t="s">
        <v>822</v>
      </c>
    </row>
    <row r="126" spans="1:8" x14ac:dyDescent="0.25">
      <c r="A126" s="316">
        <v>1019</v>
      </c>
      <c r="B126" s="316">
        <v>64085</v>
      </c>
      <c r="C126" s="315" t="s">
        <v>645</v>
      </c>
      <c r="D126" s="315" t="s">
        <v>659</v>
      </c>
      <c r="E126" s="315" t="s">
        <v>478</v>
      </c>
      <c r="F126" s="315" t="s">
        <v>824</v>
      </c>
      <c r="G126" s="315" t="s">
        <v>634</v>
      </c>
      <c r="H126" s="315" t="s">
        <v>665</v>
      </c>
    </row>
    <row r="127" spans="1:8" x14ac:dyDescent="0.25">
      <c r="A127" s="316">
        <v>777</v>
      </c>
      <c r="B127" s="316">
        <v>22</v>
      </c>
      <c r="C127" s="315" t="s">
        <v>728</v>
      </c>
      <c r="D127" s="315" t="s">
        <v>757</v>
      </c>
      <c r="E127" s="315" t="s">
        <v>606</v>
      </c>
      <c r="F127" s="315" t="s">
        <v>825</v>
      </c>
      <c r="G127" s="315" t="s">
        <v>634</v>
      </c>
      <c r="H127" s="315" t="s">
        <v>649</v>
      </c>
    </row>
    <row r="128" spans="1:8" x14ac:dyDescent="0.25">
      <c r="A128" s="316">
        <v>1</v>
      </c>
      <c r="B128" s="316">
        <v>306</v>
      </c>
      <c r="C128" s="315" t="s">
        <v>636</v>
      </c>
      <c r="D128" s="315" t="s">
        <v>813</v>
      </c>
      <c r="E128" s="315" t="s">
        <v>309</v>
      </c>
      <c r="F128" s="315" t="s">
        <v>826</v>
      </c>
      <c r="G128" s="315" t="s">
        <v>634</v>
      </c>
      <c r="H128" s="315" t="s">
        <v>635</v>
      </c>
    </row>
    <row r="129" spans="1:8" x14ac:dyDescent="0.25">
      <c r="A129" s="316">
        <v>82</v>
      </c>
      <c r="B129" s="316">
        <v>268</v>
      </c>
      <c r="C129" s="315" t="s">
        <v>771</v>
      </c>
      <c r="D129" s="315" t="s">
        <v>772</v>
      </c>
      <c r="E129" s="315" t="s">
        <v>392</v>
      </c>
      <c r="F129" s="315" t="s">
        <v>827</v>
      </c>
      <c r="G129" s="315" t="s">
        <v>634</v>
      </c>
      <c r="H129" s="315" t="s">
        <v>635</v>
      </c>
    </row>
    <row r="130" spans="1:8" x14ac:dyDescent="0.25">
      <c r="A130" s="316">
        <v>109</v>
      </c>
      <c r="B130" s="316">
        <v>136</v>
      </c>
      <c r="C130" s="315" t="s">
        <v>761</v>
      </c>
      <c r="D130" s="315" t="s">
        <v>828</v>
      </c>
      <c r="E130" s="315" t="s">
        <v>418</v>
      </c>
      <c r="F130" s="315" t="s">
        <v>829</v>
      </c>
      <c r="G130" s="315" t="s">
        <v>634</v>
      </c>
      <c r="H130" s="315" t="s">
        <v>635</v>
      </c>
    </row>
    <row r="131" spans="1:8" x14ac:dyDescent="0.25">
      <c r="A131" s="316">
        <v>110</v>
      </c>
      <c r="B131" s="316">
        <v>49948</v>
      </c>
      <c r="C131" s="315" t="s">
        <v>718</v>
      </c>
      <c r="D131" s="315" t="s">
        <v>797</v>
      </c>
      <c r="E131" s="315" t="s">
        <v>419</v>
      </c>
      <c r="F131" s="315" t="s">
        <v>830</v>
      </c>
      <c r="G131" s="315" t="s">
        <v>634</v>
      </c>
      <c r="H131" s="315" t="s">
        <v>635</v>
      </c>
    </row>
    <row r="132" spans="1:8" x14ac:dyDescent="0.25">
      <c r="A132" s="316">
        <v>114</v>
      </c>
      <c r="B132" s="316">
        <v>63955</v>
      </c>
      <c r="C132" s="315" t="s">
        <v>706</v>
      </c>
      <c r="D132" s="315" t="s">
        <v>831</v>
      </c>
      <c r="E132" s="315" t="s">
        <v>423</v>
      </c>
      <c r="F132" s="315" t="s">
        <v>832</v>
      </c>
      <c r="G132" s="315" t="s">
        <v>634</v>
      </c>
      <c r="H132" s="315" t="s">
        <v>635</v>
      </c>
    </row>
    <row r="133" spans="1:8" x14ac:dyDescent="0.25">
      <c r="A133" s="316">
        <v>119</v>
      </c>
      <c r="B133" s="316">
        <v>48915</v>
      </c>
      <c r="C133" s="315" t="s">
        <v>631</v>
      </c>
      <c r="D133" s="315" t="s">
        <v>804</v>
      </c>
      <c r="E133" s="315" t="s">
        <v>428</v>
      </c>
      <c r="F133" s="315" t="s">
        <v>833</v>
      </c>
      <c r="G133" s="315" t="s">
        <v>634</v>
      </c>
      <c r="H133" s="315" t="s">
        <v>635</v>
      </c>
    </row>
    <row r="134" spans="1:8" x14ac:dyDescent="0.25">
      <c r="A134" s="316">
        <v>139</v>
      </c>
      <c r="B134" s="316">
        <v>54839</v>
      </c>
      <c r="C134" s="315" t="s">
        <v>706</v>
      </c>
      <c r="D134" s="315" t="s">
        <v>834</v>
      </c>
      <c r="E134" s="315" t="s">
        <v>450</v>
      </c>
      <c r="F134" s="315" t="s">
        <v>835</v>
      </c>
      <c r="G134" s="315" t="s">
        <v>634</v>
      </c>
      <c r="H134" s="315" t="s">
        <v>635</v>
      </c>
    </row>
    <row r="135" spans="1:8" x14ac:dyDescent="0.25">
      <c r="A135" s="316">
        <v>141</v>
      </c>
      <c r="B135" s="316">
        <v>48554</v>
      </c>
      <c r="C135" s="315" t="s">
        <v>771</v>
      </c>
      <c r="D135" s="315" t="s">
        <v>836</v>
      </c>
      <c r="E135" s="315" t="s">
        <v>452</v>
      </c>
      <c r="F135" s="315" t="s">
        <v>837</v>
      </c>
      <c r="G135" s="315" t="s">
        <v>634</v>
      </c>
      <c r="H135" s="315" t="s">
        <v>635</v>
      </c>
    </row>
    <row r="136" spans="1:8" x14ac:dyDescent="0.25">
      <c r="A136" s="316">
        <v>143</v>
      </c>
      <c r="B136" s="316">
        <v>48943</v>
      </c>
      <c r="C136" s="315" t="s">
        <v>640</v>
      </c>
      <c r="D136" s="315" t="s">
        <v>666</v>
      </c>
      <c r="E136" s="315" t="s">
        <v>454</v>
      </c>
      <c r="F136" s="315" t="s">
        <v>838</v>
      </c>
      <c r="G136" s="315" t="s">
        <v>634</v>
      </c>
      <c r="H136" s="315" t="s">
        <v>635</v>
      </c>
    </row>
    <row r="137" spans="1:8" x14ac:dyDescent="0.25">
      <c r="A137" s="316">
        <v>154</v>
      </c>
      <c r="B137" s="316">
        <v>64049</v>
      </c>
      <c r="C137" s="315" t="s">
        <v>645</v>
      </c>
      <c r="D137" s="315" t="s">
        <v>659</v>
      </c>
      <c r="E137" s="315" t="s">
        <v>466</v>
      </c>
      <c r="F137" s="315" t="s">
        <v>839</v>
      </c>
      <c r="G137" s="315" t="s">
        <v>634</v>
      </c>
      <c r="H137" s="315" t="s">
        <v>635</v>
      </c>
    </row>
    <row r="138" spans="1:8" x14ac:dyDescent="0.25">
      <c r="A138" s="316">
        <v>156</v>
      </c>
      <c r="B138" s="316">
        <v>266</v>
      </c>
      <c r="C138" s="315" t="s">
        <v>631</v>
      </c>
      <c r="D138" s="315" t="s">
        <v>840</v>
      </c>
      <c r="E138" s="315" t="s">
        <v>468</v>
      </c>
      <c r="F138" s="315" t="s">
        <v>841</v>
      </c>
      <c r="G138" s="315" t="s">
        <v>634</v>
      </c>
      <c r="H138" s="315" t="s">
        <v>635</v>
      </c>
    </row>
    <row r="139" spans="1:8" x14ac:dyDescent="0.25">
      <c r="A139" s="316">
        <v>196</v>
      </c>
      <c r="B139" s="316">
        <v>63897</v>
      </c>
      <c r="C139" s="315" t="s">
        <v>771</v>
      </c>
      <c r="D139" s="315" t="s">
        <v>772</v>
      </c>
      <c r="E139" s="315" t="s">
        <v>508</v>
      </c>
      <c r="F139" s="315" t="s">
        <v>842</v>
      </c>
      <c r="G139" s="315" t="s">
        <v>634</v>
      </c>
      <c r="H139" s="315" t="s">
        <v>635</v>
      </c>
    </row>
    <row r="140" spans="1:8" x14ac:dyDescent="0.25">
      <c r="A140" s="316">
        <v>197</v>
      </c>
      <c r="B140" s="316">
        <v>63939</v>
      </c>
      <c r="C140" s="315" t="s">
        <v>761</v>
      </c>
      <c r="D140" s="315" t="s">
        <v>828</v>
      </c>
      <c r="E140" s="315" t="s">
        <v>509</v>
      </c>
      <c r="F140" s="315" t="s">
        <v>843</v>
      </c>
      <c r="G140" s="315" t="s">
        <v>634</v>
      </c>
      <c r="H140" s="315" t="s">
        <v>635</v>
      </c>
    </row>
    <row r="141" spans="1:8" x14ac:dyDescent="0.25">
      <c r="A141" s="316">
        <v>207</v>
      </c>
      <c r="B141" s="316">
        <v>64227</v>
      </c>
      <c r="C141" s="315" t="s">
        <v>679</v>
      </c>
      <c r="D141" s="315" t="s">
        <v>680</v>
      </c>
      <c r="E141" s="315" t="s">
        <v>519</v>
      </c>
      <c r="F141" s="315" t="s">
        <v>844</v>
      </c>
      <c r="G141" s="315" t="s">
        <v>634</v>
      </c>
      <c r="H141" s="315" t="s">
        <v>635</v>
      </c>
    </row>
    <row r="142" spans="1:8" x14ac:dyDescent="0.25">
      <c r="A142" s="316">
        <v>228</v>
      </c>
      <c r="B142" s="316">
        <v>48928</v>
      </c>
      <c r="C142" s="315" t="s">
        <v>636</v>
      </c>
      <c r="D142" s="315" t="s">
        <v>816</v>
      </c>
      <c r="E142" s="315" t="s">
        <v>542</v>
      </c>
      <c r="F142" s="315" t="s">
        <v>845</v>
      </c>
      <c r="G142" s="315" t="s">
        <v>634</v>
      </c>
      <c r="H142" s="315" t="s">
        <v>635</v>
      </c>
    </row>
    <row r="143" spans="1:8" x14ac:dyDescent="0.25">
      <c r="A143" s="316">
        <v>247</v>
      </c>
      <c r="B143" s="316">
        <v>49674</v>
      </c>
      <c r="C143" s="315" t="s">
        <v>645</v>
      </c>
      <c r="D143" s="315" t="s">
        <v>846</v>
      </c>
      <c r="E143" s="315" t="s">
        <v>562</v>
      </c>
      <c r="F143" s="315" t="s">
        <v>847</v>
      </c>
      <c r="G143" s="315" t="s">
        <v>634</v>
      </c>
      <c r="H143" s="315" t="s">
        <v>635</v>
      </c>
    </row>
    <row r="144" spans="1:8" x14ac:dyDescent="0.25">
      <c r="A144" s="316">
        <v>251</v>
      </c>
      <c r="B144" s="316">
        <v>156</v>
      </c>
      <c r="C144" s="315" t="s">
        <v>771</v>
      </c>
      <c r="D144" s="315" t="s">
        <v>848</v>
      </c>
      <c r="E144" s="315" t="s">
        <v>565</v>
      </c>
      <c r="F144" s="315" t="s">
        <v>849</v>
      </c>
      <c r="G144" s="315" t="s">
        <v>634</v>
      </c>
      <c r="H144" s="315" t="s">
        <v>635</v>
      </c>
    </row>
    <row r="145" spans="1:8" x14ac:dyDescent="0.25">
      <c r="A145" s="316">
        <v>261</v>
      </c>
      <c r="B145" s="316">
        <v>183</v>
      </c>
      <c r="C145" s="315" t="s">
        <v>728</v>
      </c>
      <c r="D145" s="315" t="s">
        <v>757</v>
      </c>
      <c r="E145" s="315" t="s">
        <v>573</v>
      </c>
      <c r="F145" s="315" t="s">
        <v>850</v>
      </c>
      <c r="G145" s="315" t="s">
        <v>634</v>
      </c>
      <c r="H145" s="315" t="s">
        <v>635</v>
      </c>
    </row>
    <row r="146" spans="1:8" x14ac:dyDescent="0.25">
      <c r="A146" s="316">
        <v>295</v>
      </c>
      <c r="B146" s="316">
        <v>129</v>
      </c>
      <c r="C146" s="315" t="s">
        <v>728</v>
      </c>
      <c r="D146" s="315" t="s">
        <v>757</v>
      </c>
      <c r="E146" s="315" t="s">
        <v>606</v>
      </c>
      <c r="F146" s="315" t="s">
        <v>851</v>
      </c>
      <c r="G146" s="315" t="s">
        <v>634</v>
      </c>
      <c r="H146" s="315" t="s">
        <v>635</v>
      </c>
    </row>
    <row r="147" spans="1:8" x14ac:dyDescent="0.25">
      <c r="A147" s="316">
        <v>301</v>
      </c>
      <c r="B147" s="316">
        <v>261</v>
      </c>
      <c r="C147" s="315" t="s">
        <v>728</v>
      </c>
      <c r="D147" s="315" t="s">
        <v>852</v>
      </c>
      <c r="E147" s="315" t="s">
        <v>612</v>
      </c>
      <c r="F147" s="315" t="s">
        <v>853</v>
      </c>
      <c r="G147" s="315" t="s">
        <v>634</v>
      </c>
      <c r="H147" s="315" t="s">
        <v>635</v>
      </c>
    </row>
    <row r="148" spans="1:8" x14ac:dyDescent="0.25">
      <c r="A148" s="316">
        <v>320</v>
      </c>
      <c r="B148" s="316">
        <v>222</v>
      </c>
      <c r="C148" s="315" t="s">
        <v>631</v>
      </c>
      <c r="D148" s="315" t="s">
        <v>632</v>
      </c>
      <c r="E148" s="315" t="s">
        <v>585</v>
      </c>
      <c r="F148" s="315" t="s">
        <v>854</v>
      </c>
      <c r="G148" s="315" t="s">
        <v>634</v>
      </c>
      <c r="H148" s="315" t="s">
        <v>635</v>
      </c>
    </row>
    <row r="149" spans="1:8" x14ac:dyDescent="0.25">
      <c r="A149" s="316">
        <v>457</v>
      </c>
      <c r="B149" s="316">
        <v>5</v>
      </c>
      <c r="C149" s="315" t="s">
        <v>631</v>
      </c>
      <c r="D149" s="315" t="s">
        <v>632</v>
      </c>
      <c r="E149" s="315" t="s">
        <v>585</v>
      </c>
      <c r="F149" s="315" t="s">
        <v>855</v>
      </c>
      <c r="G149" s="315" t="s">
        <v>634</v>
      </c>
      <c r="H149" s="315" t="s">
        <v>856</v>
      </c>
    </row>
    <row r="150" spans="1:8" x14ac:dyDescent="0.25">
      <c r="A150" s="316">
        <v>460</v>
      </c>
      <c r="B150" s="316">
        <v>63898</v>
      </c>
      <c r="C150" s="315" t="s">
        <v>771</v>
      </c>
      <c r="D150" s="315" t="s">
        <v>772</v>
      </c>
      <c r="E150" s="315" t="s">
        <v>508</v>
      </c>
      <c r="F150" s="315" t="s">
        <v>857</v>
      </c>
      <c r="G150" s="315" t="s">
        <v>634</v>
      </c>
      <c r="H150" s="315" t="s">
        <v>644</v>
      </c>
    </row>
    <row r="151" spans="1:8" x14ac:dyDescent="0.25">
      <c r="A151" s="316">
        <v>474</v>
      </c>
      <c r="B151" s="316">
        <v>63956</v>
      </c>
      <c r="C151" s="315" t="s">
        <v>706</v>
      </c>
      <c r="D151" s="315" t="s">
        <v>831</v>
      </c>
      <c r="E151" s="315" t="s">
        <v>423</v>
      </c>
      <c r="F151" s="315" t="s">
        <v>858</v>
      </c>
      <c r="G151" s="315" t="s">
        <v>634</v>
      </c>
      <c r="H151" s="315" t="s">
        <v>665</v>
      </c>
    </row>
    <row r="152" spans="1:8" x14ac:dyDescent="0.25">
      <c r="A152" s="316">
        <v>537</v>
      </c>
      <c r="B152" s="316">
        <v>63935</v>
      </c>
      <c r="C152" s="315" t="s">
        <v>679</v>
      </c>
      <c r="D152" s="315" t="s">
        <v>859</v>
      </c>
      <c r="E152" s="315" t="s">
        <v>421</v>
      </c>
      <c r="F152" s="315" t="s">
        <v>860</v>
      </c>
      <c r="G152" s="315" t="s">
        <v>744</v>
      </c>
      <c r="H152" s="315" t="s">
        <v>745</v>
      </c>
    </row>
    <row r="153" spans="1:8" x14ac:dyDescent="0.25">
      <c r="A153" s="316">
        <v>551</v>
      </c>
      <c r="B153" s="316">
        <v>64064</v>
      </c>
      <c r="C153" s="315" t="s">
        <v>631</v>
      </c>
      <c r="D153" s="315" t="s">
        <v>840</v>
      </c>
      <c r="E153" s="315" t="s">
        <v>468</v>
      </c>
      <c r="F153" s="315" t="s">
        <v>861</v>
      </c>
      <c r="G153" s="315" t="s">
        <v>676</v>
      </c>
      <c r="H153" s="315" t="s">
        <v>677</v>
      </c>
    </row>
    <row r="154" spans="1:8" x14ac:dyDescent="0.25">
      <c r="A154" s="316">
        <v>598</v>
      </c>
      <c r="B154" s="316">
        <v>49673</v>
      </c>
      <c r="C154" s="315" t="s">
        <v>645</v>
      </c>
      <c r="D154" s="315" t="s">
        <v>846</v>
      </c>
      <c r="E154" s="315" t="s">
        <v>562</v>
      </c>
      <c r="F154" s="315" t="s">
        <v>862</v>
      </c>
      <c r="G154" s="315" t="s">
        <v>634</v>
      </c>
      <c r="H154" s="315" t="s">
        <v>644</v>
      </c>
    </row>
    <row r="155" spans="1:8" x14ac:dyDescent="0.25">
      <c r="A155" s="316">
        <v>652</v>
      </c>
      <c r="B155" s="316">
        <v>63964</v>
      </c>
      <c r="C155" s="315" t="s">
        <v>771</v>
      </c>
      <c r="D155" s="315" t="s">
        <v>836</v>
      </c>
      <c r="E155" s="315" t="s">
        <v>452</v>
      </c>
      <c r="F155" s="315" t="s">
        <v>863</v>
      </c>
      <c r="G155" s="315" t="s">
        <v>634</v>
      </c>
      <c r="H155" s="315" t="s">
        <v>649</v>
      </c>
    </row>
    <row r="156" spans="1:8" x14ac:dyDescent="0.25">
      <c r="A156" s="316">
        <v>696</v>
      </c>
      <c r="B156" s="316">
        <v>17</v>
      </c>
      <c r="C156" s="315" t="s">
        <v>679</v>
      </c>
      <c r="D156" s="315" t="s">
        <v>704</v>
      </c>
      <c r="E156" s="315" t="s">
        <v>429</v>
      </c>
      <c r="F156" s="315" t="s">
        <v>864</v>
      </c>
      <c r="G156" s="315" t="s">
        <v>634</v>
      </c>
      <c r="H156" s="315" t="s">
        <v>665</v>
      </c>
    </row>
    <row r="157" spans="1:8" x14ac:dyDescent="0.25">
      <c r="A157" s="316">
        <v>770</v>
      </c>
      <c r="B157" s="316">
        <v>63954</v>
      </c>
      <c r="C157" s="315" t="s">
        <v>706</v>
      </c>
      <c r="D157" s="315" t="s">
        <v>834</v>
      </c>
      <c r="E157" s="315" t="s">
        <v>450</v>
      </c>
      <c r="F157" s="315" t="s">
        <v>865</v>
      </c>
      <c r="G157" s="315" t="s">
        <v>634</v>
      </c>
      <c r="H157" s="315" t="s">
        <v>665</v>
      </c>
    </row>
    <row r="158" spans="1:8" x14ac:dyDescent="0.25">
      <c r="A158" s="316">
        <v>825</v>
      </c>
      <c r="B158" s="316">
        <v>63899</v>
      </c>
      <c r="C158" s="315" t="s">
        <v>771</v>
      </c>
      <c r="D158" s="315" t="s">
        <v>772</v>
      </c>
      <c r="E158" s="315" t="s">
        <v>508</v>
      </c>
      <c r="F158" s="315" t="s">
        <v>866</v>
      </c>
      <c r="G158" s="315" t="s">
        <v>634</v>
      </c>
      <c r="H158" s="315" t="s">
        <v>673</v>
      </c>
    </row>
    <row r="159" spans="1:8" x14ac:dyDescent="0.25">
      <c r="A159" s="316">
        <v>900</v>
      </c>
      <c r="B159" s="316">
        <v>45819</v>
      </c>
      <c r="C159" s="315" t="s">
        <v>771</v>
      </c>
      <c r="D159" s="315" t="s">
        <v>867</v>
      </c>
      <c r="E159" s="315" t="s">
        <v>375</v>
      </c>
      <c r="F159" s="315" t="s">
        <v>868</v>
      </c>
      <c r="G159" s="315" t="s">
        <v>634</v>
      </c>
      <c r="H159" s="315" t="s">
        <v>635</v>
      </c>
    </row>
    <row r="160" spans="1:8" x14ac:dyDescent="0.25">
      <c r="A160" s="316">
        <v>942</v>
      </c>
      <c r="B160" s="316">
        <v>13786</v>
      </c>
      <c r="C160" s="315" t="s">
        <v>636</v>
      </c>
      <c r="D160" s="315" t="s">
        <v>653</v>
      </c>
      <c r="E160" s="315" t="s">
        <v>326</v>
      </c>
      <c r="F160" s="315" t="s">
        <v>869</v>
      </c>
      <c r="G160" s="315" t="s">
        <v>744</v>
      </c>
      <c r="H160" s="315" t="s">
        <v>752</v>
      </c>
    </row>
    <row r="161" spans="1:8" x14ac:dyDescent="0.25">
      <c r="A161" s="316">
        <v>1022</v>
      </c>
      <c r="B161" s="316">
        <v>67836</v>
      </c>
      <c r="C161" s="315" t="s">
        <v>771</v>
      </c>
      <c r="D161" s="315" t="s">
        <v>848</v>
      </c>
      <c r="E161" s="315" t="s">
        <v>372</v>
      </c>
      <c r="F161" s="315" t="s">
        <v>870</v>
      </c>
      <c r="G161" s="315" t="s">
        <v>634</v>
      </c>
      <c r="H161" s="315" t="s">
        <v>635</v>
      </c>
    </row>
    <row r="162" spans="1:8" x14ac:dyDescent="0.25">
      <c r="A162" s="316">
        <v>27</v>
      </c>
      <c r="B162" s="316">
        <v>238</v>
      </c>
      <c r="C162" s="315" t="s">
        <v>771</v>
      </c>
      <c r="D162" s="315" t="s">
        <v>776</v>
      </c>
      <c r="E162" s="315" t="s">
        <v>337</v>
      </c>
      <c r="F162" s="315" t="s">
        <v>871</v>
      </c>
      <c r="G162" s="315" t="s">
        <v>634</v>
      </c>
      <c r="H162" s="315" t="s">
        <v>635</v>
      </c>
    </row>
    <row r="163" spans="1:8" x14ac:dyDescent="0.25">
      <c r="A163" s="316">
        <v>31</v>
      </c>
      <c r="B163" s="316">
        <v>47</v>
      </c>
      <c r="C163" s="315" t="s">
        <v>718</v>
      </c>
      <c r="D163" s="315" t="s">
        <v>719</v>
      </c>
      <c r="E163" s="315" t="s">
        <v>341</v>
      </c>
      <c r="F163" s="315" t="s">
        <v>872</v>
      </c>
      <c r="G163" s="315" t="s">
        <v>634</v>
      </c>
      <c r="H163" s="315" t="s">
        <v>635</v>
      </c>
    </row>
    <row r="164" spans="1:8" x14ac:dyDescent="0.25">
      <c r="A164" s="316">
        <v>48</v>
      </c>
      <c r="B164" s="316">
        <v>36</v>
      </c>
      <c r="C164" s="315" t="s">
        <v>640</v>
      </c>
      <c r="D164" s="315" t="s">
        <v>688</v>
      </c>
      <c r="E164" s="315" t="s">
        <v>358</v>
      </c>
      <c r="F164" s="315" t="s">
        <v>873</v>
      </c>
      <c r="G164" s="315" t="s">
        <v>634</v>
      </c>
      <c r="H164" s="315" t="s">
        <v>635</v>
      </c>
    </row>
    <row r="165" spans="1:8" x14ac:dyDescent="0.25">
      <c r="A165" s="316">
        <v>58</v>
      </c>
      <c r="B165" s="316">
        <v>45777</v>
      </c>
      <c r="C165" s="315" t="s">
        <v>645</v>
      </c>
      <c r="D165" s="315" t="s">
        <v>846</v>
      </c>
      <c r="E165" s="315" t="s">
        <v>369</v>
      </c>
      <c r="F165" s="315" t="s">
        <v>874</v>
      </c>
      <c r="G165" s="315" t="s">
        <v>634</v>
      </c>
      <c r="H165" s="315" t="s">
        <v>635</v>
      </c>
    </row>
    <row r="166" spans="1:8" x14ac:dyDescent="0.25">
      <c r="A166" s="316">
        <v>74</v>
      </c>
      <c r="B166" s="316">
        <v>170</v>
      </c>
      <c r="C166" s="315" t="s">
        <v>771</v>
      </c>
      <c r="D166" s="315" t="s">
        <v>836</v>
      </c>
      <c r="E166" s="315" t="s">
        <v>385</v>
      </c>
      <c r="F166" s="315" t="s">
        <v>875</v>
      </c>
      <c r="G166" s="315" t="s">
        <v>634</v>
      </c>
      <c r="H166" s="315" t="s">
        <v>635</v>
      </c>
    </row>
    <row r="167" spans="1:8" x14ac:dyDescent="0.25">
      <c r="A167" s="316">
        <v>79</v>
      </c>
      <c r="B167" s="316">
        <v>48936</v>
      </c>
      <c r="C167" s="315" t="s">
        <v>631</v>
      </c>
      <c r="D167" s="315" t="s">
        <v>804</v>
      </c>
      <c r="E167" s="315" t="s">
        <v>390</v>
      </c>
      <c r="F167" s="315" t="s">
        <v>876</v>
      </c>
      <c r="G167" s="315" t="s">
        <v>634</v>
      </c>
      <c r="H167" s="315" t="s">
        <v>635</v>
      </c>
    </row>
    <row r="168" spans="1:8" x14ac:dyDescent="0.25">
      <c r="A168" s="316">
        <v>84</v>
      </c>
      <c r="B168" s="316">
        <v>257</v>
      </c>
      <c r="C168" s="315" t="s">
        <v>631</v>
      </c>
      <c r="D168" s="315" t="s">
        <v>742</v>
      </c>
      <c r="E168" s="315" t="s">
        <v>394</v>
      </c>
      <c r="F168" s="315" t="s">
        <v>877</v>
      </c>
      <c r="G168" s="315" t="s">
        <v>634</v>
      </c>
      <c r="H168" s="315" t="s">
        <v>635</v>
      </c>
    </row>
    <row r="169" spans="1:8" x14ac:dyDescent="0.25">
      <c r="A169" s="316">
        <v>97</v>
      </c>
      <c r="B169" s="316">
        <v>48655</v>
      </c>
      <c r="C169" s="315" t="s">
        <v>706</v>
      </c>
      <c r="D169" s="315" t="s">
        <v>878</v>
      </c>
      <c r="E169" s="315" t="s">
        <v>408</v>
      </c>
      <c r="F169" s="315" t="s">
        <v>879</v>
      </c>
      <c r="G169" s="315" t="s">
        <v>634</v>
      </c>
      <c r="H169" s="315" t="s">
        <v>635</v>
      </c>
    </row>
    <row r="170" spans="1:8" x14ac:dyDescent="0.25">
      <c r="A170" s="316">
        <v>98</v>
      </c>
      <c r="B170" s="316">
        <v>48960</v>
      </c>
      <c r="C170" s="315" t="s">
        <v>761</v>
      </c>
      <c r="D170" s="315" t="s">
        <v>762</v>
      </c>
      <c r="E170" s="315" t="s">
        <v>409</v>
      </c>
      <c r="F170" s="315" t="s">
        <v>880</v>
      </c>
      <c r="G170" s="315" t="s">
        <v>634</v>
      </c>
      <c r="H170" s="315" t="s">
        <v>635</v>
      </c>
    </row>
    <row r="171" spans="1:8" x14ac:dyDescent="0.25">
      <c r="A171" s="316">
        <v>128</v>
      </c>
      <c r="B171" s="316">
        <v>48962</v>
      </c>
      <c r="C171" s="315" t="s">
        <v>640</v>
      </c>
      <c r="D171" s="315" t="s">
        <v>666</v>
      </c>
      <c r="E171" s="315" t="s">
        <v>438</v>
      </c>
      <c r="F171" s="315" t="s">
        <v>881</v>
      </c>
      <c r="G171" s="315" t="s">
        <v>634</v>
      </c>
      <c r="H171" s="315" t="s">
        <v>635</v>
      </c>
    </row>
    <row r="172" spans="1:8" x14ac:dyDescent="0.25">
      <c r="A172" s="316">
        <v>132</v>
      </c>
      <c r="B172" s="316">
        <v>54836</v>
      </c>
      <c r="C172" s="315" t="s">
        <v>706</v>
      </c>
      <c r="D172" s="315" t="s">
        <v>831</v>
      </c>
      <c r="E172" s="315" t="s">
        <v>443</v>
      </c>
      <c r="F172" s="315" t="s">
        <v>882</v>
      </c>
      <c r="G172" s="315" t="s">
        <v>634</v>
      </c>
      <c r="H172" s="315" t="s">
        <v>635</v>
      </c>
    </row>
    <row r="173" spans="1:8" x14ac:dyDescent="0.25">
      <c r="A173" s="316">
        <v>161</v>
      </c>
      <c r="B173" s="316">
        <v>252</v>
      </c>
      <c r="C173" s="315" t="s">
        <v>631</v>
      </c>
      <c r="D173" s="315" t="s">
        <v>766</v>
      </c>
      <c r="E173" s="315" t="s">
        <v>473</v>
      </c>
      <c r="F173" s="315" t="s">
        <v>883</v>
      </c>
      <c r="G173" s="315" t="s">
        <v>634</v>
      </c>
      <c r="H173" s="315" t="s">
        <v>635</v>
      </c>
    </row>
    <row r="174" spans="1:8" x14ac:dyDescent="0.25">
      <c r="A174" s="316">
        <v>164</v>
      </c>
      <c r="B174" s="316">
        <v>285</v>
      </c>
      <c r="C174" s="315" t="s">
        <v>718</v>
      </c>
      <c r="D174" s="315" t="s">
        <v>797</v>
      </c>
      <c r="E174" s="315" t="s">
        <v>476</v>
      </c>
      <c r="F174" s="315" t="s">
        <v>884</v>
      </c>
      <c r="G174" s="315" t="s">
        <v>634</v>
      </c>
      <c r="H174" s="315" t="s">
        <v>635</v>
      </c>
    </row>
    <row r="175" spans="1:8" x14ac:dyDescent="0.25">
      <c r="A175" s="316">
        <v>184</v>
      </c>
      <c r="B175" s="316">
        <v>134</v>
      </c>
      <c r="C175" s="315" t="s">
        <v>645</v>
      </c>
      <c r="D175" s="315" t="s">
        <v>786</v>
      </c>
      <c r="E175" s="315" t="s">
        <v>496</v>
      </c>
      <c r="F175" s="315" t="s">
        <v>885</v>
      </c>
      <c r="G175" s="315" t="s">
        <v>634</v>
      </c>
      <c r="H175" s="315" t="s">
        <v>635</v>
      </c>
    </row>
    <row r="176" spans="1:8" x14ac:dyDescent="0.25">
      <c r="A176" s="316">
        <v>195</v>
      </c>
      <c r="B176" s="316">
        <v>64260</v>
      </c>
      <c r="C176" s="315" t="s">
        <v>728</v>
      </c>
      <c r="D176" s="315" t="s">
        <v>886</v>
      </c>
      <c r="E176" s="315" t="s">
        <v>507</v>
      </c>
      <c r="F176" s="315" t="s">
        <v>887</v>
      </c>
      <c r="G176" s="315" t="s">
        <v>634</v>
      </c>
      <c r="H176" s="315" t="s">
        <v>635</v>
      </c>
    </row>
    <row r="177" spans="1:8" x14ac:dyDescent="0.25">
      <c r="A177" s="316">
        <v>200</v>
      </c>
      <c r="B177" s="316">
        <v>48965</v>
      </c>
      <c r="C177" s="315" t="s">
        <v>645</v>
      </c>
      <c r="D177" s="315" t="s">
        <v>659</v>
      </c>
      <c r="E177" s="315" t="s">
        <v>512</v>
      </c>
      <c r="F177" s="315" t="s">
        <v>888</v>
      </c>
      <c r="G177" s="315" t="s">
        <v>634</v>
      </c>
      <c r="H177" s="315" t="s">
        <v>635</v>
      </c>
    </row>
    <row r="178" spans="1:8" x14ac:dyDescent="0.25">
      <c r="A178" s="316">
        <v>211</v>
      </c>
      <c r="B178" s="316">
        <v>64754</v>
      </c>
      <c r="C178" s="315" t="s">
        <v>728</v>
      </c>
      <c r="D178" s="315" t="s">
        <v>729</v>
      </c>
      <c r="E178" s="315" t="s">
        <v>523</v>
      </c>
      <c r="F178" s="315" t="s">
        <v>889</v>
      </c>
      <c r="G178" s="315" t="s">
        <v>634</v>
      </c>
      <c r="H178" s="315" t="s">
        <v>635</v>
      </c>
    </row>
    <row r="179" spans="1:8" x14ac:dyDescent="0.25">
      <c r="A179" s="316">
        <v>248</v>
      </c>
      <c r="B179" s="316">
        <v>64273</v>
      </c>
      <c r="C179" s="315" t="s">
        <v>640</v>
      </c>
      <c r="D179" s="315" t="s">
        <v>702</v>
      </c>
      <c r="E179" s="315" t="s">
        <v>792</v>
      </c>
      <c r="F179" s="315" t="s">
        <v>890</v>
      </c>
      <c r="G179" s="315" t="s">
        <v>634</v>
      </c>
      <c r="H179" s="315" t="s">
        <v>635</v>
      </c>
    </row>
    <row r="180" spans="1:8" x14ac:dyDescent="0.25">
      <c r="A180" s="316">
        <v>265</v>
      </c>
      <c r="B180" s="316">
        <v>64752</v>
      </c>
      <c r="C180" s="315" t="s">
        <v>706</v>
      </c>
      <c r="D180" s="315" t="s">
        <v>709</v>
      </c>
      <c r="E180" s="315" t="s">
        <v>576</v>
      </c>
      <c r="F180" s="315" t="s">
        <v>891</v>
      </c>
      <c r="G180" s="315" t="s">
        <v>634</v>
      </c>
      <c r="H180" s="315" t="s">
        <v>635</v>
      </c>
    </row>
    <row r="181" spans="1:8" x14ac:dyDescent="0.25">
      <c r="A181" s="316">
        <v>277</v>
      </c>
      <c r="B181" s="316">
        <v>63906</v>
      </c>
      <c r="C181" s="315" t="s">
        <v>706</v>
      </c>
      <c r="D181" s="315" t="s">
        <v>892</v>
      </c>
      <c r="E181" s="315" t="s">
        <v>589</v>
      </c>
      <c r="F181" s="315" t="s">
        <v>893</v>
      </c>
      <c r="G181" s="315" t="s">
        <v>634</v>
      </c>
      <c r="H181" s="315" t="s">
        <v>635</v>
      </c>
    </row>
    <row r="182" spans="1:8" x14ac:dyDescent="0.25">
      <c r="A182" s="316">
        <v>290</v>
      </c>
      <c r="B182" s="316">
        <v>143</v>
      </c>
      <c r="C182" s="315" t="s">
        <v>645</v>
      </c>
      <c r="D182" s="315" t="s">
        <v>659</v>
      </c>
      <c r="E182" s="315" t="s">
        <v>602</v>
      </c>
      <c r="F182" s="315" t="s">
        <v>894</v>
      </c>
      <c r="G182" s="315" t="s">
        <v>634</v>
      </c>
      <c r="H182" s="315" t="s">
        <v>635</v>
      </c>
    </row>
    <row r="183" spans="1:8" x14ac:dyDescent="0.25">
      <c r="A183" s="316">
        <v>302</v>
      </c>
      <c r="B183" s="316">
        <v>64321</v>
      </c>
      <c r="C183" s="315" t="s">
        <v>718</v>
      </c>
      <c r="D183" s="315" t="s">
        <v>895</v>
      </c>
      <c r="E183" s="315" t="s">
        <v>613</v>
      </c>
      <c r="F183" s="315" t="s">
        <v>896</v>
      </c>
      <c r="G183" s="315" t="s">
        <v>634</v>
      </c>
      <c r="H183" s="315" t="s">
        <v>635</v>
      </c>
    </row>
    <row r="184" spans="1:8" x14ac:dyDescent="0.25">
      <c r="A184" s="316">
        <v>314</v>
      </c>
      <c r="B184" s="316">
        <v>6</v>
      </c>
      <c r="C184" s="315" t="s">
        <v>631</v>
      </c>
      <c r="D184" s="315" t="s">
        <v>632</v>
      </c>
      <c r="E184" s="315" t="s">
        <v>585</v>
      </c>
      <c r="F184" s="315" t="s">
        <v>897</v>
      </c>
      <c r="G184" s="315" t="s">
        <v>634</v>
      </c>
      <c r="H184" s="315" t="s">
        <v>635</v>
      </c>
    </row>
    <row r="185" spans="1:8" x14ac:dyDescent="0.25">
      <c r="A185" s="316">
        <v>316</v>
      </c>
      <c r="B185" s="316">
        <v>290</v>
      </c>
      <c r="C185" s="315" t="s">
        <v>631</v>
      </c>
      <c r="D185" s="315" t="s">
        <v>632</v>
      </c>
      <c r="E185" s="315" t="s">
        <v>585</v>
      </c>
      <c r="F185" s="315" t="s">
        <v>898</v>
      </c>
      <c r="G185" s="315" t="s">
        <v>634</v>
      </c>
      <c r="H185" s="315" t="s">
        <v>635</v>
      </c>
    </row>
    <row r="186" spans="1:8" x14ac:dyDescent="0.25">
      <c r="A186" s="316">
        <v>331</v>
      </c>
      <c r="B186" s="316">
        <v>64059</v>
      </c>
      <c r="C186" s="315" t="s">
        <v>636</v>
      </c>
      <c r="D186" s="315" t="s">
        <v>653</v>
      </c>
      <c r="E186" s="315" t="s">
        <v>469</v>
      </c>
      <c r="F186" s="315" t="s">
        <v>899</v>
      </c>
      <c r="G186" s="315" t="s">
        <v>634</v>
      </c>
      <c r="H186" s="315" t="s">
        <v>665</v>
      </c>
    </row>
    <row r="187" spans="1:8" x14ac:dyDescent="0.25">
      <c r="A187" s="316">
        <v>333</v>
      </c>
      <c r="B187" s="316">
        <v>64254</v>
      </c>
      <c r="C187" s="315" t="s">
        <v>645</v>
      </c>
      <c r="D187" s="315" t="s">
        <v>659</v>
      </c>
      <c r="E187" s="315" t="s">
        <v>602</v>
      </c>
      <c r="F187" s="315" t="s">
        <v>900</v>
      </c>
      <c r="G187" s="315" t="s">
        <v>744</v>
      </c>
      <c r="H187" s="315" t="s">
        <v>901</v>
      </c>
    </row>
    <row r="188" spans="1:8" x14ac:dyDescent="0.25">
      <c r="A188" s="316">
        <v>345</v>
      </c>
      <c r="B188" s="316">
        <v>139</v>
      </c>
      <c r="C188" s="315" t="s">
        <v>679</v>
      </c>
      <c r="D188" s="315" t="s">
        <v>902</v>
      </c>
      <c r="E188" s="315" t="s">
        <v>320</v>
      </c>
      <c r="F188" s="315" t="s">
        <v>903</v>
      </c>
      <c r="G188" s="315" t="s">
        <v>634</v>
      </c>
      <c r="H188" s="315" t="s">
        <v>635</v>
      </c>
    </row>
    <row r="189" spans="1:8" x14ac:dyDescent="0.25">
      <c r="A189" s="316">
        <v>347</v>
      </c>
      <c r="B189" s="316">
        <v>141</v>
      </c>
      <c r="C189" s="315" t="s">
        <v>631</v>
      </c>
      <c r="D189" s="315" t="s">
        <v>632</v>
      </c>
      <c r="E189" s="315" t="s">
        <v>585</v>
      </c>
      <c r="F189" s="315" t="s">
        <v>904</v>
      </c>
      <c r="G189" s="315" t="s">
        <v>634</v>
      </c>
      <c r="H189" s="315" t="s">
        <v>905</v>
      </c>
    </row>
    <row r="190" spans="1:8" x14ac:dyDescent="0.25">
      <c r="A190" s="316">
        <v>377</v>
      </c>
      <c r="B190" s="316">
        <v>63797</v>
      </c>
      <c r="C190" s="315" t="s">
        <v>636</v>
      </c>
      <c r="D190" s="315" t="s">
        <v>653</v>
      </c>
      <c r="E190" s="315" t="s">
        <v>326</v>
      </c>
      <c r="F190" s="315" t="s">
        <v>906</v>
      </c>
      <c r="G190" s="315" t="s">
        <v>634</v>
      </c>
      <c r="H190" s="315" t="s">
        <v>644</v>
      </c>
    </row>
    <row r="191" spans="1:8" x14ac:dyDescent="0.25">
      <c r="A191" s="316">
        <v>386</v>
      </c>
      <c r="B191" s="316">
        <v>64020</v>
      </c>
      <c r="C191" s="315" t="s">
        <v>640</v>
      </c>
      <c r="D191" s="315" t="s">
        <v>666</v>
      </c>
      <c r="E191" s="315" t="s">
        <v>454</v>
      </c>
      <c r="F191" s="315" t="s">
        <v>907</v>
      </c>
      <c r="G191" s="315" t="s">
        <v>634</v>
      </c>
      <c r="H191" s="315" t="s">
        <v>673</v>
      </c>
    </row>
    <row r="192" spans="1:8" x14ac:dyDescent="0.25">
      <c r="A192" s="316">
        <v>396</v>
      </c>
      <c r="B192" s="316">
        <v>64033</v>
      </c>
      <c r="C192" s="315" t="s">
        <v>631</v>
      </c>
      <c r="D192" s="315" t="s">
        <v>632</v>
      </c>
      <c r="E192" s="315" t="s">
        <v>585</v>
      </c>
      <c r="F192" s="315" t="s">
        <v>908</v>
      </c>
      <c r="G192" s="315" t="s">
        <v>634</v>
      </c>
      <c r="H192" s="315" t="s">
        <v>644</v>
      </c>
    </row>
    <row r="193" spans="1:8" x14ac:dyDescent="0.25">
      <c r="A193" s="316">
        <v>426</v>
      </c>
      <c r="B193" s="316">
        <v>64231</v>
      </c>
      <c r="C193" s="315" t="s">
        <v>631</v>
      </c>
      <c r="D193" s="315" t="s">
        <v>742</v>
      </c>
      <c r="E193" s="315" t="s">
        <v>533</v>
      </c>
      <c r="F193" s="315" t="s">
        <v>909</v>
      </c>
      <c r="G193" s="315" t="s">
        <v>634</v>
      </c>
      <c r="H193" s="315" t="s">
        <v>673</v>
      </c>
    </row>
    <row r="194" spans="1:8" x14ac:dyDescent="0.25">
      <c r="A194" s="316">
        <v>433</v>
      </c>
      <c r="B194" s="316">
        <v>64145</v>
      </c>
      <c r="C194" s="315" t="s">
        <v>761</v>
      </c>
      <c r="D194" s="315" t="s">
        <v>762</v>
      </c>
      <c r="E194" s="315" t="s">
        <v>409</v>
      </c>
      <c r="F194" s="315" t="s">
        <v>910</v>
      </c>
      <c r="G194" s="315" t="s">
        <v>744</v>
      </c>
      <c r="H194" s="315" t="s">
        <v>822</v>
      </c>
    </row>
    <row r="195" spans="1:8" x14ac:dyDescent="0.25">
      <c r="A195" s="316">
        <v>437</v>
      </c>
      <c r="B195" s="316">
        <v>64267</v>
      </c>
      <c r="C195" s="315" t="s">
        <v>631</v>
      </c>
      <c r="D195" s="315" t="s">
        <v>632</v>
      </c>
      <c r="E195" s="315" t="s">
        <v>585</v>
      </c>
      <c r="F195" s="315" t="s">
        <v>911</v>
      </c>
      <c r="G195" s="315" t="s">
        <v>634</v>
      </c>
      <c r="H195" s="315" t="s">
        <v>912</v>
      </c>
    </row>
    <row r="196" spans="1:8" x14ac:dyDescent="0.25">
      <c r="A196" s="316">
        <v>447</v>
      </c>
      <c r="B196" s="316">
        <v>63932</v>
      </c>
      <c r="C196" s="315" t="s">
        <v>679</v>
      </c>
      <c r="D196" s="315" t="s">
        <v>859</v>
      </c>
      <c r="E196" s="315" t="s">
        <v>421</v>
      </c>
      <c r="F196" s="315" t="s">
        <v>913</v>
      </c>
      <c r="G196" s="315" t="s">
        <v>634</v>
      </c>
      <c r="H196" s="315" t="s">
        <v>644</v>
      </c>
    </row>
    <row r="197" spans="1:8" x14ac:dyDescent="0.25">
      <c r="A197" s="316">
        <v>448</v>
      </c>
      <c r="B197" s="316">
        <v>63933</v>
      </c>
      <c r="C197" s="315" t="s">
        <v>679</v>
      </c>
      <c r="D197" s="315" t="s">
        <v>859</v>
      </c>
      <c r="E197" s="315" t="s">
        <v>421</v>
      </c>
      <c r="F197" s="315" t="s">
        <v>914</v>
      </c>
      <c r="G197" s="315" t="s">
        <v>634</v>
      </c>
      <c r="H197" s="315" t="s">
        <v>673</v>
      </c>
    </row>
    <row r="198" spans="1:8" x14ac:dyDescent="0.25">
      <c r="A198" s="316">
        <v>458</v>
      </c>
      <c r="B198" s="316">
        <v>63874</v>
      </c>
      <c r="C198" s="315" t="s">
        <v>645</v>
      </c>
      <c r="D198" s="315" t="s">
        <v>846</v>
      </c>
      <c r="E198" s="315" t="s">
        <v>369</v>
      </c>
      <c r="F198" s="315" t="s">
        <v>915</v>
      </c>
      <c r="G198" s="315" t="s">
        <v>634</v>
      </c>
      <c r="H198" s="315" t="s">
        <v>673</v>
      </c>
    </row>
    <row r="199" spans="1:8" x14ac:dyDescent="0.25">
      <c r="A199" s="316">
        <v>495</v>
      </c>
      <c r="B199" s="316">
        <v>64146</v>
      </c>
      <c r="C199" s="315" t="s">
        <v>761</v>
      </c>
      <c r="D199" s="315" t="s">
        <v>762</v>
      </c>
      <c r="E199" s="315" t="s">
        <v>409</v>
      </c>
      <c r="F199" s="315" t="s">
        <v>916</v>
      </c>
      <c r="G199" s="315" t="s">
        <v>634</v>
      </c>
      <c r="H199" s="315" t="s">
        <v>726</v>
      </c>
    </row>
    <row r="200" spans="1:8" x14ac:dyDescent="0.25">
      <c r="A200" s="316">
        <v>522</v>
      </c>
      <c r="B200" s="316">
        <v>48912</v>
      </c>
      <c r="C200" s="315" t="s">
        <v>640</v>
      </c>
      <c r="D200" s="315" t="s">
        <v>784</v>
      </c>
      <c r="E200" s="315" t="s">
        <v>323</v>
      </c>
      <c r="F200" s="315" t="s">
        <v>917</v>
      </c>
      <c r="G200" s="315" t="s">
        <v>744</v>
      </c>
      <c r="H200" s="315" t="s">
        <v>822</v>
      </c>
    </row>
    <row r="201" spans="1:8" x14ac:dyDescent="0.25">
      <c r="A201" s="316">
        <v>539</v>
      </c>
      <c r="B201" s="316">
        <v>63830</v>
      </c>
      <c r="C201" s="315" t="s">
        <v>706</v>
      </c>
      <c r="D201" s="315" t="s">
        <v>878</v>
      </c>
      <c r="E201" s="315" t="s">
        <v>484</v>
      </c>
      <c r="F201" s="315" t="s">
        <v>918</v>
      </c>
      <c r="G201" s="315" t="s">
        <v>634</v>
      </c>
      <c r="H201" s="315" t="s">
        <v>644</v>
      </c>
    </row>
    <row r="202" spans="1:8" x14ac:dyDescent="0.25">
      <c r="A202" s="316">
        <v>557</v>
      </c>
      <c r="B202" s="316">
        <v>64082</v>
      </c>
      <c r="C202" s="315" t="s">
        <v>718</v>
      </c>
      <c r="D202" s="315" t="s">
        <v>797</v>
      </c>
      <c r="E202" s="315" t="s">
        <v>476</v>
      </c>
      <c r="F202" s="315" t="s">
        <v>919</v>
      </c>
      <c r="G202" s="315" t="s">
        <v>634</v>
      </c>
      <c r="H202" s="315" t="s">
        <v>644</v>
      </c>
    </row>
    <row r="203" spans="1:8" x14ac:dyDescent="0.25">
      <c r="A203" s="316">
        <v>567</v>
      </c>
      <c r="B203" s="316">
        <v>64137</v>
      </c>
      <c r="C203" s="315" t="s">
        <v>771</v>
      </c>
      <c r="D203" s="315" t="s">
        <v>776</v>
      </c>
      <c r="E203" s="315" t="s">
        <v>337</v>
      </c>
      <c r="F203" s="315" t="s">
        <v>920</v>
      </c>
      <c r="G203" s="315" t="s">
        <v>634</v>
      </c>
      <c r="H203" s="315" t="s">
        <v>649</v>
      </c>
    </row>
    <row r="204" spans="1:8" x14ac:dyDescent="0.25">
      <c r="A204" s="316">
        <v>591</v>
      </c>
      <c r="B204" s="316">
        <v>63908</v>
      </c>
      <c r="C204" s="315" t="s">
        <v>706</v>
      </c>
      <c r="D204" s="315" t="s">
        <v>892</v>
      </c>
      <c r="E204" s="315" t="s">
        <v>589</v>
      </c>
      <c r="F204" s="315" t="s">
        <v>921</v>
      </c>
      <c r="G204" s="315" t="s">
        <v>676</v>
      </c>
      <c r="H204" s="315" t="s">
        <v>677</v>
      </c>
    </row>
    <row r="205" spans="1:8" x14ac:dyDescent="0.25">
      <c r="A205" s="316">
        <v>596</v>
      </c>
      <c r="B205" s="316">
        <v>43025</v>
      </c>
      <c r="C205" s="315" t="s">
        <v>645</v>
      </c>
      <c r="D205" s="315" t="s">
        <v>846</v>
      </c>
      <c r="E205" s="315" t="s">
        <v>369</v>
      </c>
      <c r="F205" s="315" t="s">
        <v>922</v>
      </c>
      <c r="G205" s="315" t="s">
        <v>634</v>
      </c>
      <c r="H205" s="315" t="s">
        <v>665</v>
      </c>
    </row>
    <row r="206" spans="1:8" x14ac:dyDescent="0.25">
      <c r="A206" s="316">
        <v>605</v>
      </c>
      <c r="B206" s="316">
        <v>63767</v>
      </c>
      <c r="C206" s="315" t="s">
        <v>640</v>
      </c>
      <c r="D206" s="315" t="s">
        <v>784</v>
      </c>
      <c r="E206" s="315" t="s">
        <v>323</v>
      </c>
      <c r="F206" s="315" t="s">
        <v>923</v>
      </c>
      <c r="G206" s="315" t="s">
        <v>744</v>
      </c>
      <c r="H206" s="315" t="s">
        <v>745</v>
      </c>
    </row>
    <row r="207" spans="1:8" x14ac:dyDescent="0.25">
      <c r="A207" s="316">
        <v>633</v>
      </c>
      <c r="B207" s="316">
        <v>64740</v>
      </c>
      <c r="C207" s="315" t="s">
        <v>636</v>
      </c>
      <c r="D207" s="315" t="s">
        <v>816</v>
      </c>
      <c r="E207" s="315" t="s">
        <v>607</v>
      </c>
      <c r="F207" s="315" t="s">
        <v>924</v>
      </c>
      <c r="G207" s="315" t="s">
        <v>634</v>
      </c>
      <c r="H207" s="315" t="s">
        <v>635</v>
      </c>
    </row>
    <row r="208" spans="1:8" x14ac:dyDescent="0.25">
      <c r="A208" s="316">
        <v>688</v>
      </c>
      <c r="B208" s="316">
        <v>63896</v>
      </c>
      <c r="C208" s="315" t="s">
        <v>706</v>
      </c>
      <c r="D208" s="315" t="s">
        <v>799</v>
      </c>
      <c r="E208" s="315" t="s">
        <v>396</v>
      </c>
      <c r="F208" s="315" t="s">
        <v>925</v>
      </c>
      <c r="G208" s="315" t="s">
        <v>744</v>
      </c>
      <c r="H208" s="315" t="s">
        <v>745</v>
      </c>
    </row>
    <row r="209" spans="1:8" x14ac:dyDescent="0.25">
      <c r="A209" s="316">
        <v>710</v>
      </c>
      <c r="B209" s="316">
        <v>54840</v>
      </c>
      <c r="C209" s="315" t="s">
        <v>706</v>
      </c>
      <c r="D209" s="315" t="s">
        <v>878</v>
      </c>
      <c r="E209" s="315" t="s">
        <v>484</v>
      </c>
      <c r="F209" s="315" t="s">
        <v>926</v>
      </c>
      <c r="G209" s="315" t="s">
        <v>634</v>
      </c>
      <c r="H209" s="315" t="s">
        <v>665</v>
      </c>
    </row>
    <row r="210" spans="1:8" x14ac:dyDescent="0.25">
      <c r="A210" s="316">
        <v>720</v>
      </c>
      <c r="B210" s="316">
        <v>64229</v>
      </c>
      <c r="C210" s="315" t="s">
        <v>679</v>
      </c>
      <c r="D210" s="315" t="s">
        <v>680</v>
      </c>
      <c r="E210" s="315" t="s">
        <v>519</v>
      </c>
      <c r="F210" s="315" t="s">
        <v>927</v>
      </c>
      <c r="G210" s="315" t="s">
        <v>634</v>
      </c>
      <c r="H210" s="315" t="s">
        <v>665</v>
      </c>
    </row>
    <row r="211" spans="1:8" x14ac:dyDescent="0.25">
      <c r="A211" s="316">
        <v>732</v>
      </c>
      <c r="B211" s="316">
        <v>64742</v>
      </c>
      <c r="C211" s="315" t="s">
        <v>718</v>
      </c>
      <c r="D211" s="315" t="s">
        <v>895</v>
      </c>
      <c r="E211" s="315" t="s">
        <v>613</v>
      </c>
      <c r="F211" s="315" t="s">
        <v>928</v>
      </c>
      <c r="G211" s="315" t="s">
        <v>744</v>
      </c>
      <c r="H211" s="315" t="s">
        <v>822</v>
      </c>
    </row>
    <row r="212" spans="1:8" x14ac:dyDescent="0.25">
      <c r="A212" s="316">
        <v>768</v>
      </c>
      <c r="B212" s="316">
        <v>64746</v>
      </c>
      <c r="C212" s="315" t="s">
        <v>771</v>
      </c>
      <c r="D212" s="315" t="s">
        <v>848</v>
      </c>
      <c r="E212" s="315" t="s">
        <v>565</v>
      </c>
      <c r="F212" s="315" t="s">
        <v>929</v>
      </c>
      <c r="G212" s="315" t="s">
        <v>744</v>
      </c>
      <c r="H212" s="315" t="s">
        <v>822</v>
      </c>
    </row>
    <row r="213" spans="1:8" x14ac:dyDescent="0.25">
      <c r="A213" s="316">
        <v>783</v>
      </c>
      <c r="B213" s="316">
        <v>63911</v>
      </c>
      <c r="C213" s="315" t="s">
        <v>706</v>
      </c>
      <c r="D213" s="315" t="s">
        <v>892</v>
      </c>
      <c r="E213" s="315" t="s">
        <v>589</v>
      </c>
      <c r="F213" s="315" t="s">
        <v>930</v>
      </c>
      <c r="G213" s="315" t="s">
        <v>676</v>
      </c>
      <c r="H213" s="315" t="s">
        <v>677</v>
      </c>
    </row>
    <row r="214" spans="1:8" x14ac:dyDescent="0.25">
      <c r="A214" s="316">
        <v>795</v>
      </c>
      <c r="B214" s="316">
        <v>64249</v>
      </c>
      <c r="C214" s="315" t="s">
        <v>640</v>
      </c>
      <c r="D214" s="315" t="s">
        <v>716</v>
      </c>
      <c r="E214" s="315" t="s">
        <v>554</v>
      </c>
      <c r="F214" s="315" t="s">
        <v>931</v>
      </c>
      <c r="G214" s="315" t="s">
        <v>634</v>
      </c>
      <c r="H214" s="315" t="s">
        <v>739</v>
      </c>
    </row>
    <row r="215" spans="1:8" x14ac:dyDescent="0.25">
      <c r="A215" s="316">
        <v>800</v>
      </c>
      <c r="B215" s="316">
        <v>64060</v>
      </c>
      <c r="C215" s="315" t="s">
        <v>636</v>
      </c>
      <c r="D215" s="315" t="s">
        <v>653</v>
      </c>
      <c r="E215" s="315" t="s">
        <v>469</v>
      </c>
      <c r="F215" s="315" t="s">
        <v>932</v>
      </c>
      <c r="G215" s="315" t="s">
        <v>634</v>
      </c>
      <c r="H215" s="315" t="s">
        <v>933</v>
      </c>
    </row>
    <row r="216" spans="1:8" x14ac:dyDescent="0.25">
      <c r="A216" s="316">
        <v>803</v>
      </c>
      <c r="B216" s="316">
        <v>45491</v>
      </c>
      <c r="C216" s="315" t="s">
        <v>718</v>
      </c>
      <c r="D216" s="315" t="s">
        <v>719</v>
      </c>
      <c r="E216" s="315" t="s">
        <v>340</v>
      </c>
      <c r="F216" s="315" t="s">
        <v>934</v>
      </c>
      <c r="G216" s="315" t="s">
        <v>634</v>
      </c>
      <c r="H216" s="315" t="s">
        <v>795</v>
      </c>
    </row>
    <row r="217" spans="1:8" x14ac:dyDescent="0.25">
      <c r="A217" s="316">
        <v>815</v>
      </c>
      <c r="B217" s="316">
        <v>218</v>
      </c>
      <c r="C217" s="315" t="s">
        <v>631</v>
      </c>
      <c r="D217" s="315" t="s">
        <v>742</v>
      </c>
      <c r="E217" s="315" t="s">
        <v>533</v>
      </c>
      <c r="F217" s="315" t="s">
        <v>935</v>
      </c>
      <c r="G217" s="315" t="s">
        <v>936</v>
      </c>
      <c r="H217" s="315" t="s">
        <v>936</v>
      </c>
    </row>
    <row r="218" spans="1:8" x14ac:dyDescent="0.25">
      <c r="A218" s="316">
        <v>826</v>
      </c>
      <c r="B218" s="316">
        <v>10</v>
      </c>
      <c r="C218" s="315" t="s">
        <v>771</v>
      </c>
      <c r="D218" s="315" t="s">
        <v>772</v>
      </c>
      <c r="E218" s="315" t="s">
        <v>604</v>
      </c>
      <c r="F218" s="315" t="s">
        <v>937</v>
      </c>
      <c r="G218" s="315" t="s">
        <v>634</v>
      </c>
      <c r="H218" s="315" t="s">
        <v>665</v>
      </c>
    </row>
    <row r="219" spans="1:8" x14ac:dyDescent="0.25">
      <c r="A219" s="316">
        <v>856</v>
      </c>
      <c r="B219" s="316">
        <v>66187</v>
      </c>
      <c r="C219" s="315" t="s">
        <v>636</v>
      </c>
      <c r="D219" s="315" t="s">
        <v>813</v>
      </c>
      <c r="E219" s="315" t="s">
        <v>309</v>
      </c>
      <c r="F219" s="315" t="s">
        <v>938</v>
      </c>
      <c r="G219" s="315" t="s">
        <v>744</v>
      </c>
      <c r="H219" s="315" t="s">
        <v>745</v>
      </c>
    </row>
    <row r="220" spans="1:8" x14ac:dyDescent="0.25">
      <c r="A220" s="316">
        <v>866</v>
      </c>
      <c r="B220" s="316">
        <v>55542</v>
      </c>
      <c r="C220" s="315" t="s">
        <v>645</v>
      </c>
      <c r="D220" s="315" t="s">
        <v>659</v>
      </c>
      <c r="E220" s="315" t="s">
        <v>512</v>
      </c>
      <c r="F220" s="315" t="s">
        <v>939</v>
      </c>
      <c r="G220" s="315" t="s">
        <v>634</v>
      </c>
      <c r="H220" s="315" t="s">
        <v>665</v>
      </c>
    </row>
    <row r="221" spans="1:8" x14ac:dyDescent="0.25">
      <c r="A221" s="316">
        <v>891</v>
      </c>
      <c r="B221" s="316">
        <v>2672</v>
      </c>
      <c r="C221" s="315" t="s">
        <v>706</v>
      </c>
      <c r="D221" s="315" t="s">
        <v>799</v>
      </c>
      <c r="E221" s="315" t="s">
        <v>396</v>
      </c>
      <c r="F221" s="315" t="s">
        <v>940</v>
      </c>
      <c r="G221" s="315" t="s">
        <v>744</v>
      </c>
      <c r="H221" s="315" t="s">
        <v>745</v>
      </c>
    </row>
    <row r="222" spans="1:8" x14ac:dyDescent="0.25">
      <c r="A222" s="316">
        <v>916</v>
      </c>
      <c r="B222" s="316">
        <v>46609</v>
      </c>
      <c r="C222" s="315" t="s">
        <v>706</v>
      </c>
      <c r="D222" s="315" t="s">
        <v>799</v>
      </c>
      <c r="E222" s="315" t="s">
        <v>396</v>
      </c>
      <c r="F222" s="315" t="s">
        <v>941</v>
      </c>
      <c r="G222" s="315" t="s">
        <v>744</v>
      </c>
      <c r="H222" s="315" t="s">
        <v>752</v>
      </c>
    </row>
    <row r="223" spans="1:8" x14ac:dyDescent="0.25">
      <c r="A223" s="316">
        <v>934</v>
      </c>
      <c r="B223" s="316">
        <v>67644</v>
      </c>
      <c r="C223" s="315" t="s">
        <v>761</v>
      </c>
      <c r="D223" s="315" t="s">
        <v>942</v>
      </c>
      <c r="E223" s="315" t="s">
        <v>518</v>
      </c>
      <c r="F223" s="315" t="s">
        <v>943</v>
      </c>
      <c r="G223" s="315" t="s">
        <v>634</v>
      </c>
      <c r="H223" s="315" t="s">
        <v>944</v>
      </c>
    </row>
    <row r="224" spans="1:8" x14ac:dyDescent="0.25">
      <c r="A224" s="316">
        <v>937</v>
      </c>
      <c r="B224" s="316">
        <v>43738</v>
      </c>
      <c r="C224" s="315" t="s">
        <v>636</v>
      </c>
      <c r="D224" s="315" t="s">
        <v>813</v>
      </c>
      <c r="E224" s="315" t="s">
        <v>309</v>
      </c>
      <c r="F224" s="315" t="s">
        <v>945</v>
      </c>
      <c r="G224" s="315" t="s">
        <v>744</v>
      </c>
      <c r="H224" s="315" t="s">
        <v>752</v>
      </c>
    </row>
    <row r="225" spans="1:8" x14ac:dyDescent="0.25">
      <c r="A225" s="316">
        <v>953</v>
      </c>
      <c r="B225" s="316">
        <v>67650</v>
      </c>
      <c r="C225" s="315" t="s">
        <v>645</v>
      </c>
      <c r="D225" s="315" t="s">
        <v>846</v>
      </c>
      <c r="E225" s="315" t="s">
        <v>369</v>
      </c>
      <c r="F225" s="315" t="s">
        <v>946</v>
      </c>
      <c r="G225" s="315" t="s">
        <v>744</v>
      </c>
      <c r="H225" s="315" t="s">
        <v>745</v>
      </c>
    </row>
    <row r="226" spans="1:8" x14ac:dyDescent="0.25">
      <c r="A226" s="316">
        <v>954</v>
      </c>
      <c r="B226" s="316">
        <v>43723</v>
      </c>
      <c r="C226" s="315" t="s">
        <v>645</v>
      </c>
      <c r="D226" s="315" t="s">
        <v>846</v>
      </c>
      <c r="E226" s="315" t="s">
        <v>369</v>
      </c>
      <c r="F226" s="315" t="s">
        <v>947</v>
      </c>
      <c r="G226" s="315" t="s">
        <v>744</v>
      </c>
      <c r="H226" s="315" t="s">
        <v>752</v>
      </c>
    </row>
    <row r="227" spans="1:8" x14ac:dyDescent="0.25">
      <c r="A227" s="316">
        <v>997</v>
      </c>
      <c r="B227" s="316">
        <v>48171</v>
      </c>
      <c r="C227" s="315" t="s">
        <v>761</v>
      </c>
      <c r="D227" s="315" t="s">
        <v>762</v>
      </c>
      <c r="E227" s="315" t="s">
        <v>591</v>
      </c>
      <c r="F227" s="315" t="s">
        <v>948</v>
      </c>
      <c r="G227" s="315" t="s">
        <v>744</v>
      </c>
      <c r="H227" s="315" t="s">
        <v>949</v>
      </c>
    </row>
    <row r="228" spans="1:8" x14ac:dyDescent="0.25">
      <c r="A228" s="316">
        <v>1020</v>
      </c>
      <c r="B228" s="316">
        <v>67866</v>
      </c>
      <c r="C228" s="315" t="s">
        <v>631</v>
      </c>
      <c r="D228" s="315" t="s">
        <v>632</v>
      </c>
      <c r="E228" s="315" t="s">
        <v>571</v>
      </c>
      <c r="F228" s="315" t="s">
        <v>950</v>
      </c>
      <c r="G228" s="315" t="s">
        <v>676</v>
      </c>
      <c r="H228" s="315" t="s">
        <v>677</v>
      </c>
    </row>
    <row r="229" spans="1:8" x14ac:dyDescent="0.25">
      <c r="A229" s="316">
        <v>1024</v>
      </c>
      <c r="B229" s="316">
        <v>67872</v>
      </c>
      <c r="C229" s="315" t="s">
        <v>771</v>
      </c>
      <c r="D229" s="315" t="s">
        <v>848</v>
      </c>
      <c r="E229" s="315" t="s">
        <v>500</v>
      </c>
      <c r="F229" s="315" t="s">
        <v>951</v>
      </c>
      <c r="G229" s="315" t="s">
        <v>634</v>
      </c>
      <c r="H229" s="315" t="s">
        <v>665</v>
      </c>
    </row>
    <row r="230" spans="1:8" x14ac:dyDescent="0.25">
      <c r="A230" s="316">
        <v>1042</v>
      </c>
      <c r="B230" s="316">
        <v>53661</v>
      </c>
      <c r="C230" s="315" t="s">
        <v>645</v>
      </c>
      <c r="D230" s="315" t="s">
        <v>846</v>
      </c>
      <c r="E230" s="315" t="s">
        <v>614</v>
      </c>
      <c r="F230" s="315" t="s">
        <v>952</v>
      </c>
      <c r="G230" s="315" t="s">
        <v>634</v>
      </c>
      <c r="H230" s="315" t="s">
        <v>262</v>
      </c>
    </row>
    <row r="231" spans="1:8" x14ac:dyDescent="0.25">
      <c r="A231" s="316">
        <v>1051</v>
      </c>
      <c r="B231" s="316">
        <v>55859</v>
      </c>
      <c r="C231" s="315" t="s">
        <v>718</v>
      </c>
      <c r="D231" s="315" t="s">
        <v>895</v>
      </c>
      <c r="E231" s="315" t="s">
        <v>613</v>
      </c>
      <c r="F231" s="315" t="s">
        <v>953</v>
      </c>
      <c r="G231" s="315" t="s">
        <v>936</v>
      </c>
      <c r="H231" s="315" t="s">
        <v>936</v>
      </c>
    </row>
    <row r="232" spans="1:8" x14ac:dyDescent="0.25">
      <c r="A232" s="316">
        <v>1052</v>
      </c>
      <c r="B232" s="316">
        <v>63764</v>
      </c>
      <c r="C232" s="315" t="s">
        <v>645</v>
      </c>
      <c r="D232" s="315" t="s">
        <v>846</v>
      </c>
      <c r="E232" s="315" t="s">
        <v>369</v>
      </c>
      <c r="F232" s="315" t="s">
        <v>954</v>
      </c>
      <c r="G232" s="315" t="s">
        <v>936</v>
      </c>
      <c r="H232" s="315" t="s">
        <v>936</v>
      </c>
    </row>
    <row r="233" spans="1:8" x14ac:dyDescent="0.25">
      <c r="A233" s="316">
        <v>1056</v>
      </c>
      <c r="B233" s="316">
        <v>68167</v>
      </c>
      <c r="C233" s="315" t="s">
        <v>718</v>
      </c>
      <c r="D233" s="315" t="s">
        <v>895</v>
      </c>
      <c r="E233" s="315" t="s">
        <v>566</v>
      </c>
      <c r="F233" s="315" t="s">
        <v>955</v>
      </c>
      <c r="G233" s="315" t="s">
        <v>634</v>
      </c>
      <c r="H233" s="315" t="s">
        <v>956</v>
      </c>
    </row>
    <row r="234" spans="1:8" x14ac:dyDescent="0.25">
      <c r="A234" s="316">
        <v>169</v>
      </c>
      <c r="B234" s="316">
        <v>249</v>
      </c>
      <c r="C234" s="315" t="s">
        <v>631</v>
      </c>
      <c r="D234" s="315" t="s">
        <v>742</v>
      </c>
      <c r="E234" s="315" t="s">
        <v>480</v>
      </c>
      <c r="F234" s="315" t="s">
        <v>957</v>
      </c>
      <c r="G234" s="315" t="s">
        <v>634</v>
      </c>
      <c r="H234" s="315" t="s">
        <v>635</v>
      </c>
    </row>
    <row r="235" spans="1:8" x14ac:dyDescent="0.25">
      <c r="A235" s="316">
        <v>214</v>
      </c>
      <c r="B235" s="316">
        <v>271</v>
      </c>
      <c r="C235" s="315" t="s">
        <v>771</v>
      </c>
      <c r="D235" s="315" t="s">
        <v>848</v>
      </c>
      <c r="E235" s="315" t="s">
        <v>526</v>
      </c>
      <c r="F235" s="315" t="s">
        <v>958</v>
      </c>
      <c r="G235" s="315" t="s">
        <v>634</v>
      </c>
      <c r="H235" s="315" t="s">
        <v>635</v>
      </c>
    </row>
    <row r="236" spans="1:8" x14ac:dyDescent="0.25">
      <c r="A236" s="316">
        <v>230</v>
      </c>
      <c r="B236" s="316">
        <v>45183</v>
      </c>
      <c r="C236" s="315" t="s">
        <v>636</v>
      </c>
      <c r="D236" s="315" t="s">
        <v>637</v>
      </c>
      <c r="E236" s="315" t="s">
        <v>543</v>
      </c>
      <c r="F236" s="315" t="s">
        <v>959</v>
      </c>
      <c r="G236" s="315" t="s">
        <v>634</v>
      </c>
      <c r="H236" s="315" t="s">
        <v>635</v>
      </c>
    </row>
    <row r="237" spans="1:8" x14ac:dyDescent="0.25">
      <c r="A237" s="316">
        <v>291</v>
      </c>
      <c r="B237" s="316">
        <v>48918</v>
      </c>
      <c r="C237" s="315" t="s">
        <v>706</v>
      </c>
      <c r="D237" s="315" t="s">
        <v>878</v>
      </c>
      <c r="E237" s="315" t="s">
        <v>603</v>
      </c>
      <c r="F237" s="315" t="s">
        <v>960</v>
      </c>
      <c r="G237" s="315" t="s">
        <v>634</v>
      </c>
      <c r="H237" s="315" t="s">
        <v>635</v>
      </c>
    </row>
    <row r="238" spans="1:8" x14ac:dyDescent="0.25">
      <c r="A238" s="316">
        <v>713</v>
      </c>
      <c r="B238" s="316">
        <v>64185</v>
      </c>
      <c r="C238" s="315" t="s">
        <v>645</v>
      </c>
      <c r="D238" s="315" t="s">
        <v>786</v>
      </c>
      <c r="E238" s="315" t="s">
        <v>496</v>
      </c>
      <c r="F238" s="315" t="s">
        <v>961</v>
      </c>
      <c r="G238" s="315" t="s">
        <v>634</v>
      </c>
      <c r="H238" s="315" t="s">
        <v>665</v>
      </c>
    </row>
    <row r="239" spans="1:8" x14ac:dyDescent="0.25">
      <c r="A239" s="316">
        <v>41</v>
      </c>
      <c r="B239" s="316">
        <v>48893</v>
      </c>
      <c r="C239" s="315" t="s">
        <v>728</v>
      </c>
      <c r="D239" s="315" t="s">
        <v>729</v>
      </c>
      <c r="E239" s="315" t="s">
        <v>352</v>
      </c>
      <c r="F239" s="315" t="s">
        <v>962</v>
      </c>
      <c r="G239" s="315" t="s">
        <v>634</v>
      </c>
      <c r="H239" s="315" t="s">
        <v>635</v>
      </c>
    </row>
    <row r="240" spans="1:8" x14ac:dyDescent="0.25">
      <c r="A240" s="316">
        <v>43</v>
      </c>
      <c r="B240" s="316">
        <v>63861</v>
      </c>
      <c r="C240" s="315" t="s">
        <v>718</v>
      </c>
      <c r="D240" s="315" t="s">
        <v>963</v>
      </c>
      <c r="E240" s="315" t="s">
        <v>354</v>
      </c>
      <c r="F240" s="315" t="s">
        <v>964</v>
      </c>
      <c r="G240" s="315" t="s">
        <v>634</v>
      </c>
      <c r="H240" s="315" t="s">
        <v>635</v>
      </c>
    </row>
    <row r="241" spans="1:8" x14ac:dyDescent="0.25">
      <c r="A241" s="316">
        <v>55</v>
      </c>
      <c r="B241" s="316">
        <v>48545</v>
      </c>
      <c r="C241" s="315" t="s">
        <v>631</v>
      </c>
      <c r="D241" s="315" t="s">
        <v>661</v>
      </c>
      <c r="E241" s="315" t="s">
        <v>366</v>
      </c>
      <c r="F241" s="315" t="s">
        <v>965</v>
      </c>
      <c r="G241" s="315" t="s">
        <v>634</v>
      </c>
      <c r="H241" s="315" t="s">
        <v>635</v>
      </c>
    </row>
    <row r="242" spans="1:8" x14ac:dyDescent="0.25">
      <c r="A242" s="316">
        <v>63</v>
      </c>
      <c r="B242" s="316">
        <v>48934</v>
      </c>
      <c r="C242" s="315" t="s">
        <v>640</v>
      </c>
      <c r="D242" s="315" t="s">
        <v>683</v>
      </c>
      <c r="E242" s="315" t="s">
        <v>374</v>
      </c>
      <c r="F242" s="315" t="s">
        <v>966</v>
      </c>
      <c r="G242" s="315" t="s">
        <v>634</v>
      </c>
      <c r="H242" s="315" t="s">
        <v>635</v>
      </c>
    </row>
    <row r="243" spans="1:8" x14ac:dyDescent="0.25">
      <c r="A243" s="316">
        <v>66</v>
      </c>
      <c r="B243" s="316">
        <v>63870</v>
      </c>
      <c r="C243" s="315" t="s">
        <v>640</v>
      </c>
      <c r="D243" s="315" t="s">
        <v>688</v>
      </c>
      <c r="E243" s="315" t="s">
        <v>377</v>
      </c>
      <c r="F243" s="315" t="s">
        <v>967</v>
      </c>
      <c r="G243" s="315" t="s">
        <v>634</v>
      </c>
      <c r="H243" s="315" t="s">
        <v>635</v>
      </c>
    </row>
    <row r="244" spans="1:8" x14ac:dyDescent="0.25">
      <c r="A244" s="316">
        <v>70</v>
      </c>
      <c r="B244" s="316">
        <v>37</v>
      </c>
      <c r="C244" s="315" t="s">
        <v>761</v>
      </c>
      <c r="D244" s="315" t="s">
        <v>762</v>
      </c>
      <c r="E244" s="315" t="s">
        <v>381</v>
      </c>
      <c r="F244" s="315" t="s">
        <v>968</v>
      </c>
      <c r="G244" s="315" t="s">
        <v>634</v>
      </c>
      <c r="H244" s="315" t="s">
        <v>635</v>
      </c>
    </row>
    <row r="245" spans="1:8" x14ac:dyDescent="0.25">
      <c r="A245" s="316">
        <v>105</v>
      </c>
      <c r="B245" s="316">
        <v>48548</v>
      </c>
      <c r="C245" s="315" t="s">
        <v>679</v>
      </c>
      <c r="D245" s="315" t="s">
        <v>680</v>
      </c>
      <c r="E245" s="315" t="s">
        <v>415</v>
      </c>
      <c r="F245" s="315" t="s">
        <v>969</v>
      </c>
      <c r="G245" s="315" t="s">
        <v>634</v>
      </c>
      <c r="H245" s="315" t="s">
        <v>635</v>
      </c>
    </row>
    <row r="246" spans="1:8" x14ac:dyDescent="0.25">
      <c r="A246" s="316">
        <v>106</v>
      </c>
      <c r="B246" s="316">
        <v>63925</v>
      </c>
      <c r="C246" s="315" t="s">
        <v>636</v>
      </c>
      <c r="D246" s="315" t="s">
        <v>637</v>
      </c>
      <c r="E246" s="315" t="s">
        <v>416</v>
      </c>
      <c r="F246" s="315" t="s">
        <v>970</v>
      </c>
      <c r="G246" s="315" t="s">
        <v>634</v>
      </c>
      <c r="H246" s="315" t="s">
        <v>635</v>
      </c>
    </row>
    <row r="247" spans="1:8" x14ac:dyDescent="0.25">
      <c r="A247" s="316">
        <v>112</v>
      </c>
      <c r="B247" s="316">
        <v>48424</v>
      </c>
      <c r="C247" s="315" t="s">
        <v>679</v>
      </c>
      <c r="D247" s="315" t="s">
        <v>859</v>
      </c>
      <c r="E247" s="315" t="s">
        <v>421</v>
      </c>
      <c r="F247" s="315" t="s">
        <v>971</v>
      </c>
      <c r="G247" s="315" t="s">
        <v>634</v>
      </c>
      <c r="H247" s="315" t="s">
        <v>635</v>
      </c>
    </row>
    <row r="248" spans="1:8" x14ac:dyDescent="0.25">
      <c r="A248" s="316">
        <v>123</v>
      </c>
      <c r="B248" s="316">
        <v>264</v>
      </c>
      <c r="C248" s="315" t="s">
        <v>640</v>
      </c>
      <c r="D248" s="315" t="s">
        <v>683</v>
      </c>
      <c r="E248" s="315" t="s">
        <v>432</v>
      </c>
      <c r="F248" s="315" t="s">
        <v>972</v>
      </c>
      <c r="G248" s="315" t="s">
        <v>634</v>
      </c>
      <c r="H248" s="315" t="s">
        <v>635</v>
      </c>
    </row>
    <row r="249" spans="1:8" x14ac:dyDescent="0.25">
      <c r="A249" s="316">
        <v>129</v>
      </c>
      <c r="B249" s="316">
        <v>63928</v>
      </c>
      <c r="C249" s="315" t="s">
        <v>771</v>
      </c>
      <c r="D249" s="315" t="s">
        <v>867</v>
      </c>
      <c r="E249" s="315" t="s">
        <v>439</v>
      </c>
      <c r="F249" s="315" t="s">
        <v>973</v>
      </c>
      <c r="G249" s="315" t="s">
        <v>634</v>
      </c>
      <c r="H249" s="315" t="s">
        <v>635</v>
      </c>
    </row>
    <row r="250" spans="1:8" x14ac:dyDescent="0.25">
      <c r="A250" s="316">
        <v>151</v>
      </c>
      <c r="B250" s="316">
        <v>48657</v>
      </c>
      <c r="C250" s="315" t="s">
        <v>728</v>
      </c>
      <c r="D250" s="315" t="s">
        <v>729</v>
      </c>
      <c r="E250" s="315" t="s">
        <v>462</v>
      </c>
      <c r="F250" s="315" t="s">
        <v>974</v>
      </c>
      <c r="G250" s="315" t="s">
        <v>634</v>
      </c>
      <c r="H250" s="315" t="s">
        <v>635</v>
      </c>
    </row>
    <row r="251" spans="1:8" x14ac:dyDescent="0.25">
      <c r="A251" s="316">
        <v>172</v>
      </c>
      <c r="B251" s="316">
        <v>64102</v>
      </c>
      <c r="C251" s="315" t="s">
        <v>761</v>
      </c>
      <c r="D251" s="315" t="s">
        <v>942</v>
      </c>
      <c r="E251" s="315" t="s">
        <v>483</v>
      </c>
      <c r="F251" s="315" t="s">
        <v>975</v>
      </c>
      <c r="G251" s="315" t="s">
        <v>634</v>
      </c>
      <c r="H251" s="315" t="s">
        <v>635</v>
      </c>
    </row>
    <row r="252" spans="1:8" x14ac:dyDescent="0.25">
      <c r="A252" s="316">
        <v>173</v>
      </c>
      <c r="B252" s="316">
        <v>48945</v>
      </c>
      <c r="C252" s="315" t="s">
        <v>706</v>
      </c>
      <c r="D252" s="315" t="s">
        <v>878</v>
      </c>
      <c r="E252" s="315" t="s">
        <v>484</v>
      </c>
      <c r="F252" s="315" t="s">
        <v>976</v>
      </c>
      <c r="G252" s="315" t="s">
        <v>634</v>
      </c>
      <c r="H252" s="315" t="s">
        <v>635</v>
      </c>
    </row>
    <row r="253" spans="1:8" x14ac:dyDescent="0.25">
      <c r="A253" s="316">
        <v>219</v>
      </c>
      <c r="B253" s="316">
        <v>54899</v>
      </c>
      <c r="C253" s="315" t="s">
        <v>706</v>
      </c>
      <c r="D253" s="315" t="s">
        <v>878</v>
      </c>
      <c r="E253" s="315" t="s">
        <v>532</v>
      </c>
      <c r="F253" s="315" t="s">
        <v>977</v>
      </c>
      <c r="G253" s="315" t="s">
        <v>634</v>
      </c>
      <c r="H253" s="315" t="s">
        <v>635</v>
      </c>
    </row>
    <row r="254" spans="1:8" x14ac:dyDescent="0.25">
      <c r="A254" s="316">
        <v>237</v>
      </c>
      <c r="B254" s="316">
        <v>64238</v>
      </c>
      <c r="C254" s="315" t="s">
        <v>761</v>
      </c>
      <c r="D254" s="315" t="s">
        <v>828</v>
      </c>
      <c r="E254" s="315" t="s">
        <v>550</v>
      </c>
      <c r="F254" s="315" t="s">
        <v>978</v>
      </c>
      <c r="G254" s="315" t="s">
        <v>634</v>
      </c>
      <c r="H254" s="315" t="s">
        <v>635</v>
      </c>
    </row>
    <row r="255" spans="1:8" x14ac:dyDescent="0.25">
      <c r="A255" s="316">
        <v>245</v>
      </c>
      <c r="B255" s="316">
        <v>64331</v>
      </c>
      <c r="C255" s="315" t="s">
        <v>728</v>
      </c>
      <c r="D255" s="315" t="s">
        <v>886</v>
      </c>
      <c r="E255" s="315" t="s">
        <v>559</v>
      </c>
      <c r="F255" s="315" t="s">
        <v>979</v>
      </c>
      <c r="G255" s="315" t="s">
        <v>634</v>
      </c>
      <c r="H255" s="315" t="s">
        <v>635</v>
      </c>
    </row>
    <row r="256" spans="1:8" x14ac:dyDescent="0.25">
      <c r="A256" s="316">
        <v>264</v>
      </c>
      <c r="B256" s="316">
        <v>43969</v>
      </c>
      <c r="C256" s="315" t="s">
        <v>706</v>
      </c>
      <c r="D256" s="315" t="s">
        <v>709</v>
      </c>
      <c r="E256" s="315" t="s">
        <v>576</v>
      </c>
      <c r="F256" s="315" t="s">
        <v>980</v>
      </c>
      <c r="G256" s="315" t="s">
        <v>634</v>
      </c>
      <c r="H256" s="315" t="s">
        <v>635</v>
      </c>
    </row>
    <row r="257" spans="1:8" x14ac:dyDescent="0.25">
      <c r="A257" s="316">
        <v>292</v>
      </c>
      <c r="B257" s="316">
        <v>220</v>
      </c>
      <c r="C257" s="315" t="s">
        <v>771</v>
      </c>
      <c r="D257" s="315" t="s">
        <v>772</v>
      </c>
      <c r="E257" s="315" t="s">
        <v>604</v>
      </c>
      <c r="F257" s="315" t="s">
        <v>981</v>
      </c>
      <c r="G257" s="315" t="s">
        <v>634</v>
      </c>
      <c r="H257" s="315" t="s">
        <v>635</v>
      </c>
    </row>
    <row r="258" spans="1:8" x14ac:dyDescent="0.25">
      <c r="A258" s="316">
        <v>371</v>
      </c>
      <c r="B258" s="316">
        <v>63776</v>
      </c>
      <c r="C258" s="315" t="s">
        <v>640</v>
      </c>
      <c r="D258" s="315" t="s">
        <v>657</v>
      </c>
      <c r="E258" s="315" t="s">
        <v>316</v>
      </c>
      <c r="F258" s="315" t="s">
        <v>982</v>
      </c>
      <c r="G258" s="315" t="s">
        <v>634</v>
      </c>
      <c r="H258" s="315" t="s">
        <v>665</v>
      </c>
    </row>
    <row r="259" spans="1:8" x14ac:dyDescent="0.25">
      <c r="A259" s="316">
        <v>375</v>
      </c>
      <c r="B259" s="316">
        <v>64751</v>
      </c>
      <c r="C259" s="315" t="s">
        <v>631</v>
      </c>
      <c r="D259" s="315" t="s">
        <v>632</v>
      </c>
      <c r="E259" s="315" t="s">
        <v>585</v>
      </c>
      <c r="F259" s="315" t="s">
        <v>983</v>
      </c>
      <c r="G259" s="315" t="s">
        <v>634</v>
      </c>
      <c r="H259" s="315" t="s">
        <v>984</v>
      </c>
    </row>
    <row r="260" spans="1:8" x14ac:dyDescent="0.25">
      <c r="A260" s="316">
        <v>395</v>
      </c>
      <c r="B260" s="316">
        <v>64147</v>
      </c>
      <c r="C260" s="315" t="s">
        <v>679</v>
      </c>
      <c r="D260" s="315" t="s">
        <v>680</v>
      </c>
      <c r="E260" s="315" t="s">
        <v>415</v>
      </c>
      <c r="F260" s="315" t="s">
        <v>985</v>
      </c>
      <c r="G260" s="315" t="s">
        <v>676</v>
      </c>
      <c r="H260" s="315" t="s">
        <v>677</v>
      </c>
    </row>
    <row r="261" spans="1:8" x14ac:dyDescent="0.25">
      <c r="A261" s="316">
        <v>401</v>
      </c>
      <c r="B261" s="316">
        <v>64143</v>
      </c>
      <c r="C261" s="315" t="s">
        <v>761</v>
      </c>
      <c r="D261" s="315" t="s">
        <v>762</v>
      </c>
      <c r="E261" s="315" t="s">
        <v>381</v>
      </c>
      <c r="F261" s="315" t="s">
        <v>986</v>
      </c>
      <c r="G261" s="315" t="s">
        <v>634</v>
      </c>
      <c r="H261" s="315" t="s">
        <v>673</v>
      </c>
    </row>
    <row r="262" spans="1:8" x14ac:dyDescent="0.25">
      <c r="A262" s="316">
        <v>438</v>
      </c>
      <c r="B262" s="316">
        <v>63929</v>
      </c>
      <c r="C262" s="315" t="s">
        <v>771</v>
      </c>
      <c r="D262" s="315" t="s">
        <v>867</v>
      </c>
      <c r="E262" s="315" t="s">
        <v>439</v>
      </c>
      <c r="F262" s="315" t="s">
        <v>987</v>
      </c>
      <c r="G262" s="315" t="s">
        <v>634</v>
      </c>
      <c r="H262" s="315" t="s">
        <v>644</v>
      </c>
    </row>
    <row r="263" spans="1:8" x14ac:dyDescent="0.25">
      <c r="A263" s="316">
        <v>517</v>
      </c>
      <c r="B263" s="316">
        <v>63881</v>
      </c>
      <c r="C263" s="315" t="s">
        <v>631</v>
      </c>
      <c r="D263" s="315" t="s">
        <v>988</v>
      </c>
      <c r="E263" s="315" t="s">
        <v>384</v>
      </c>
      <c r="F263" s="315" t="s">
        <v>989</v>
      </c>
      <c r="G263" s="315" t="s">
        <v>634</v>
      </c>
      <c r="H263" s="315" t="s">
        <v>990</v>
      </c>
    </row>
    <row r="264" spans="1:8" x14ac:dyDescent="0.25">
      <c r="A264" s="316">
        <v>540</v>
      </c>
      <c r="B264" s="316">
        <v>63827</v>
      </c>
      <c r="C264" s="315" t="s">
        <v>706</v>
      </c>
      <c r="D264" s="315" t="s">
        <v>878</v>
      </c>
      <c r="E264" s="315" t="s">
        <v>484</v>
      </c>
      <c r="F264" s="315" t="s">
        <v>991</v>
      </c>
      <c r="G264" s="315" t="s">
        <v>634</v>
      </c>
      <c r="H264" s="315" t="s">
        <v>992</v>
      </c>
    </row>
    <row r="265" spans="1:8" x14ac:dyDescent="0.25">
      <c r="A265" s="316">
        <v>635</v>
      </c>
      <c r="B265" s="316">
        <v>64250</v>
      </c>
      <c r="C265" s="315" t="s">
        <v>718</v>
      </c>
      <c r="D265" s="315" t="s">
        <v>895</v>
      </c>
      <c r="E265" s="315" t="s">
        <v>566</v>
      </c>
      <c r="F265" s="315" t="s">
        <v>993</v>
      </c>
      <c r="G265" s="315" t="s">
        <v>744</v>
      </c>
      <c r="H265" s="315" t="s">
        <v>745</v>
      </c>
    </row>
    <row r="266" spans="1:8" x14ac:dyDescent="0.25">
      <c r="A266" s="316">
        <v>677</v>
      </c>
      <c r="B266" s="316">
        <v>63808</v>
      </c>
      <c r="C266" s="315" t="s">
        <v>771</v>
      </c>
      <c r="D266" s="315" t="s">
        <v>836</v>
      </c>
      <c r="E266" s="315" t="s">
        <v>332</v>
      </c>
      <c r="F266" s="315" t="s">
        <v>994</v>
      </c>
      <c r="G266" s="315" t="s">
        <v>634</v>
      </c>
      <c r="H266" s="315" t="s">
        <v>665</v>
      </c>
    </row>
    <row r="267" spans="1:8" x14ac:dyDescent="0.25">
      <c r="A267" s="316">
        <v>885</v>
      </c>
      <c r="B267" s="316">
        <v>66201</v>
      </c>
      <c r="C267" s="315" t="s">
        <v>645</v>
      </c>
      <c r="D267" s="315" t="s">
        <v>786</v>
      </c>
      <c r="E267" s="315" t="s">
        <v>496</v>
      </c>
      <c r="F267" s="315" t="s">
        <v>995</v>
      </c>
      <c r="G267" s="315" t="s">
        <v>634</v>
      </c>
      <c r="H267" s="315" t="s">
        <v>996</v>
      </c>
    </row>
    <row r="268" spans="1:8" x14ac:dyDescent="0.25">
      <c r="A268" s="316">
        <v>929</v>
      </c>
      <c r="B268" s="316">
        <v>67231</v>
      </c>
      <c r="C268" s="315" t="s">
        <v>631</v>
      </c>
      <c r="D268" s="315" t="s">
        <v>661</v>
      </c>
      <c r="E268" s="315" t="s">
        <v>366</v>
      </c>
      <c r="F268" s="315" t="s">
        <v>997</v>
      </c>
      <c r="G268" s="315" t="s">
        <v>676</v>
      </c>
      <c r="H268" s="315" t="s">
        <v>677</v>
      </c>
    </row>
    <row r="269" spans="1:8" x14ac:dyDescent="0.25">
      <c r="A269" s="316">
        <v>945</v>
      </c>
      <c r="B269" s="316">
        <v>45931</v>
      </c>
      <c r="C269" s="315" t="s">
        <v>718</v>
      </c>
      <c r="D269" s="315" t="s">
        <v>719</v>
      </c>
      <c r="E269" s="315" t="s">
        <v>341</v>
      </c>
      <c r="F269" s="315" t="s">
        <v>998</v>
      </c>
      <c r="G269" s="315" t="s">
        <v>744</v>
      </c>
      <c r="H269" s="315" t="s">
        <v>752</v>
      </c>
    </row>
    <row r="270" spans="1:8" x14ac:dyDescent="0.25">
      <c r="A270" s="316">
        <v>1011</v>
      </c>
      <c r="B270" s="316">
        <v>67729</v>
      </c>
      <c r="C270" s="315" t="s">
        <v>636</v>
      </c>
      <c r="D270" s="315" t="s">
        <v>637</v>
      </c>
      <c r="E270" s="315" t="s">
        <v>543</v>
      </c>
      <c r="F270" s="315" t="s">
        <v>999</v>
      </c>
      <c r="G270" s="315" t="s">
        <v>744</v>
      </c>
      <c r="H270" s="315" t="s">
        <v>822</v>
      </c>
    </row>
    <row r="271" spans="1:8" x14ac:dyDescent="0.25">
      <c r="A271" s="316">
        <v>134</v>
      </c>
      <c r="B271" s="316">
        <v>48553</v>
      </c>
      <c r="C271" s="315" t="s">
        <v>728</v>
      </c>
      <c r="D271" s="315" t="s">
        <v>886</v>
      </c>
      <c r="E271" s="315" t="s">
        <v>445</v>
      </c>
      <c r="F271" s="315" t="s">
        <v>1000</v>
      </c>
      <c r="G271" s="315" t="s">
        <v>634</v>
      </c>
      <c r="H271" s="315" t="s">
        <v>635</v>
      </c>
    </row>
    <row r="272" spans="1:8" x14ac:dyDescent="0.25">
      <c r="A272" s="316">
        <v>299</v>
      </c>
      <c r="B272" s="316">
        <v>48647</v>
      </c>
      <c r="C272" s="315" t="s">
        <v>636</v>
      </c>
      <c r="D272" s="315" t="s">
        <v>813</v>
      </c>
      <c r="E272" s="315" t="s">
        <v>610</v>
      </c>
      <c r="F272" s="315" t="s">
        <v>1001</v>
      </c>
      <c r="G272" s="315" t="s">
        <v>634</v>
      </c>
      <c r="H272" s="315" t="s">
        <v>635</v>
      </c>
    </row>
    <row r="273" spans="1:8" x14ac:dyDescent="0.25">
      <c r="A273" s="316">
        <v>336</v>
      </c>
      <c r="B273" s="316">
        <v>64181</v>
      </c>
      <c r="C273" s="315" t="s">
        <v>645</v>
      </c>
      <c r="D273" s="315" t="s">
        <v>786</v>
      </c>
      <c r="E273" s="315" t="s">
        <v>496</v>
      </c>
      <c r="F273" s="315" t="s">
        <v>1002</v>
      </c>
      <c r="G273" s="315" t="s">
        <v>634</v>
      </c>
      <c r="H273" s="315" t="s">
        <v>1003</v>
      </c>
    </row>
    <row r="274" spans="1:8" x14ac:dyDescent="0.25">
      <c r="A274" s="316">
        <v>355</v>
      </c>
      <c r="B274" s="316">
        <v>64224</v>
      </c>
      <c r="C274" s="315" t="s">
        <v>631</v>
      </c>
      <c r="D274" s="315" t="s">
        <v>632</v>
      </c>
      <c r="E274" s="315" t="s">
        <v>585</v>
      </c>
      <c r="F274" s="315" t="s">
        <v>1004</v>
      </c>
      <c r="G274" s="315" t="s">
        <v>634</v>
      </c>
      <c r="H274" s="315" t="s">
        <v>635</v>
      </c>
    </row>
    <row r="275" spans="1:8" x14ac:dyDescent="0.25">
      <c r="A275" s="316">
        <v>424</v>
      </c>
      <c r="B275" s="316">
        <v>64182</v>
      </c>
      <c r="C275" s="315" t="s">
        <v>645</v>
      </c>
      <c r="D275" s="315" t="s">
        <v>786</v>
      </c>
      <c r="E275" s="315" t="s">
        <v>496</v>
      </c>
      <c r="F275" s="315" t="s">
        <v>1005</v>
      </c>
      <c r="G275" s="315" t="s">
        <v>634</v>
      </c>
      <c r="H275" s="315" t="s">
        <v>644</v>
      </c>
    </row>
    <row r="276" spans="1:8" x14ac:dyDescent="0.25">
      <c r="A276" s="316">
        <v>469</v>
      </c>
      <c r="B276" s="316">
        <v>63950</v>
      </c>
      <c r="C276" s="315" t="s">
        <v>728</v>
      </c>
      <c r="D276" s="315" t="s">
        <v>886</v>
      </c>
      <c r="E276" s="315" t="s">
        <v>445</v>
      </c>
      <c r="F276" s="315" t="s">
        <v>1006</v>
      </c>
      <c r="G276" s="315" t="s">
        <v>634</v>
      </c>
      <c r="H276" s="315" t="s">
        <v>644</v>
      </c>
    </row>
    <row r="277" spans="1:8" x14ac:dyDescent="0.25">
      <c r="A277" s="316">
        <v>470</v>
      </c>
      <c r="B277" s="316">
        <v>63951</v>
      </c>
      <c r="C277" s="315" t="s">
        <v>728</v>
      </c>
      <c r="D277" s="315" t="s">
        <v>886</v>
      </c>
      <c r="E277" s="315" t="s">
        <v>445</v>
      </c>
      <c r="F277" s="315" t="s">
        <v>1007</v>
      </c>
      <c r="G277" s="315" t="s">
        <v>634</v>
      </c>
      <c r="H277" s="315" t="s">
        <v>990</v>
      </c>
    </row>
    <row r="278" spans="1:8" x14ac:dyDescent="0.25">
      <c r="A278" s="316">
        <v>479</v>
      </c>
      <c r="B278" s="316">
        <v>64223</v>
      </c>
      <c r="C278" s="315" t="s">
        <v>631</v>
      </c>
      <c r="D278" s="315" t="s">
        <v>632</v>
      </c>
      <c r="E278" s="315" t="s">
        <v>585</v>
      </c>
      <c r="F278" s="315" t="s">
        <v>1008</v>
      </c>
      <c r="G278" s="315" t="s">
        <v>634</v>
      </c>
      <c r="H278" s="315" t="s">
        <v>635</v>
      </c>
    </row>
    <row r="279" spans="1:8" x14ac:dyDescent="0.25">
      <c r="A279" s="316">
        <v>480</v>
      </c>
      <c r="B279" s="316">
        <v>64228</v>
      </c>
      <c r="C279" s="315" t="s">
        <v>679</v>
      </c>
      <c r="D279" s="315" t="s">
        <v>680</v>
      </c>
      <c r="E279" s="315" t="s">
        <v>519</v>
      </c>
      <c r="F279" s="315" t="s">
        <v>1009</v>
      </c>
      <c r="G279" s="315" t="s">
        <v>676</v>
      </c>
      <c r="H279" s="315" t="s">
        <v>677</v>
      </c>
    </row>
    <row r="280" spans="1:8" x14ac:dyDescent="0.25">
      <c r="A280" s="316">
        <v>516</v>
      </c>
      <c r="B280" s="316">
        <v>63879</v>
      </c>
      <c r="C280" s="315" t="s">
        <v>631</v>
      </c>
      <c r="D280" s="315" t="s">
        <v>988</v>
      </c>
      <c r="E280" s="315" t="s">
        <v>384</v>
      </c>
      <c r="F280" s="315" t="s">
        <v>1010</v>
      </c>
      <c r="G280" s="315" t="s">
        <v>634</v>
      </c>
      <c r="H280" s="315" t="s">
        <v>635</v>
      </c>
    </row>
    <row r="281" spans="1:8" x14ac:dyDescent="0.25">
      <c r="A281" s="316">
        <v>518</v>
      </c>
      <c r="B281" s="316">
        <v>63880</v>
      </c>
      <c r="C281" s="315" t="s">
        <v>631</v>
      </c>
      <c r="D281" s="315" t="s">
        <v>988</v>
      </c>
      <c r="E281" s="315" t="s">
        <v>384</v>
      </c>
      <c r="F281" s="315" t="s">
        <v>1011</v>
      </c>
      <c r="G281" s="315" t="s">
        <v>634</v>
      </c>
      <c r="H281" s="315" t="s">
        <v>644</v>
      </c>
    </row>
    <row r="282" spans="1:8" x14ac:dyDescent="0.25">
      <c r="A282" s="316">
        <v>547</v>
      </c>
      <c r="B282" s="316">
        <v>36196</v>
      </c>
      <c r="C282" s="315" t="s">
        <v>640</v>
      </c>
      <c r="D282" s="315" t="s">
        <v>666</v>
      </c>
      <c r="E282" s="315" t="s">
        <v>463</v>
      </c>
      <c r="F282" s="315" t="s">
        <v>1012</v>
      </c>
      <c r="G282" s="315" t="s">
        <v>634</v>
      </c>
      <c r="H282" s="315" t="s">
        <v>635</v>
      </c>
    </row>
    <row r="283" spans="1:8" x14ac:dyDescent="0.25">
      <c r="A283" s="316">
        <v>554</v>
      </c>
      <c r="B283" s="316">
        <v>50903</v>
      </c>
      <c r="C283" s="315" t="s">
        <v>771</v>
      </c>
      <c r="D283" s="315" t="s">
        <v>867</v>
      </c>
      <c r="E283" s="315" t="s">
        <v>344</v>
      </c>
      <c r="F283" s="315" t="s">
        <v>1013</v>
      </c>
      <c r="G283" s="315" t="s">
        <v>634</v>
      </c>
      <c r="H283" s="315" t="s">
        <v>635</v>
      </c>
    </row>
    <row r="284" spans="1:8" x14ac:dyDescent="0.25">
      <c r="A284" s="316">
        <v>727</v>
      </c>
      <c r="B284" s="316">
        <v>64193</v>
      </c>
      <c r="C284" s="315" t="s">
        <v>640</v>
      </c>
      <c r="D284" s="315" t="s">
        <v>702</v>
      </c>
      <c r="E284" s="315" t="s">
        <v>597</v>
      </c>
      <c r="F284" s="315" t="s">
        <v>1014</v>
      </c>
      <c r="G284" s="315" t="s">
        <v>634</v>
      </c>
      <c r="H284" s="315" t="s">
        <v>665</v>
      </c>
    </row>
    <row r="285" spans="1:8" x14ac:dyDescent="0.25">
      <c r="A285" s="316">
        <v>868</v>
      </c>
      <c r="B285" s="316">
        <v>66194</v>
      </c>
      <c r="C285" s="315" t="s">
        <v>645</v>
      </c>
      <c r="D285" s="315" t="s">
        <v>646</v>
      </c>
      <c r="E285" s="315" t="s">
        <v>393</v>
      </c>
      <c r="F285" s="315" t="s">
        <v>1015</v>
      </c>
      <c r="G285" s="315" t="s">
        <v>744</v>
      </c>
      <c r="H285" s="315" t="s">
        <v>745</v>
      </c>
    </row>
    <row r="286" spans="1:8" x14ac:dyDescent="0.25">
      <c r="A286" s="316">
        <v>884</v>
      </c>
      <c r="B286" s="316">
        <v>67162</v>
      </c>
      <c r="C286" s="315" t="s">
        <v>636</v>
      </c>
      <c r="D286" s="315" t="s">
        <v>637</v>
      </c>
      <c r="E286" s="315" t="s">
        <v>416</v>
      </c>
      <c r="F286" s="315" t="s">
        <v>1016</v>
      </c>
      <c r="G286" s="315" t="s">
        <v>744</v>
      </c>
      <c r="H286" s="315" t="s">
        <v>1017</v>
      </c>
    </row>
    <row r="287" spans="1:8" x14ac:dyDescent="0.25">
      <c r="A287" s="316">
        <v>914</v>
      </c>
      <c r="B287" s="316">
        <v>66274</v>
      </c>
      <c r="C287" s="315" t="s">
        <v>728</v>
      </c>
      <c r="D287" s="315" t="s">
        <v>729</v>
      </c>
      <c r="E287" s="315" t="s">
        <v>352</v>
      </c>
      <c r="F287" s="315" t="s">
        <v>1018</v>
      </c>
      <c r="G287" s="315" t="s">
        <v>634</v>
      </c>
      <c r="H287" s="315" t="s">
        <v>665</v>
      </c>
    </row>
    <row r="288" spans="1:8" x14ac:dyDescent="0.25">
      <c r="A288" s="316">
        <v>935</v>
      </c>
      <c r="B288" s="316">
        <v>67646</v>
      </c>
      <c r="C288" s="315" t="s">
        <v>645</v>
      </c>
      <c r="D288" s="315" t="s">
        <v>646</v>
      </c>
      <c r="E288" s="315" t="s">
        <v>393</v>
      </c>
      <c r="F288" s="315" t="s">
        <v>1019</v>
      </c>
      <c r="G288" s="315" t="s">
        <v>744</v>
      </c>
      <c r="H288" s="315" t="s">
        <v>745</v>
      </c>
    </row>
    <row r="289" spans="1:8" x14ac:dyDescent="0.25">
      <c r="A289" s="316">
        <v>11</v>
      </c>
      <c r="B289" s="316">
        <v>312</v>
      </c>
      <c r="C289" s="315" t="s">
        <v>728</v>
      </c>
      <c r="D289" s="315" t="s">
        <v>729</v>
      </c>
      <c r="E289" s="315" t="s">
        <v>319</v>
      </c>
      <c r="F289" s="315" t="s">
        <v>1020</v>
      </c>
      <c r="G289" s="315" t="s">
        <v>634</v>
      </c>
      <c r="H289" s="315" t="s">
        <v>635</v>
      </c>
    </row>
    <row r="290" spans="1:8" x14ac:dyDescent="0.25">
      <c r="A290" s="316">
        <v>71</v>
      </c>
      <c r="B290" s="316">
        <v>48895</v>
      </c>
      <c r="C290" s="315" t="s">
        <v>728</v>
      </c>
      <c r="D290" s="315" t="s">
        <v>729</v>
      </c>
      <c r="E290" s="315" t="s">
        <v>382</v>
      </c>
      <c r="F290" s="315" t="s">
        <v>1021</v>
      </c>
      <c r="G290" s="315" t="s">
        <v>634</v>
      </c>
      <c r="H290" s="315" t="s">
        <v>635</v>
      </c>
    </row>
    <row r="291" spans="1:8" x14ac:dyDescent="0.25">
      <c r="A291" s="316">
        <v>73</v>
      </c>
      <c r="B291" s="316">
        <v>251</v>
      </c>
      <c r="C291" s="315" t="s">
        <v>631</v>
      </c>
      <c r="D291" s="315" t="s">
        <v>988</v>
      </c>
      <c r="E291" s="315" t="s">
        <v>384</v>
      </c>
      <c r="F291" s="315" t="s">
        <v>1022</v>
      </c>
      <c r="G291" s="315" t="s">
        <v>634</v>
      </c>
      <c r="H291" s="315" t="s">
        <v>635</v>
      </c>
    </row>
    <row r="292" spans="1:8" x14ac:dyDescent="0.25">
      <c r="A292" s="316">
        <v>171</v>
      </c>
      <c r="B292" s="316">
        <v>235</v>
      </c>
      <c r="C292" s="315" t="s">
        <v>640</v>
      </c>
      <c r="D292" s="315" t="s">
        <v>683</v>
      </c>
      <c r="E292" s="315" t="s">
        <v>482</v>
      </c>
      <c r="F292" s="315" t="s">
        <v>1023</v>
      </c>
      <c r="G292" s="315" t="s">
        <v>634</v>
      </c>
      <c r="H292" s="315" t="s">
        <v>635</v>
      </c>
    </row>
    <row r="293" spans="1:8" x14ac:dyDescent="0.25">
      <c r="A293" s="316">
        <v>181</v>
      </c>
      <c r="B293" s="316">
        <v>63813</v>
      </c>
      <c r="C293" s="315" t="s">
        <v>640</v>
      </c>
      <c r="D293" s="315" t="s">
        <v>702</v>
      </c>
      <c r="E293" s="315" t="s">
        <v>493</v>
      </c>
      <c r="F293" s="315" t="s">
        <v>1024</v>
      </c>
      <c r="G293" s="315" t="s">
        <v>634</v>
      </c>
      <c r="H293" s="315" t="s">
        <v>635</v>
      </c>
    </row>
    <row r="294" spans="1:8" x14ac:dyDescent="0.25">
      <c r="A294" s="316">
        <v>209</v>
      </c>
      <c r="B294" s="316">
        <v>281</v>
      </c>
      <c r="C294" s="315" t="s">
        <v>728</v>
      </c>
      <c r="D294" s="315" t="s">
        <v>757</v>
      </c>
      <c r="E294" s="315" t="s">
        <v>521</v>
      </c>
      <c r="F294" s="315" t="s">
        <v>1025</v>
      </c>
      <c r="G294" s="315" t="s">
        <v>634</v>
      </c>
      <c r="H294" s="315" t="s">
        <v>635</v>
      </c>
    </row>
    <row r="295" spans="1:8" x14ac:dyDescent="0.25">
      <c r="A295" s="316">
        <v>229</v>
      </c>
      <c r="B295" s="316">
        <v>125</v>
      </c>
      <c r="C295" s="315" t="s">
        <v>636</v>
      </c>
      <c r="D295" s="315" t="s">
        <v>637</v>
      </c>
      <c r="E295" s="315" t="s">
        <v>541</v>
      </c>
      <c r="F295" s="315" t="s">
        <v>1026</v>
      </c>
      <c r="G295" s="315" t="s">
        <v>634</v>
      </c>
      <c r="H295" s="315" t="s">
        <v>635</v>
      </c>
    </row>
    <row r="296" spans="1:8" x14ac:dyDescent="0.25">
      <c r="A296" s="316">
        <v>233</v>
      </c>
      <c r="B296" s="316">
        <v>48</v>
      </c>
      <c r="C296" s="315" t="s">
        <v>636</v>
      </c>
      <c r="D296" s="315" t="s">
        <v>653</v>
      </c>
      <c r="E296" s="315" t="s">
        <v>546</v>
      </c>
      <c r="F296" s="315" t="s">
        <v>1027</v>
      </c>
      <c r="G296" s="315" t="s">
        <v>634</v>
      </c>
      <c r="H296" s="315" t="s">
        <v>635</v>
      </c>
    </row>
    <row r="297" spans="1:8" x14ac:dyDescent="0.25">
      <c r="A297" s="316">
        <v>284</v>
      </c>
      <c r="B297" s="316">
        <v>41</v>
      </c>
      <c r="C297" s="315" t="s">
        <v>679</v>
      </c>
      <c r="D297" s="315" t="s">
        <v>680</v>
      </c>
      <c r="E297" s="315" t="s">
        <v>596</v>
      </c>
      <c r="F297" s="315" t="s">
        <v>1028</v>
      </c>
      <c r="G297" s="315" t="s">
        <v>634</v>
      </c>
      <c r="H297" s="315" t="s">
        <v>635</v>
      </c>
    </row>
    <row r="298" spans="1:8" x14ac:dyDescent="0.25">
      <c r="A298" s="316">
        <v>318</v>
      </c>
      <c r="B298" s="316">
        <v>161</v>
      </c>
      <c r="C298" s="315" t="s">
        <v>631</v>
      </c>
      <c r="D298" s="315" t="s">
        <v>632</v>
      </c>
      <c r="E298" s="315" t="s">
        <v>585</v>
      </c>
      <c r="F298" s="315" t="s">
        <v>1029</v>
      </c>
      <c r="G298" s="315" t="s">
        <v>634</v>
      </c>
      <c r="H298" s="315" t="s">
        <v>635</v>
      </c>
    </row>
    <row r="299" spans="1:8" x14ac:dyDescent="0.25">
      <c r="A299" s="316">
        <v>330</v>
      </c>
      <c r="B299" s="316">
        <v>63856</v>
      </c>
      <c r="C299" s="315" t="s">
        <v>640</v>
      </c>
      <c r="D299" s="315" t="s">
        <v>688</v>
      </c>
      <c r="E299" s="315" t="s">
        <v>358</v>
      </c>
      <c r="F299" s="315" t="s">
        <v>1030</v>
      </c>
      <c r="G299" s="315" t="s">
        <v>634</v>
      </c>
      <c r="H299" s="315" t="s">
        <v>635</v>
      </c>
    </row>
    <row r="300" spans="1:8" x14ac:dyDescent="0.25">
      <c r="A300" s="316">
        <v>452</v>
      </c>
      <c r="B300" s="316">
        <v>64086</v>
      </c>
      <c r="C300" s="315" t="s">
        <v>631</v>
      </c>
      <c r="D300" s="315" t="s">
        <v>766</v>
      </c>
      <c r="E300" s="315" t="s">
        <v>473</v>
      </c>
      <c r="F300" s="315" t="s">
        <v>1031</v>
      </c>
      <c r="G300" s="315" t="s">
        <v>634</v>
      </c>
      <c r="H300" s="315" t="s">
        <v>665</v>
      </c>
    </row>
    <row r="301" spans="1:8" x14ac:dyDescent="0.25">
      <c r="A301" s="316">
        <v>612</v>
      </c>
      <c r="B301" s="316">
        <v>63938</v>
      </c>
      <c r="C301" s="315" t="s">
        <v>631</v>
      </c>
      <c r="D301" s="315" t="s">
        <v>742</v>
      </c>
      <c r="E301" s="315" t="s">
        <v>480</v>
      </c>
      <c r="F301" s="315" t="s">
        <v>1032</v>
      </c>
      <c r="G301" s="315" t="s">
        <v>634</v>
      </c>
      <c r="H301" s="315" t="s">
        <v>990</v>
      </c>
    </row>
    <row r="302" spans="1:8" x14ac:dyDescent="0.25">
      <c r="A302" s="316">
        <v>634</v>
      </c>
      <c r="B302" s="316">
        <v>48967</v>
      </c>
      <c r="C302" s="315" t="s">
        <v>679</v>
      </c>
      <c r="D302" s="315" t="s">
        <v>680</v>
      </c>
      <c r="E302" s="315" t="s">
        <v>596</v>
      </c>
      <c r="F302" s="315" t="s">
        <v>1033</v>
      </c>
      <c r="G302" s="315" t="s">
        <v>634</v>
      </c>
      <c r="H302" s="315" t="s">
        <v>639</v>
      </c>
    </row>
    <row r="303" spans="1:8" x14ac:dyDescent="0.25">
      <c r="A303" s="316">
        <v>654</v>
      </c>
      <c r="B303" s="316">
        <v>64104</v>
      </c>
      <c r="C303" s="315" t="s">
        <v>640</v>
      </c>
      <c r="D303" s="315" t="s">
        <v>683</v>
      </c>
      <c r="E303" s="315" t="s">
        <v>482</v>
      </c>
      <c r="F303" s="315" t="s">
        <v>1034</v>
      </c>
      <c r="G303" s="315" t="s">
        <v>634</v>
      </c>
      <c r="H303" s="315" t="s">
        <v>673</v>
      </c>
    </row>
    <row r="304" spans="1:8" x14ac:dyDescent="0.25">
      <c r="A304" s="316">
        <v>709</v>
      </c>
      <c r="B304" s="316">
        <v>64106</v>
      </c>
      <c r="C304" s="315" t="s">
        <v>640</v>
      </c>
      <c r="D304" s="315" t="s">
        <v>683</v>
      </c>
      <c r="E304" s="315" t="s">
        <v>482</v>
      </c>
      <c r="F304" s="315" t="s">
        <v>1035</v>
      </c>
      <c r="G304" s="315" t="s">
        <v>634</v>
      </c>
      <c r="H304" s="315" t="s">
        <v>665</v>
      </c>
    </row>
    <row r="305" spans="1:8" x14ac:dyDescent="0.25">
      <c r="A305" s="316">
        <v>728</v>
      </c>
      <c r="B305" s="316">
        <v>64744</v>
      </c>
      <c r="C305" s="315" t="s">
        <v>631</v>
      </c>
      <c r="D305" s="315" t="s">
        <v>742</v>
      </c>
      <c r="E305" s="315" t="s">
        <v>598</v>
      </c>
      <c r="F305" s="315" t="s">
        <v>1036</v>
      </c>
      <c r="G305" s="315" t="s">
        <v>744</v>
      </c>
      <c r="H305" s="315" t="s">
        <v>822</v>
      </c>
    </row>
    <row r="306" spans="1:8" x14ac:dyDescent="0.25">
      <c r="A306" s="316">
        <v>731</v>
      </c>
      <c r="B306" s="316">
        <v>64212</v>
      </c>
      <c r="C306" s="315" t="s">
        <v>636</v>
      </c>
      <c r="D306" s="315" t="s">
        <v>813</v>
      </c>
      <c r="E306" s="315" t="s">
        <v>610</v>
      </c>
      <c r="F306" s="315" t="s">
        <v>1037</v>
      </c>
      <c r="G306" s="315" t="s">
        <v>1038</v>
      </c>
      <c r="H306" s="315" t="s">
        <v>1039</v>
      </c>
    </row>
    <row r="307" spans="1:8" x14ac:dyDescent="0.25">
      <c r="A307" s="316">
        <v>733</v>
      </c>
      <c r="B307" s="316">
        <v>64298</v>
      </c>
      <c r="C307" s="315" t="s">
        <v>679</v>
      </c>
      <c r="D307" s="315" t="s">
        <v>680</v>
      </c>
      <c r="E307" s="315" t="s">
        <v>596</v>
      </c>
      <c r="F307" s="315" t="s">
        <v>1040</v>
      </c>
      <c r="G307" s="315" t="s">
        <v>634</v>
      </c>
      <c r="H307" s="315" t="s">
        <v>665</v>
      </c>
    </row>
    <row r="308" spans="1:8" x14ac:dyDescent="0.25">
      <c r="A308" s="316">
        <v>753</v>
      </c>
      <c r="B308" s="316">
        <v>64157</v>
      </c>
      <c r="C308" s="315" t="s">
        <v>631</v>
      </c>
      <c r="D308" s="315" t="s">
        <v>766</v>
      </c>
      <c r="E308" s="315" t="s">
        <v>571</v>
      </c>
      <c r="F308" s="315" t="s">
        <v>1041</v>
      </c>
      <c r="G308" s="315" t="s">
        <v>634</v>
      </c>
      <c r="H308" s="315" t="s">
        <v>665</v>
      </c>
    </row>
    <row r="309" spans="1:8" x14ac:dyDescent="0.25">
      <c r="A309" s="316">
        <v>771</v>
      </c>
      <c r="B309" s="316">
        <v>52089</v>
      </c>
      <c r="C309" s="315" t="s">
        <v>631</v>
      </c>
      <c r="D309" s="315" t="s">
        <v>742</v>
      </c>
      <c r="E309" s="315" t="s">
        <v>480</v>
      </c>
      <c r="F309" s="315" t="s">
        <v>1042</v>
      </c>
      <c r="G309" s="315" t="s">
        <v>634</v>
      </c>
      <c r="H309" s="315" t="s">
        <v>635</v>
      </c>
    </row>
    <row r="310" spans="1:8" x14ac:dyDescent="0.25">
      <c r="A310" s="316">
        <v>804</v>
      </c>
      <c r="B310" s="316">
        <v>64308</v>
      </c>
      <c r="C310" s="315" t="s">
        <v>679</v>
      </c>
      <c r="D310" s="315" t="s">
        <v>680</v>
      </c>
      <c r="E310" s="315" t="s">
        <v>596</v>
      </c>
      <c r="F310" s="315" t="s">
        <v>1043</v>
      </c>
      <c r="G310" s="315" t="s">
        <v>634</v>
      </c>
      <c r="H310" s="315" t="s">
        <v>644</v>
      </c>
    </row>
    <row r="311" spans="1:8" x14ac:dyDescent="0.25">
      <c r="A311" s="316">
        <v>936</v>
      </c>
      <c r="B311" s="316">
        <v>67850</v>
      </c>
      <c r="C311" s="315" t="s">
        <v>679</v>
      </c>
      <c r="D311" s="315" t="s">
        <v>680</v>
      </c>
      <c r="E311" s="315" t="s">
        <v>596</v>
      </c>
      <c r="F311" s="315" t="s">
        <v>1044</v>
      </c>
      <c r="G311" s="315" t="s">
        <v>744</v>
      </c>
      <c r="H311" s="315" t="s">
        <v>901</v>
      </c>
    </row>
    <row r="312" spans="1:8" x14ac:dyDescent="0.25">
      <c r="A312" s="316">
        <v>1027</v>
      </c>
      <c r="B312" s="316">
        <v>55858</v>
      </c>
      <c r="C312" s="315" t="s">
        <v>706</v>
      </c>
      <c r="D312" s="315" t="s">
        <v>831</v>
      </c>
      <c r="E312" s="315" t="s">
        <v>404</v>
      </c>
      <c r="F312" s="315" t="s">
        <v>1045</v>
      </c>
      <c r="G312" s="315" t="s">
        <v>936</v>
      </c>
      <c r="H312" s="315" t="s">
        <v>936</v>
      </c>
    </row>
    <row r="313" spans="1:8" x14ac:dyDescent="0.25">
      <c r="A313" s="316">
        <v>1041</v>
      </c>
      <c r="B313" s="316">
        <v>68050</v>
      </c>
      <c r="C313" s="315" t="s">
        <v>631</v>
      </c>
      <c r="D313" s="315" t="s">
        <v>804</v>
      </c>
      <c r="E313" s="315" t="s">
        <v>600</v>
      </c>
      <c r="F313" s="315" t="s">
        <v>1046</v>
      </c>
      <c r="G313" s="315" t="s">
        <v>1038</v>
      </c>
      <c r="H313" s="315" t="s">
        <v>1039</v>
      </c>
    </row>
    <row r="314" spans="1:8" x14ac:dyDescent="0.25">
      <c r="A314" s="316">
        <v>17</v>
      </c>
      <c r="B314" s="316">
        <v>316</v>
      </c>
      <c r="C314" s="315" t="s">
        <v>640</v>
      </c>
      <c r="D314" s="315" t="s">
        <v>663</v>
      </c>
      <c r="E314" s="315" t="s">
        <v>327</v>
      </c>
      <c r="F314" s="315" t="s">
        <v>1047</v>
      </c>
      <c r="G314" s="315" t="s">
        <v>634</v>
      </c>
      <c r="H314" s="315" t="s">
        <v>635</v>
      </c>
    </row>
    <row r="315" spans="1:8" x14ac:dyDescent="0.25">
      <c r="A315" s="316">
        <v>46</v>
      </c>
      <c r="B315" s="316">
        <v>130</v>
      </c>
      <c r="C315" s="315" t="s">
        <v>706</v>
      </c>
      <c r="D315" s="315" t="s">
        <v>834</v>
      </c>
      <c r="E315" s="315" t="s">
        <v>357</v>
      </c>
      <c r="F315" s="315" t="s">
        <v>1048</v>
      </c>
      <c r="G315" s="315" t="s">
        <v>634</v>
      </c>
      <c r="H315" s="315" t="s">
        <v>635</v>
      </c>
    </row>
    <row r="316" spans="1:8" x14ac:dyDescent="0.25">
      <c r="A316" s="316">
        <v>152</v>
      </c>
      <c r="B316" s="316">
        <v>43797</v>
      </c>
      <c r="C316" s="315" t="s">
        <v>636</v>
      </c>
      <c r="D316" s="315" t="s">
        <v>813</v>
      </c>
      <c r="E316" s="315" t="s">
        <v>464</v>
      </c>
      <c r="F316" s="315" t="s">
        <v>1049</v>
      </c>
      <c r="G316" s="315" t="s">
        <v>634</v>
      </c>
      <c r="H316" s="315" t="s">
        <v>635</v>
      </c>
    </row>
    <row r="317" spans="1:8" x14ac:dyDescent="0.25">
      <c r="A317" s="316">
        <v>222</v>
      </c>
      <c r="B317" s="316">
        <v>64296</v>
      </c>
      <c r="C317" s="315" t="s">
        <v>706</v>
      </c>
      <c r="D317" s="315" t="s">
        <v>834</v>
      </c>
      <c r="E317" s="315" t="s">
        <v>535</v>
      </c>
      <c r="F317" s="315" t="s">
        <v>1050</v>
      </c>
      <c r="G317" s="315" t="s">
        <v>634</v>
      </c>
      <c r="H317" s="315" t="s">
        <v>635</v>
      </c>
    </row>
    <row r="318" spans="1:8" x14ac:dyDescent="0.25">
      <c r="A318" s="316">
        <v>231</v>
      </c>
      <c r="B318" s="316">
        <v>43834</v>
      </c>
      <c r="C318" s="315" t="s">
        <v>636</v>
      </c>
      <c r="D318" s="315" t="s">
        <v>816</v>
      </c>
      <c r="E318" s="315" t="s">
        <v>544</v>
      </c>
      <c r="F318" s="315" t="s">
        <v>1051</v>
      </c>
      <c r="G318" s="315" t="s">
        <v>634</v>
      </c>
      <c r="H318" s="315" t="s">
        <v>635</v>
      </c>
    </row>
    <row r="319" spans="1:8" x14ac:dyDescent="0.25">
      <c r="A319" s="316">
        <v>240</v>
      </c>
      <c r="B319" s="316">
        <v>39</v>
      </c>
      <c r="C319" s="315" t="s">
        <v>706</v>
      </c>
      <c r="D319" s="315" t="s">
        <v>834</v>
      </c>
      <c r="E319" s="315" t="s">
        <v>553</v>
      </c>
      <c r="F319" s="315" t="s">
        <v>1052</v>
      </c>
      <c r="G319" s="315" t="s">
        <v>634</v>
      </c>
      <c r="H319" s="315" t="s">
        <v>635</v>
      </c>
    </row>
    <row r="320" spans="1:8" x14ac:dyDescent="0.25">
      <c r="A320" s="316">
        <v>254</v>
      </c>
      <c r="B320" s="316">
        <v>48923</v>
      </c>
      <c r="C320" s="315" t="s">
        <v>640</v>
      </c>
      <c r="D320" s="315" t="s">
        <v>641</v>
      </c>
      <c r="E320" s="315" t="s">
        <v>568</v>
      </c>
      <c r="F320" s="315" t="s">
        <v>1053</v>
      </c>
      <c r="G320" s="315" t="s">
        <v>634</v>
      </c>
      <c r="H320" s="315" t="s">
        <v>635</v>
      </c>
    </row>
    <row r="321" spans="1:8" x14ac:dyDescent="0.25">
      <c r="A321" s="316">
        <v>280</v>
      </c>
      <c r="B321" s="316">
        <v>230</v>
      </c>
      <c r="C321" s="315" t="s">
        <v>640</v>
      </c>
      <c r="D321" s="315" t="s">
        <v>657</v>
      </c>
      <c r="E321" s="315" t="s">
        <v>592</v>
      </c>
      <c r="F321" s="315" t="s">
        <v>1054</v>
      </c>
      <c r="G321" s="315" t="s">
        <v>634</v>
      </c>
      <c r="H321" s="315" t="s">
        <v>635</v>
      </c>
    </row>
    <row r="322" spans="1:8" x14ac:dyDescent="0.25">
      <c r="A322" s="316">
        <v>306</v>
      </c>
      <c r="B322" s="316">
        <v>48910</v>
      </c>
      <c r="C322" s="315" t="s">
        <v>640</v>
      </c>
      <c r="D322" s="315" t="s">
        <v>668</v>
      </c>
      <c r="E322" s="315" t="s">
        <v>617</v>
      </c>
      <c r="F322" s="315" t="s">
        <v>1055</v>
      </c>
      <c r="G322" s="315" t="s">
        <v>634</v>
      </c>
      <c r="H322" s="315" t="s">
        <v>635</v>
      </c>
    </row>
    <row r="323" spans="1:8" x14ac:dyDescent="0.25">
      <c r="A323" s="316">
        <v>533</v>
      </c>
      <c r="B323" s="316">
        <v>25748</v>
      </c>
      <c r="C323" s="315" t="s">
        <v>640</v>
      </c>
      <c r="D323" s="315" t="s">
        <v>666</v>
      </c>
      <c r="E323" s="315" t="s">
        <v>397</v>
      </c>
      <c r="F323" s="315" t="s">
        <v>1056</v>
      </c>
      <c r="G323" s="315" t="s">
        <v>634</v>
      </c>
      <c r="H323" s="315" t="s">
        <v>665</v>
      </c>
    </row>
    <row r="324" spans="1:8" x14ac:dyDescent="0.25">
      <c r="A324" s="316">
        <v>600</v>
      </c>
      <c r="B324" s="316">
        <v>66543</v>
      </c>
      <c r="C324" s="315" t="s">
        <v>640</v>
      </c>
      <c r="D324" s="315" t="s">
        <v>657</v>
      </c>
      <c r="E324" s="315" t="s">
        <v>595</v>
      </c>
      <c r="F324" s="315" t="s">
        <v>1057</v>
      </c>
      <c r="G324" s="315" t="s">
        <v>676</v>
      </c>
      <c r="H324" s="315" t="s">
        <v>677</v>
      </c>
    </row>
    <row r="325" spans="1:8" x14ac:dyDescent="0.25">
      <c r="A325" s="316">
        <v>628</v>
      </c>
      <c r="B325" s="316">
        <v>63769</v>
      </c>
      <c r="C325" s="315" t="s">
        <v>640</v>
      </c>
      <c r="D325" s="315" t="s">
        <v>663</v>
      </c>
      <c r="E325" s="315" t="s">
        <v>327</v>
      </c>
      <c r="F325" s="315" t="s">
        <v>1058</v>
      </c>
      <c r="G325" s="315" t="s">
        <v>634</v>
      </c>
      <c r="H325" s="315" t="s">
        <v>665</v>
      </c>
    </row>
    <row r="326" spans="1:8" x14ac:dyDescent="0.25">
      <c r="A326" s="316">
        <v>712</v>
      </c>
      <c r="B326" s="316">
        <v>63814</v>
      </c>
      <c r="C326" s="315" t="s">
        <v>645</v>
      </c>
      <c r="D326" s="315" t="s">
        <v>846</v>
      </c>
      <c r="E326" s="315" t="s">
        <v>494</v>
      </c>
      <c r="F326" s="315" t="s">
        <v>1059</v>
      </c>
      <c r="G326" s="315" t="s">
        <v>634</v>
      </c>
      <c r="H326" s="315" t="s">
        <v>665</v>
      </c>
    </row>
    <row r="327" spans="1:8" x14ac:dyDescent="0.25">
      <c r="A327" s="316">
        <v>808</v>
      </c>
      <c r="B327" s="316">
        <v>64237</v>
      </c>
      <c r="C327" s="315" t="s">
        <v>636</v>
      </c>
      <c r="D327" s="315" t="s">
        <v>637</v>
      </c>
      <c r="E327" s="315" t="s">
        <v>541</v>
      </c>
      <c r="F327" s="315" t="s">
        <v>1060</v>
      </c>
      <c r="G327" s="315" t="s">
        <v>634</v>
      </c>
      <c r="H327" s="315" t="s">
        <v>665</v>
      </c>
    </row>
    <row r="328" spans="1:8" x14ac:dyDescent="0.25">
      <c r="A328" s="316">
        <v>25</v>
      </c>
      <c r="B328" s="316">
        <v>51017</v>
      </c>
      <c r="C328" s="315" t="s">
        <v>636</v>
      </c>
      <c r="D328" s="315" t="s">
        <v>813</v>
      </c>
      <c r="E328" s="315" t="s">
        <v>335</v>
      </c>
      <c r="F328" s="315" t="s">
        <v>1061</v>
      </c>
      <c r="G328" s="315" t="s">
        <v>634</v>
      </c>
      <c r="H328" s="315" t="s">
        <v>635</v>
      </c>
    </row>
    <row r="329" spans="1:8" x14ac:dyDescent="0.25">
      <c r="A329" s="316">
        <v>30</v>
      </c>
      <c r="B329" s="316">
        <v>45489</v>
      </c>
      <c r="C329" s="315" t="s">
        <v>718</v>
      </c>
      <c r="D329" s="315" t="s">
        <v>719</v>
      </c>
      <c r="E329" s="315" t="s">
        <v>340</v>
      </c>
      <c r="F329" s="315" t="s">
        <v>1062</v>
      </c>
      <c r="G329" s="315" t="s">
        <v>634</v>
      </c>
      <c r="H329" s="315" t="s">
        <v>635</v>
      </c>
    </row>
    <row r="330" spans="1:8" x14ac:dyDescent="0.25">
      <c r="A330" s="316">
        <v>59</v>
      </c>
      <c r="B330" s="316">
        <v>208</v>
      </c>
      <c r="C330" s="315" t="s">
        <v>771</v>
      </c>
      <c r="D330" s="315" t="s">
        <v>772</v>
      </c>
      <c r="E330" s="315" t="s">
        <v>1063</v>
      </c>
      <c r="F330" s="315" t="s">
        <v>1064</v>
      </c>
      <c r="G330" s="315" t="s">
        <v>634</v>
      </c>
      <c r="H330" s="315" t="s">
        <v>635</v>
      </c>
    </row>
    <row r="331" spans="1:8" x14ac:dyDescent="0.25">
      <c r="A331" s="316">
        <v>138</v>
      </c>
      <c r="B331" s="316">
        <v>64325</v>
      </c>
      <c r="C331" s="315" t="s">
        <v>631</v>
      </c>
      <c r="D331" s="315" t="s">
        <v>661</v>
      </c>
      <c r="E331" s="315" t="s">
        <v>449</v>
      </c>
      <c r="F331" s="315" t="s">
        <v>1065</v>
      </c>
      <c r="G331" s="315" t="s">
        <v>634</v>
      </c>
      <c r="H331" s="315" t="s">
        <v>635</v>
      </c>
    </row>
    <row r="332" spans="1:8" x14ac:dyDescent="0.25">
      <c r="A332" s="316">
        <v>190</v>
      </c>
      <c r="B332" s="316">
        <v>48658</v>
      </c>
      <c r="C332" s="315" t="s">
        <v>645</v>
      </c>
      <c r="D332" s="315" t="s">
        <v>659</v>
      </c>
      <c r="E332" s="315" t="s">
        <v>503</v>
      </c>
      <c r="F332" s="315" t="s">
        <v>1066</v>
      </c>
      <c r="G332" s="315" t="s">
        <v>634</v>
      </c>
      <c r="H332" s="315" t="s">
        <v>635</v>
      </c>
    </row>
    <row r="333" spans="1:8" x14ac:dyDescent="0.25">
      <c r="A333" s="316">
        <v>216</v>
      </c>
      <c r="B333" s="316">
        <v>256</v>
      </c>
      <c r="C333" s="315" t="s">
        <v>636</v>
      </c>
      <c r="D333" s="315" t="s">
        <v>637</v>
      </c>
      <c r="E333" s="315" t="s">
        <v>529</v>
      </c>
      <c r="F333" s="315" t="s">
        <v>1067</v>
      </c>
      <c r="G333" s="315" t="s">
        <v>634</v>
      </c>
      <c r="H333" s="315" t="s">
        <v>635</v>
      </c>
    </row>
    <row r="334" spans="1:8" x14ac:dyDescent="0.25">
      <c r="A334" s="316">
        <v>220</v>
      </c>
      <c r="B334" s="316">
        <v>64232</v>
      </c>
      <c r="C334" s="315" t="s">
        <v>631</v>
      </c>
      <c r="D334" s="315" t="s">
        <v>742</v>
      </c>
      <c r="E334" s="315" t="s">
        <v>533</v>
      </c>
      <c r="F334" s="315" t="s">
        <v>1068</v>
      </c>
      <c r="G334" s="315" t="s">
        <v>634</v>
      </c>
      <c r="H334" s="315" t="s">
        <v>635</v>
      </c>
    </row>
    <row r="335" spans="1:8" x14ac:dyDescent="0.25">
      <c r="A335" s="316">
        <v>272</v>
      </c>
      <c r="B335" s="316">
        <v>247</v>
      </c>
      <c r="C335" s="315" t="s">
        <v>771</v>
      </c>
      <c r="D335" s="315" t="s">
        <v>867</v>
      </c>
      <c r="E335" s="315" t="s">
        <v>583</v>
      </c>
      <c r="F335" s="315" t="s">
        <v>1069</v>
      </c>
      <c r="G335" s="315" t="s">
        <v>634</v>
      </c>
      <c r="H335" s="315" t="s">
        <v>635</v>
      </c>
    </row>
    <row r="336" spans="1:8" x14ac:dyDescent="0.25">
      <c r="A336" s="316">
        <v>276</v>
      </c>
      <c r="B336" s="316">
        <v>48231</v>
      </c>
      <c r="C336" s="315" t="s">
        <v>728</v>
      </c>
      <c r="D336" s="315" t="s">
        <v>852</v>
      </c>
      <c r="E336" s="315" t="s">
        <v>588</v>
      </c>
      <c r="F336" s="315" t="s">
        <v>1070</v>
      </c>
      <c r="G336" s="315" t="s">
        <v>634</v>
      </c>
      <c r="H336" s="315" t="s">
        <v>635</v>
      </c>
    </row>
    <row r="337" spans="1:8" x14ac:dyDescent="0.25">
      <c r="A337" s="316">
        <v>286</v>
      </c>
      <c r="B337" s="316">
        <v>240</v>
      </c>
      <c r="C337" s="315" t="s">
        <v>631</v>
      </c>
      <c r="D337" s="315" t="s">
        <v>742</v>
      </c>
      <c r="E337" s="315" t="s">
        <v>598</v>
      </c>
      <c r="F337" s="315" t="s">
        <v>1071</v>
      </c>
      <c r="G337" s="315" t="s">
        <v>634</v>
      </c>
      <c r="H337" s="315" t="s">
        <v>635</v>
      </c>
    </row>
    <row r="338" spans="1:8" x14ac:dyDescent="0.25">
      <c r="A338" s="316">
        <v>340</v>
      </c>
      <c r="B338" s="316">
        <v>64322</v>
      </c>
      <c r="C338" s="315" t="s">
        <v>640</v>
      </c>
      <c r="D338" s="315" t="s">
        <v>688</v>
      </c>
      <c r="E338" s="315" t="s">
        <v>615</v>
      </c>
      <c r="F338" s="315" t="s">
        <v>1072</v>
      </c>
      <c r="G338" s="315" t="s">
        <v>634</v>
      </c>
      <c r="H338" s="315" t="s">
        <v>726</v>
      </c>
    </row>
    <row r="339" spans="1:8" x14ac:dyDescent="0.25">
      <c r="A339" s="316">
        <v>491</v>
      </c>
      <c r="B339" s="316">
        <v>64323</v>
      </c>
      <c r="C339" s="315" t="s">
        <v>640</v>
      </c>
      <c r="D339" s="315" t="s">
        <v>688</v>
      </c>
      <c r="E339" s="315" t="s">
        <v>615</v>
      </c>
      <c r="F339" s="315" t="s">
        <v>1073</v>
      </c>
      <c r="G339" s="315" t="s">
        <v>634</v>
      </c>
      <c r="H339" s="315" t="s">
        <v>673</v>
      </c>
    </row>
    <row r="340" spans="1:8" x14ac:dyDescent="0.25">
      <c r="A340" s="316">
        <v>496</v>
      </c>
      <c r="B340" s="316">
        <v>243</v>
      </c>
      <c r="C340" s="315" t="s">
        <v>679</v>
      </c>
      <c r="D340" s="315" t="s">
        <v>704</v>
      </c>
      <c r="E340" s="315" t="s">
        <v>429</v>
      </c>
      <c r="F340" s="315" t="s">
        <v>1074</v>
      </c>
      <c r="G340" s="315" t="s">
        <v>634</v>
      </c>
      <c r="H340" s="315" t="s">
        <v>635</v>
      </c>
    </row>
    <row r="341" spans="1:8" x14ac:dyDescent="0.25">
      <c r="A341" s="316">
        <v>534</v>
      </c>
      <c r="B341" s="316">
        <v>63984</v>
      </c>
      <c r="C341" s="315" t="s">
        <v>771</v>
      </c>
      <c r="D341" s="315" t="s">
        <v>776</v>
      </c>
      <c r="E341" s="315" t="s">
        <v>459</v>
      </c>
      <c r="F341" s="315" t="s">
        <v>1075</v>
      </c>
      <c r="G341" s="315" t="s">
        <v>634</v>
      </c>
      <c r="H341" s="315" t="s">
        <v>673</v>
      </c>
    </row>
    <row r="342" spans="1:8" x14ac:dyDescent="0.25">
      <c r="A342" s="316">
        <v>552</v>
      </c>
      <c r="B342" s="316">
        <v>63986</v>
      </c>
      <c r="C342" s="315" t="s">
        <v>771</v>
      </c>
      <c r="D342" s="315" t="s">
        <v>776</v>
      </c>
      <c r="E342" s="315" t="s">
        <v>459</v>
      </c>
      <c r="F342" s="315" t="s">
        <v>1076</v>
      </c>
      <c r="G342" s="315" t="s">
        <v>634</v>
      </c>
      <c r="H342" s="315" t="s">
        <v>665</v>
      </c>
    </row>
    <row r="343" spans="1:8" x14ac:dyDescent="0.25">
      <c r="A343" s="316">
        <v>562</v>
      </c>
      <c r="B343" s="316">
        <v>64235</v>
      </c>
      <c r="C343" s="315" t="s">
        <v>636</v>
      </c>
      <c r="D343" s="315" t="s">
        <v>816</v>
      </c>
      <c r="E343" s="315" t="s">
        <v>544</v>
      </c>
      <c r="F343" s="315" t="s">
        <v>1077</v>
      </c>
      <c r="G343" s="315" t="s">
        <v>634</v>
      </c>
      <c r="H343" s="315" t="s">
        <v>665</v>
      </c>
    </row>
    <row r="344" spans="1:8" x14ac:dyDescent="0.25">
      <c r="A344" s="316">
        <v>618</v>
      </c>
      <c r="B344" s="316">
        <v>172</v>
      </c>
      <c r="C344" s="315" t="s">
        <v>771</v>
      </c>
      <c r="D344" s="315" t="s">
        <v>867</v>
      </c>
      <c r="E344" s="315" t="s">
        <v>583</v>
      </c>
      <c r="F344" s="315" t="s">
        <v>1078</v>
      </c>
      <c r="G344" s="315" t="s">
        <v>634</v>
      </c>
      <c r="H344" s="315" t="s">
        <v>795</v>
      </c>
    </row>
    <row r="345" spans="1:8" x14ac:dyDescent="0.25">
      <c r="A345" s="316">
        <v>723</v>
      </c>
      <c r="B345" s="316">
        <v>64233</v>
      </c>
      <c r="C345" s="315" t="s">
        <v>631</v>
      </c>
      <c r="D345" s="315" t="s">
        <v>742</v>
      </c>
      <c r="E345" s="315" t="s">
        <v>533</v>
      </c>
      <c r="F345" s="315" t="s">
        <v>1079</v>
      </c>
      <c r="G345" s="315" t="s">
        <v>1038</v>
      </c>
      <c r="H345" s="315" t="s">
        <v>1039</v>
      </c>
    </row>
    <row r="346" spans="1:8" x14ac:dyDescent="0.25">
      <c r="A346" s="316">
        <v>983</v>
      </c>
      <c r="B346" s="316">
        <v>19315</v>
      </c>
      <c r="C346" s="315" t="s">
        <v>631</v>
      </c>
      <c r="D346" s="315" t="s">
        <v>632</v>
      </c>
      <c r="E346" s="315" t="s">
        <v>585</v>
      </c>
      <c r="F346" s="315" t="s">
        <v>1080</v>
      </c>
      <c r="G346" s="315" t="s">
        <v>744</v>
      </c>
      <c r="H346" s="315" t="s">
        <v>1081</v>
      </c>
    </row>
    <row r="347" spans="1:8" x14ac:dyDescent="0.25">
      <c r="A347" s="316">
        <v>1026</v>
      </c>
      <c r="B347" s="316">
        <v>67881</v>
      </c>
      <c r="C347" s="315" t="s">
        <v>771</v>
      </c>
      <c r="D347" s="315" t="s">
        <v>848</v>
      </c>
      <c r="E347" s="315" t="s">
        <v>422</v>
      </c>
      <c r="F347" s="315" t="s">
        <v>1082</v>
      </c>
      <c r="G347" s="315" t="s">
        <v>634</v>
      </c>
      <c r="H347" s="315" t="s">
        <v>635</v>
      </c>
    </row>
    <row r="348" spans="1:8" x14ac:dyDescent="0.25">
      <c r="A348" s="316">
        <v>153</v>
      </c>
      <c r="B348" s="316">
        <v>64045</v>
      </c>
      <c r="C348" s="315" t="s">
        <v>771</v>
      </c>
      <c r="D348" s="315" t="s">
        <v>836</v>
      </c>
      <c r="E348" s="315" t="s">
        <v>465</v>
      </c>
      <c r="F348" s="315" t="s">
        <v>1083</v>
      </c>
      <c r="G348" s="315" t="s">
        <v>634</v>
      </c>
      <c r="H348" s="315" t="s">
        <v>635</v>
      </c>
    </row>
    <row r="349" spans="1:8" x14ac:dyDescent="0.25">
      <c r="A349" s="316">
        <v>239</v>
      </c>
      <c r="B349" s="316">
        <v>211</v>
      </c>
      <c r="C349" s="315" t="s">
        <v>631</v>
      </c>
      <c r="D349" s="315" t="s">
        <v>766</v>
      </c>
      <c r="E349" s="315" t="s">
        <v>552</v>
      </c>
      <c r="F349" s="315" t="s">
        <v>1084</v>
      </c>
      <c r="G349" s="315" t="s">
        <v>634</v>
      </c>
      <c r="H349" s="315" t="s">
        <v>635</v>
      </c>
    </row>
    <row r="350" spans="1:8" x14ac:dyDescent="0.25">
      <c r="A350" s="316">
        <v>327</v>
      </c>
      <c r="B350" s="316">
        <v>24399</v>
      </c>
      <c r="C350" s="315" t="s">
        <v>631</v>
      </c>
      <c r="D350" s="315" t="s">
        <v>632</v>
      </c>
      <c r="E350" s="315" t="s">
        <v>585</v>
      </c>
      <c r="F350" s="315" t="s">
        <v>1085</v>
      </c>
      <c r="G350" s="315" t="s">
        <v>634</v>
      </c>
      <c r="H350" s="315" t="s">
        <v>984</v>
      </c>
    </row>
    <row r="351" spans="1:8" x14ac:dyDescent="0.25">
      <c r="A351" s="316">
        <v>356</v>
      </c>
      <c r="B351" s="316">
        <v>64735</v>
      </c>
      <c r="C351" s="315" t="s">
        <v>631</v>
      </c>
      <c r="D351" s="315" t="s">
        <v>766</v>
      </c>
      <c r="E351" s="315" t="s">
        <v>552</v>
      </c>
      <c r="F351" s="315" t="s">
        <v>1086</v>
      </c>
      <c r="G351" s="315" t="s">
        <v>634</v>
      </c>
      <c r="H351" s="315" t="s">
        <v>673</v>
      </c>
    </row>
    <row r="352" spans="1:8" x14ac:dyDescent="0.25">
      <c r="A352" s="316">
        <v>494</v>
      </c>
      <c r="B352" s="316">
        <v>64118</v>
      </c>
      <c r="C352" s="315" t="s">
        <v>645</v>
      </c>
      <c r="D352" s="315" t="s">
        <v>646</v>
      </c>
      <c r="E352" s="315" t="s">
        <v>393</v>
      </c>
      <c r="F352" s="315" t="s">
        <v>1087</v>
      </c>
      <c r="G352" s="315" t="s">
        <v>634</v>
      </c>
      <c r="H352" s="315" t="s">
        <v>673</v>
      </c>
    </row>
    <row r="353" spans="1:8" x14ac:dyDescent="0.25">
      <c r="A353" s="316">
        <v>515</v>
      </c>
      <c r="B353" s="316">
        <v>63883</v>
      </c>
      <c r="C353" s="315" t="s">
        <v>771</v>
      </c>
      <c r="D353" s="315" t="s">
        <v>836</v>
      </c>
      <c r="E353" s="315" t="s">
        <v>385</v>
      </c>
      <c r="F353" s="315" t="s">
        <v>1088</v>
      </c>
      <c r="G353" s="315" t="s">
        <v>634</v>
      </c>
      <c r="H353" s="315" t="s">
        <v>795</v>
      </c>
    </row>
    <row r="354" spans="1:8" x14ac:dyDescent="0.25">
      <c r="A354" s="316">
        <v>556</v>
      </c>
      <c r="B354" s="316">
        <v>64230</v>
      </c>
      <c r="C354" s="315" t="s">
        <v>640</v>
      </c>
      <c r="D354" s="315" t="s">
        <v>641</v>
      </c>
      <c r="E354" s="315" t="s">
        <v>538</v>
      </c>
      <c r="F354" s="315" t="s">
        <v>1089</v>
      </c>
      <c r="G354" s="315" t="s">
        <v>634</v>
      </c>
      <c r="H354" s="315" t="s">
        <v>673</v>
      </c>
    </row>
    <row r="355" spans="1:8" x14ac:dyDescent="0.25">
      <c r="A355" s="316">
        <v>560</v>
      </c>
      <c r="B355" s="316">
        <v>24460</v>
      </c>
      <c r="C355" s="315" t="s">
        <v>771</v>
      </c>
      <c r="D355" s="315" t="s">
        <v>848</v>
      </c>
      <c r="E355" s="315" t="s">
        <v>526</v>
      </c>
      <c r="F355" s="315" t="s">
        <v>1090</v>
      </c>
      <c r="G355" s="315" t="s">
        <v>634</v>
      </c>
      <c r="H355" s="315" t="s">
        <v>644</v>
      </c>
    </row>
    <row r="356" spans="1:8" x14ac:dyDescent="0.25">
      <c r="A356" s="316">
        <v>661</v>
      </c>
      <c r="B356" s="316">
        <v>64197</v>
      </c>
      <c r="C356" s="315" t="s">
        <v>631</v>
      </c>
      <c r="D356" s="315" t="s">
        <v>804</v>
      </c>
      <c r="E356" s="315" t="s">
        <v>600</v>
      </c>
      <c r="F356" s="315" t="s">
        <v>1091</v>
      </c>
      <c r="G356" s="315" t="s">
        <v>634</v>
      </c>
      <c r="H356" s="315" t="s">
        <v>795</v>
      </c>
    </row>
    <row r="357" spans="1:8" x14ac:dyDescent="0.25">
      <c r="A357" s="316">
        <v>663</v>
      </c>
      <c r="B357" s="316">
        <v>7471</v>
      </c>
      <c r="C357" s="315" t="s">
        <v>636</v>
      </c>
      <c r="D357" s="315" t="s">
        <v>813</v>
      </c>
      <c r="E357" s="315" t="s">
        <v>610</v>
      </c>
      <c r="F357" s="315" t="s">
        <v>1092</v>
      </c>
      <c r="G357" s="315" t="s">
        <v>744</v>
      </c>
      <c r="H357" s="315" t="s">
        <v>1093</v>
      </c>
    </row>
    <row r="358" spans="1:8" x14ac:dyDescent="0.25">
      <c r="A358" s="316">
        <v>854</v>
      </c>
      <c r="B358" s="316">
        <v>63862</v>
      </c>
      <c r="C358" s="315" t="s">
        <v>718</v>
      </c>
      <c r="D358" s="315" t="s">
        <v>963</v>
      </c>
      <c r="E358" s="315" t="s">
        <v>354</v>
      </c>
      <c r="F358" s="315" t="s">
        <v>1094</v>
      </c>
      <c r="G358" s="315" t="s">
        <v>634</v>
      </c>
      <c r="H358" s="315" t="s">
        <v>644</v>
      </c>
    </row>
    <row r="359" spans="1:8" x14ac:dyDescent="0.25">
      <c r="A359" s="316">
        <v>930</v>
      </c>
      <c r="B359" s="316">
        <v>67238</v>
      </c>
      <c r="C359" s="315" t="s">
        <v>631</v>
      </c>
      <c r="D359" s="315" t="s">
        <v>766</v>
      </c>
      <c r="E359" s="315" t="s">
        <v>552</v>
      </c>
      <c r="F359" s="315" t="s">
        <v>1095</v>
      </c>
      <c r="G359" s="315" t="s">
        <v>744</v>
      </c>
      <c r="H359" s="315" t="s">
        <v>822</v>
      </c>
    </row>
    <row r="360" spans="1:8" x14ac:dyDescent="0.25">
      <c r="A360" s="316">
        <v>982</v>
      </c>
      <c r="B360" s="316">
        <v>67858</v>
      </c>
      <c r="C360" s="315" t="s">
        <v>631</v>
      </c>
      <c r="D360" s="315" t="s">
        <v>632</v>
      </c>
      <c r="E360" s="315" t="s">
        <v>585</v>
      </c>
      <c r="F360" s="315" t="s">
        <v>1096</v>
      </c>
      <c r="G360" s="315" t="s">
        <v>744</v>
      </c>
      <c r="H360" s="315" t="s">
        <v>822</v>
      </c>
    </row>
    <row r="361" spans="1:8" x14ac:dyDescent="0.25">
      <c r="A361" s="316">
        <v>103</v>
      </c>
      <c r="B361" s="316">
        <v>63920</v>
      </c>
      <c r="C361" s="315" t="s">
        <v>706</v>
      </c>
      <c r="D361" s="315" t="s">
        <v>709</v>
      </c>
      <c r="E361" s="315" t="s">
        <v>413</v>
      </c>
      <c r="F361" s="315" t="s">
        <v>1097</v>
      </c>
      <c r="G361" s="315" t="s">
        <v>634</v>
      </c>
      <c r="H361" s="315" t="s">
        <v>635</v>
      </c>
    </row>
    <row r="362" spans="1:8" x14ac:dyDescent="0.25">
      <c r="A362" s="316">
        <v>297</v>
      </c>
      <c r="B362" s="316">
        <v>237</v>
      </c>
      <c r="C362" s="315" t="s">
        <v>640</v>
      </c>
      <c r="D362" s="315" t="s">
        <v>650</v>
      </c>
      <c r="E362" s="315" t="s">
        <v>608</v>
      </c>
      <c r="F362" s="315" t="s">
        <v>1098</v>
      </c>
      <c r="G362" s="315" t="s">
        <v>634</v>
      </c>
      <c r="H362" s="315" t="s">
        <v>635</v>
      </c>
    </row>
    <row r="363" spans="1:8" x14ac:dyDescent="0.25">
      <c r="A363" s="316">
        <v>307</v>
      </c>
      <c r="B363" s="316">
        <v>64219</v>
      </c>
      <c r="C363" s="315" t="s">
        <v>631</v>
      </c>
      <c r="D363" s="315" t="s">
        <v>804</v>
      </c>
      <c r="E363" s="315" t="s">
        <v>618</v>
      </c>
      <c r="F363" s="315" t="s">
        <v>1099</v>
      </c>
      <c r="G363" s="315" t="s">
        <v>634</v>
      </c>
      <c r="H363" s="315" t="s">
        <v>635</v>
      </c>
    </row>
    <row r="364" spans="1:8" x14ac:dyDescent="0.25">
      <c r="A364" s="316">
        <v>315</v>
      </c>
      <c r="B364" s="316">
        <v>7</v>
      </c>
      <c r="C364" s="315" t="s">
        <v>631</v>
      </c>
      <c r="D364" s="315" t="s">
        <v>632</v>
      </c>
      <c r="E364" s="315" t="s">
        <v>585</v>
      </c>
      <c r="F364" s="315" t="s">
        <v>1100</v>
      </c>
      <c r="G364" s="315" t="s">
        <v>634</v>
      </c>
      <c r="H364" s="315" t="s">
        <v>635</v>
      </c>
    </row>
    <row r="365" spans="1:8" x14ac:dyDescent="0.25">
      <c r="A365" s="316">
        <v>905</v>
      </c>
      <c r="B365" s="316">
        <v>54825</v>
      </c>
      <c r="C365" s="315" t="s">
        <v>645</v>
      </c>
      <c r="D365" s="315" t="s">
        <v>786</v>
      </c>
      <c r="E365" s="315" t="s">
        <v>333</v>
      </c>
      <c r="F365" s="315" t="s">
        <v>1101</v>
      </c>
      <c r="G365" s="315" t="s">
        <v>634</v>
      </c>
      <c r="H365" s="315" t="s">
        <v>984</v>
      </c>
    </row>
    <row r="366" spans="1:8" x14ac:dyDescent="0.25">
      <c r="A366" s="316">
        <v>925</v>
      </c>
      <c r="B366" s="316">
        <v>66268</v>
      </c>
      <c r="C366" s="315" t="s">
        <v>761</v>
      </c>
      <c r="D366" s="315" t="s">
        <v>828</v>
      </c>
      <c r="E366" s="315" t="s">
        <v>418</v>
      </c>
      <c r="F366" s="315" t="s">
        <v>1102</v>
      </c>
      <c r="G366" s="315" t="s">
        <v>634</v>
      </c>
      <c r="H366" s="315" t="s">
        <v>665</v>
      </c>
    </row>
    <row r="367" spans="1:8" x14ac:dyDescent="0.25">
      <c r="A367" s="316">
        <v>15</v>
      </c>
      <c r="B367" s="316">
        <v>63786</v>
      </c>
      <c r="C367" s="315" t="s">
        <v>631</v>
      </c>
      <c r="D367" s="315" t="s">
        <v>840</v>
      </c>
      <c r="E367" s="315" t="s">
        <v>325</v>
      </c>
      <c r="F367" s="315" t="s">
        <v>1103</v>
      </c>
      <c r="G367" s="315" t="s">
        <v>634</v>
      </c>
      <c r="H367" s="315" t="s">
        <v>992</v>
      </c>
    </row>
    <row r="368" spans="1:8" x14ac:dyDescent="0.25">
      <c r="A368" s="316">
        <v>22</v>
      </c>
      <c r="B368" s="316">
        <v>63</v>
      </c>
      <c r="C368" s="315" t="s">
        <v>771</v>
      </c>
      <c r="D368" s="315" t="s">
        <v>836</v>
      </c>
      <c r="E368" s="315" t="s">
        <v>332</v>
      </c>
      <c r="F368" s="315" t="s">
        <v>1104</v>
      </c>
      <c r="G368" s="315" t="s">
        <v>634</v>
      </c>
      <c r="H368" s="315" t="s">
        <v>635</v>
      </c>
    </row>
    <row r="369" spans="1:8" x14ac:dyDescent="0.25">
      <c r="A369" s="316">
        <v>179</v>
      </c>
      <c r="B369" s="316">
        <v>127</v>
      </c>
      <c r="C369" s="315" t="s">
        <v>645</v>
      </c>
      <c r="D369" s="315" t="s">
        <v>1105</v>
      </c>
      <c r="E369" s="315" t="s">
        <v>491</v>
      </c>
      <c r="F369" s="315" t="s">
        <v>1106</v>
      </c>
      <c r="G369" s="315" t="s">
        <v>634</v>
      </c>
      <c r="H369" s="315" t="s">
        <v>635</v>
      </c>
    </row>
    <row r="370" spans="1:8" x14ac:dyDescent="0.25">
      <c r="A370" s="316">
        <v>271</v>
      </c>
      <c r="B370" s="316">
        <v>149</v>
      </c>
      <c r="C370" s="315" t="s">
        <v>728</v>
      </c>
      <c r="D370" s="315" t="s">
        <v>757</v>
      </c>
      <c r="E370" s="315" t="s">
        <v>582</v>
      </c>
      <c r="F370" s="315" t="s">
        <v>1107</v>
      </c>
      <c r="G370" s="315" t="s">
        <v>634</v>
      </c>
      <c r="H370" s="315" t="s">
        <v>635</v>
      </c>
    </row>
    <row r="371" spans="1:8" x14ac:dyDescent="0.25">
      <c r="A371" s="316">
        <v>305</v>
      </c>
      <c r="B371" s="316">
        <v>133</v>
      </c>
      <c r="C371" s="315" t="s">
        <v>718</v>
      </c>
      <c r="D371" s="315" t="s">
        <v>719</v>
      </c>
      <c r="E371" s="315" t="s">
        <v>616</v>
      </c>
      <c r="F371" s="315" t="s">
        <v>1108</v>
      </c>
      <c r="G371" s="315" t="s">
        <v>634</v>
      </c>
      <c r="H371" s="315" t="s">
        <v>635</v>
      </c>
    </row>
    <row r="372" spans="1:8" x14ac:dyDescent="0.25">
      <c r="A372" s="316">
        <v>431</v>
      </c>
      <c r="B372" s="316">
        <v>64755</v>
      </c>
      <c r="C372" s="315" t="s">
        <v>706</v>
      </c>
      <c r="D372" s="315" t="s">
        <v>878</v>
      </c>
      <c r="E372" s="315" t="s">
        <v>528</v>
      </c>
      <c r="F372" s="315" t="s">
        <v>1109</v>
      </c>
      <c r="G372" s="315" t="s">
        <v>634</v>
      </c>
      <c r="H372" s="315" t="s">
        <v>635</v>
      </c>
    </row>
    <row r="373" spans="1:8" x14ac:dyDescent="0.25">
      <c r="A373" s="316">
        <v>510</v>
      </c>
      <c r="B373" s="316">
        <v>63927</v>
      </c>
      <c r="C373" s="315" t="s">
        <v>645</v>
      </c>
      <c r="D373" s="315" t="s">
        <v>1105</v>
      </c>
      <c r="E373" s="315" t="s">
        <v>491</v>
      </c>
      <c r="F373" s="315" t="s">
        <v>1110</v>
      </c>
      <c r="G373" s="315" t="s">
        <v>634</v>
      </c>
      <c r="H373" s="315" t="s">
        <v>644</v>
      </c>
    </row>
    <row r="374" spans="1:8" x14ac:dyDescent="0.25">
      <c r="A374" s="316">
        <v>573</v>
      </c>
      <c r="B374" s="316">
        <v>49065</v>
      </c>
      <c r="C374" s="315" t="s">
        <v>718</v>
      </c>
      <c r="D374" s="315" t="s">
        <v>719</v>
      </c>
      <c r="E374" s="315" t="s">
        <v>616</v>
      </c>
      <c r="F374" s="315" t="s">
        <v>1111</v>
      </c>
      <c r="G374" s="315" t="s">
        <v>634</v>
      </c>
      <c r="H374" s="315" t="s">
        <v>644</v>
      </c>
    </row>
    <row r="375" spans="1:8" x14ac:dyDescent="0.25">
      <c r="A375" s="316">
        <v>575</v>
      </c>
      <c r="B375" s="316">
        <v>315</v>
      </c>
      <c r="C375" s="315" t="s">
        <v>631</v>
      </c>
      <c r="D375" s="315" t="s">
        <v>840</v>
      </c>
      <c r="E375" s="315" t="s">
        <v>325</v>
      </c>
      <c r="F375" s="315" t="s">
        <v>1112</v>
      </c>
      <c r="G375" s="315" t="s">
        <v>634</v>
      </c>
      <c r="H375" s="315" t="s">
        <v>1113</v>
      </c>
    </row>
    <row r="376" spans="1:8" x14ac:dyDescent="0.25">
      <c r="A376" s="316">
        <v>577</v>
      </c>
      <c r="B376" s="316">
        <v>63789</v>
      </c>
      <c r="C376" s="315" t="s">
        <v>631</v>
      </c>
      <c r="D376" s="315" t="s">
        <v>840</v>
      </c>
      <c r="E376" s="315" t="s">
        <v>325</v>
      </c>
      <c r="F376" s="315" t="s">
        <v>1114</v>
      </c>
      <c r="G376" s="315" t="s">
        <v>634</v>
      </c>
      <c r="H376" s="315" t="s">
        <v>673</v>
      </c>
    </row>
    <row r="377" spans="1:8" x14ac:dyDescent="0.25">
      <c r="A377" s="316">
        <v>656</v>
      </c>
      <c r="B377" s="316">
        <v>67739</v>
      </c>
      <c r="C377" s="315" t="s">
        <v>636</v>
      </c>
      <c r="D377" s="315" t="s">
        <v>813</v>
      </c>
      <c r="E377" s="315" t="s">
        <v>499</v>
      </c>
      <c r="F377" s="315" t="s">
        <v>1115</v>
      </c>
      <c r="G377" s="315" t="s">
        <v>634</v>
      </c>
      <c r="H377" s="315" t="s">
        <v>665</v>
      </c>
    </row>
    <row r="378" spans="1:8" x14ac:dyDescent="0.25">
      <c r="A378" s="316">
        <v>1055</v>
      </c>
      <c r="B378" s="316">
        <v>68158</v>
      </c>
      <c r="C378" s="315" t="s">
        <v>645</v>
      </c>
      <c r="D378" s="315" t="s">
        <v>1105</v>
      </c>
      <c r="E378" s="315" t="s">
        <v>491</v>
      </c>
      <c r="F378" s="315" t="s">
        <v>1116</v>
      </c>
      <c r="G378" s="315" t="s">
        <v>1038</v>
      </c>
      <c r="H378" s="315" t="s">
        <v>1039</v>
      </c>
    </row>
    <row r="379" spans="1:8" x14ac:dyDescent="0.25">
      <c r="A379" s="316">
        <v>206</v>
      </c>
      <c r="B379" s="316">
        <v>254</v>
      </c>
      <c r="C379" s="315" t="s">
        <v>761</v>
      </c>
      <c r="D379" s="315" t="s">
        <v>942</v>
      </c>
      <c r="E379" s="315" t="s">
        <v>518</v>
      </c>
      <c r="F379" s="315" t="s">
        <v>1117</v>
      </c>
      <c r="G379" s="315" t="s">
        <v>634</v>
      </c>
      <c r="H379" s="315" t="s">
        <v>635</v>
      </c>
    </row>
    <row r="380" spans="1:8" x14ac:dyDescent="0.25">
      <c r="A380" s="316">
        <v>259</v>
      </c>
      <c r="B380" s="316">
        <v>64289</v>
      </c>
      <c r="C380" s="315" t="s">
        <v>761</v>
      </c>
      <c r="D380" s="315" t="s">
        <v>762</v>
      </c>
      <c r="E380" s="315" t="s">
        <v>572</v>
      </c>
      <c r="F380" s="315" t="s">
        <v>1118</v>
      </c>
      <c r="G380" s="315" t="s">
        <v>634</v>
      </c>
      <c r="H380" s="315" t="s">
        <v>635</v>
      </c>
    </row>
    <row r="381" spans="1:8" x14ac:dyDescent="0.25">
      <c r="A381" s="316">
        <v>317</v>
      </c>
      <c r="B381" s="316">
        <v>52516</v>
      </c>
      <c r="C381" s="315" t="s">
        <v>631</v>
      </c>
      <c r="D381" s="315" t="s">
        <v>632</v>
      </c>
      <c r="E381" s="315" t="s">
        <v>585</v>
      </c>
      <c r="F381" s="315" t="s">
        <v>1119</v>
      </c>
      <c r="G381" s="315" t="s">
        <v>634</v>
      </c>
      <c r="H381" s="315" t="s">
        <v>635</v>
      </c>
    </row>
    <row r="382" spans="1:8" x14ac:dyDescent="0.25">
      <c r="A382" s="316">
        <v>589</v>
      </c>
      <c r="B382" s="316">
        <v>63892</v>
      </c>
      <c r="C382" s="315" t="s">
        <v>706</v>
      </c>
      <c r="D382" s="315" t="s">
        <v>799</v>
      </c>
      <c r="E382" s="315" t="s">
        <v>396</v>
      </c>
      <c r="F382" s="315" t="s">
        <v>1120</v>
      </c>
      <c r="G382" s="315" t="s">
        <v>634</v>
      </c>
      <c r="H382" s="315" t="s">
        <v>635</v>
      </c>
    </row>
    <row r="383" spans="1:8" x14ac:dyDescent="0.25">
      <c r="A383" s="316">
        <v>979</v>
      </c>
      <c r="B383" s="316">
        <v>67857</v>
      </c>
      <c r="C383" s="315" t="s">
        <v>631</v>
      </c>
      <c r="D383" s="315" t="s">
        <v>661</v>
      </c>
      <c r="E383" s="315" t="s">
        <v>569</v>
      </c>
      <c r="F383" s="315" t="s">
        <v>1121</v>
      </c>
      <c r="G383" s="315" t="s">
        <v>744</v>
      </c>
      <c r="H383" s="315" t="s">
        <v>1122</v>
      </c>
    </row>
    <row r="384" spans="1:8" x14ac:dyDescent="0.25">
      <c r="A384" s="316">
        <v>102</v>
      </c>
      <c r="B384" s="316">
        <v>63918</v>
      </c>
      <c r="C384" s="315" t="s">
        <v>706</v>
      </c>
      <c r="D384" s="315" t="s">
        <v>707</v>
      </c>
      <c r="E384" s="315" t="s">
        <v>412</v>
      </c>
      <c r="F384" s="315" t="s">
        <v>1123</v>
      </c>
      <c r="G384" s="315" t="s">
        <v>634</v>
      </c>
      <c r="H384" s="315" t="s">
        <v>635</v>
      </c>
    </row>
    <row r="385" spans="1:8" x14ac:dyDescent="0.25">
      <c r="A385" s="316">
        <v>117</v>
      </c>
      <c r="B385" s="316">
        <v>63945</v>
      </c>
      <c r="C385" s="315" t="s">
        <v>645</v>
      </c>
      <c r="D385" s="315" t="s">
        <v>846</v>
      </c>
      <c r="E385" s="315" t="s">
        <v>426</v>
      </c>
      <c r="F385" s="315" t="s">
        <v>1124</v>
      </c>
      <c r="G385" s="315" t="s">
        <v>634</v>
      </c>
      <c r="H385" s="315" t="s">
        <v>635</v>
      </c>
    </row>
    <row r="386" spans="1:8" x14ac:dyDescent="0.25">
      <c r="A386" s="316">
        <v>125</v>
      </c>
      <c r="B386" s="316">
        <v>209</v>
      </c>
      <c r="C386" s="315" t="s">
        <v>679</v>
      </c>
      <c r="D386" s="315" t="s">
        <v>902</v>
      </c>
      <c r="E386" s="315" t="s">
        <v>434</v>
      </c>
      <c r="F386" s="315" t="s">
        <v>1125</v>
      </c>
      <c r="G386" s="315" t="s">
        <v>634</v>
      </c>
      <c r="H386" s="315" t="s">
        <v>635</v>
      </c>
    </row>
    <row r="387" spans="1:8" x14ac:dyDescent="0.25">
      <c r="A387" s="316">
        <v>224</v>
      </c>
      <c r="B387" s="316">
        <v>48957</v>
      </c>
      <c r="C387" s="315" t="s">
        <v>679</v>
      </c>
      <c r="D387" s="315" t="s">
        <v>859</v>
      </c>
      <c r="E387" s="315" t="s">
        <v>537</v>
      </c>
      <c r="F387" s="315" t="s">
        <v>1126</v>
      </c>
      <c r="G387" s="315" t="s">
        <v>634</v>
      </c>
      <c r="H387" s="315" t="s">
        <v>635</v>
      </c>
    </row>
    <row r="388" spans="1:8" x14ac:dyDescent="0.25">
      <c r="A388" s="316">
        <v>287</v>
      </c>
      <c r="B388" s="316">
        <v>64205</v>
      </c>
      <c r="C388" s="315" t="s">
        <v>645</v>
      </c>
      <c r="D388" s="315" t="s">
        <v>846</v>
      </c>
      <c r="E388" s="315" t="s">
        <v>599</v>
      </c>
      <c r="F388" s="315" t="s">
        <v>1127</v>
      </c>
      <c r="G388" s="315" t="s">
        <v>634</v>
      </c>
      <c r="H388" s="315" t="s">
        <v>635</v>
      </c>
    </row>
    <row r="389" spans="1:8" x14ac:dyDescent="0.25">
      <c r="A389" s="316">
        <v>288</v>
      </c>
      <c r="B389" s="316">
        <v>48904</v>
      </c>
      <c r="C389" s="315" t="s">
        <v>631</v>
      </c>
      <c r="D389" s="315" t="s">
        <v>804</v>
      </c>
      <c r="E389" s="315" t="s">
        <v>600</v>
      </c>
      <c r="F389" s="315" t="s">
        <v>1128</v>
      </c>
      <c r="G389" s="315" t="s">
        <v>634</v>
      </c>
      <c r="H389" s="315" t="s">
        <v>635</v>
      </c>
    </row>
    <row r="390" spans="1:8" x14ac:dyDescent="0.25">
      <c r="A390" s="316">
        <v>364</v>
      </c>
      <c r="B390" s="316">
        <v>63846</v>
      </c>
      <c r="C390" s="315" t="s">
        <v>679</v>
      </c>
      <c r="D390" s="315" t="s">
        <v>902</v>
      </c>
      <c r="E390" s="315" t="s">
        <v>348</v>
      </c>
      <c r="F390" s="315" t="s">
        <v>1129</v>
      </c>
      <c r="G390" s="315" t="s">
        <v>634</v>
      </c>
      <c r="H390" s="315" t="s">
        <v>635</v>
      </c>
    </row>
    <row r="391" spans="1:8" x14ac:dyDescent="0.25">
      <c r="A391" s="316">
        <v>412</v>
      </c>
      <c r="B391" s="316">
        <v>64278</v>
      </c>
      <c r="C391" s="315" t="s">
        <v>631</v>
      </c>
      <c r="D391" s="315" t="s">
        <v>632</v>
      </c>
      <c r="E391" s="315" t="s">
        <v>585</v>
      </c>
      <c r="F391" s="315" t="s">
        <v>1130</v>
      </c>
      <c r="G391" s="315" t="s">
        <v>634</v>
      </c>
      <c r="H391" s="315" t="s">
        <v>912</v>
      </c>
    </row>
    <row r="392" spans="1:8" x14ac:dyDescent="0.25">
      <c r="A392" s="316">
        <v>588</v>
      </c>
      <c r="B392" s="316">
        <v>64288</v>
      </c>
      <c r="C392" s="315" t="s">
        <v>631</v>
      </c>
      <c r="D392" s="315" t="s">
        <v>661</v>
      </c>
      <c r="E392" s="315" t="s">
        <v>569</v>
      </c>
      <c r="F392" s="315" t="s">
        <v>1131</v>
      </c>
      <c r="G392" s="315" t="s">
        <v>634</v>
      </c>
      <c r="H392" s="315" t="s">
        <v>635</v>
      </c>
    </row>
    <row r="393" spans="1:8" x14ac:dyDescent="0.25">
      <c r="A393" s="316">
        <v>792</v>
      </c>
      <c r="B393" s="316">
        <v>44677</v>
      </c>
      <c r="C393" s="315" t="s">
        <v>679</v>
      </c>
      <c r="D393" s="315" t="s">
        <v>704</v>
      </c>
      <c r="E393" s="315" t="s">
        <v>371</v>
      </c>
      <c r="F393" s="315" t="s">
        <v>1132</v>
      </c>
      <c r="G393" s="315" t="s">
        <v>634</v>
      </c>
      <c r="H393" s="315" t="s">
        <v>635</v>
      </c>
    </row>
    <row r="394" spans="1:8" x14ac:dyDescent="0.25">
      <c r="A394" s="316">
        <v>1058</v>
      </c>
      <c r="B394" s="316">
        <v>68193</v>
      </c>
      <c r="C394" s="315" t="s">
        <v>645</v>
      </c>
      <c r="D394" s="315" t="s">
        <v>786</v>
      </c>
      <c r="E394" s="315" t="s">
        <v>333</v>
      </c>
      <c r="F394" s="315" t="s">
        <v>1133</v>
      </c>
      <c r="G394" s="315" t="s">
        <v>744</v>
      </c>
      <c r="H394" s="315" t="s">
        <v>745</v>
      </c>
    </row>
    <row r="395" spans="1:8" x14ac:dyDescent="0.25">
      <c r="A395" s="316">
        <v>413</v>
      </c>
      <c r="B395" s="316">
        <v>64277</v>
      </c>
      <c r="C395" s="315" t="s">
        <v>631</v>
      </c>
      <c r="D395" s="315" t="s">
        <v>632</v>
      </c>
      <c r="E395" s="315" t="s">
        <v>585</v>
      </c>
      <c r="F395" s="315" t="s">
        <v>1134</v>
      </c>
      <c r="G395" s="315" t="s">
        <v>634</v>
      </c>
      <c r="H395" s="315" t="s">
        <v>912</v>
      </c>
    </row>
    <row r="396" spans="1:8" x14ac:dyDescent="0.25">
      <c r="A396" s="316">
        <v>210</v>
      </c>
      <c r="B396" s="316">
        <v>64261</v>
      </c>
      <c r="C396" s="315" t="s">
        <v>640</v>
      </c>
      <c r="D396" s="315" t="s">
        <v>663</v>
      </c>
      <c r="E396" s="315" t="s">
        <v>522</v>
      </c>
      <c r="F396" s="315" t="s">
        <v>1135</v>
      </c>
      <c r="G396" s="315" t="s">
        <v>634</v>
      </c>
      <c r="H396" s="315" t="s">
        <v>635</v>
      </c>
    </row>
    <row r="397" spans="1:8" x14ac:dyDescent="0.25">
      <c r="A397" s="316">
        <v>490</v>
      </c>
      <c r="B397" s="316">
        <v>64276</v>
      </c>
      <c r="C397" s="315" t="s">
        <v>631</v>
      </c>
      <c r="D397" s="315" t="s">
        <v>632</v>
      </c>
      <c r="E397" s="315" t="s">
        <v>585</v>
      </c>
      <c r="F397" s="315" t="s">
        <v>1136</v>
      </c>
      <c r="G397" s="315" t="s">
        <v>634</v>
      </c>
      <c r="H397" s="315" t="s">
        <v>912</v>
      </c>
    </row>
    <row r="398" spans="1:8" x14ac:dyDescent="0.25">
      <c r="A398" s="316">
        <v>502</v>
      </c>
      <c r="B398" s="316">
        <v>64285</v>
      </c>
      <c r="C398" s="315" t="s">
        <v>631</v>
      </c>
      <c r="D398" s="315" t="s">
        <v>632</v>
      </c>
      <c r="E398" s="315" t="s">
        <v>585</v>
      </c>
      <c r="F398" s="315" t="s">
        <v>1137</v>
      </c>
      <c r="G398" s="315" t="s">
        <v>634</v>
      </c>
      <c r="H398" s="315" t="s">
        <v>912</v>
      </c>
    </row>
    <row r="399" spans="1:8" x14ac:dyDescent="0.25">
      <c r="A399" s="316">
        <v>38</v>
      </c>
      <c r="B399" s="316">
        <v>48679</v>
      </c>
      <c r="C399" s="315" t="s">
        <v>718</v>
      </c>
      <c r="D399" s="315" t="s">
        <v>719</v>
      </c>
      <c r="E399" s="315" t="s">
        <v>349</v>
      </c>
      <c r="F399" s="315" t="s">
        <v>1138</v>
      </c>
      <c r="G399" s="315" t="s">
        <v>634</v>
      </c>
      <c r="H399" s="315" t="s">
        <v>635</v>
      </c>
    </row>
    <row r="400" spans="1:8" x14ac:dyDescent="0.25">
      <c r="A400" s="316">
        <v>354</v>
      </c>
      <c r="B400" s="316">
        <v>64202</v>
      </c>
      <c r="C400" s="315" t="s">
        <v>728</v>
      </c>
      <c r="D400" s="315" t="s">
        <v>757</v>
      </c>
      <c r="E400" s="315" t="s">
        <v>606</v>
      </c>
      <c r="F400" s="315" t="s">
        <v>1139</v>
      </c>
      <c r="G400" s="315" t="s">
        <v>634</v>
      </c>
      <c r="H400" s="315" t="s">
        <v>990</v>
      </c>
    </row>
    <row r="401" spans="1:8" x14ac:dyDescent="0.25">
      <c r="A401" s="316">
        <v>407</v>
      </c>
      <c r="B401" s="316">
        <v>64203</v>
      </c>
      <c r="C401" s="315" t="s">
        <v>728</v>
      </c>
      <c r="D401" s="315" t="s">
        <v>757</v>
      </c>
      <c r="E401" s="315" t="s">
        <v>606</v>
      </c>
      <c r="F401" s="315" t="s">
        <v>1140</v>
      </c>
      <c r="G401" s="315" t="s">
        <v>634</v>
      </c>
      <c r="H401" s="315" t="s">
        <v>1141</v>
      </c>
    </row>
    <row r="402" spans="1:8" x14ac:dyDescent="0.25">
      <c r="A402" s="316">
        <v>325</v>
      </c>
      <c r="B402" s="316">
        <v>64725</v>
      </c>
      <c r="C402" s="315" t="s">
        <v>631</v>
      </c>
      <c r="D402" s="315" t="s">
        <v>632</v>
      </c>
      <c r="E402" s="315" t="s">
        <v>585</v>
      </c>
      <c r="F402" s="315" t="s">
        <v>1142</v>
      </c>
      <c r="G402" s="315" t="s">
        <v>634</v>
      </c>
      <c r="H402" s="315" t="s">
        <v>635</v>
      </c>
    </row>
    <row r="403" spans="1:8" x14ac:dyDescent="0.25">
      <c r="A403" s="316">
        <v>12</v>
      </c>
      <c r="B403" s="316">
        <v>314</v>
      </c>
      <c r="C403" s="315" t="s">
        <v>718</v>
      </c>
      <c r="D403" s="315" t="s">
        <v>719</v>
      </c>
      <c r="E403" s="315" t="s">
        <v>321</v>
      </c>
      <c r="F403" s="315" t="s">
        <v>1143</v>
      </c>
      <c r="G403" s="315" t="s">
        <v>634</v>
      </c>
      <c r="H403" s="315" t="s">
        <v>635</v>
      </c>
    </row>
    <row r="404" spans="1:8" x14ac:dyDescent="0.25">
      <c r="A404" s="316">
        <v>294</v>
      </c>
      <c r="B404" s="316">
        <v>229</v>
      </c>
      <c r="C404" s="315" t="s">
        <v>728</v>
      </c>
      <c r="D404" s="315" t="s">
        <v>757</v>
      </c>
      <c r="E404" s="315" t="s">
        <v>606</v>
      </c>
      <c r="F404" s="315" t="s">
        <v>1144</v>
      </c>
      <c r="G404" s="315" t="s">
        <v>634</v>
      </c>
      <c r="H404" s="315" t="s">
        <v>635</v>
      </c>
    </row>
    <row r="405" spans="1:8" x14ac:dyDescent="0.25">
      <c r="A405" s="316">
        <v>411</v>
      </c>
      <c r="B405" s="316">
        <v>63779</v>
      </c>
      <c r="C405" s="315" t="s">
        <v>718</v>
      </c>
      <c r="D405" s="315" t="s">
        <v>719</v>
      </c>
      <c r="E405" s="315" t="s">
        <v>321</v>
      </c>
      <c r="F405" s="315" t="s">
        <v>1145</v>
      </c>
      <c r="G405" s="315" t="s">
        <v>634</v>
      </c>
      <c r="H405" s="315" t="s">
        <v>990</v>
      </c>
    </row>
    <row r="406" spans="1:8" x14ac:dyDescent="0.25">
      <c r="A406" s="316">
        <v>615</v>
      </c>
      <c r="B406" s="316">
        <v>62898</v>
      </c>
      <c r="C406" s="315" t="s">
        <v>631</v>
      </c>
      <c r="D406" s="315" t="s">
        <v>632</v>
      </c>
      <c r="E406" s="315" t="s">
        <v>585</v>
      </c>
      <c r="F406" s="315" t="s">
        <v>1146</v>
      </c>
      <c r="G406" s="315" t="s">
        <v>634</v>
      </c>
      <c r="H406" s="315" t="s">
        <v>639</v>
      </c>
    </row>
    <row r="407" spans="1:8" x14ac:dyDescent="0.25">
      <c r="A407" s="316">
        <v>530</v>
      </c>
      <c r="B407" s="316">
        <v>64283</v>
      </c>
      <c r="C407" s="315" t="s">
        <v>706</v>
      </c>
      <c r="D407" s="315" t="s">
        <v>834</v>
      </c>
      <c r="E407" s="315" t="s">
        <v>553</v>
      </c>
      <c r="F407" s="315" t="s">
        <v>1147</v>
      </c>
      <c r="G407" s="315" t="s">
        <v>1038</v>
      </c>
      <c r="H407" s="315" t="s">
        <v>1039</v>
      </c>
    </row>
    <row r="408" spans="1:8" x14ac:dyDescent="0.25">
      <c r="A408" s="316">
        <v>561</v>
      </c>
      <c r="B408" s="316">
        <v>64297</v>
      </c>
      <c r="C408" s="315" t="s">
        <v>706</v>
      </c>
      <c r="D408" s="315" t="s">
        <v>834</v>
      </c>
      <c r="E408" s="315" t="s">
        <v>553</v>
      </c>
      <c r="F408" s="315" t="s">
        <v>1148</v>
      </c>
      <c r="G408" s="315" t="s">
        <v>634</v>
      </c>
      <c r="H408" s="315" t="s">
        <v>639</v>
      </c>
    </row>
    <row r="409" spans="1:8" x14ac:dyDescent="0.25">
      <c r="A409" s="316">
        <v>28</v>
      </c>
      <c r="B409" s="316">
        <v>48678</v>
      </c>
      <c r="C409" s="315" t="s">
        <v>645</v>
      </c>
      <c r="D409" s="315" t="s">
        <v>786</v>
      </c>
      <c r="E409" s="315" t="s">
        <v>338</v>
      </c>
      <c r="F409" s="315" t="s">
        <v>1149</v>
      </c>
      <c r="G409" s="315" t="s">
        <v>634</v>
      </c>
      <c r="H409" s="315" t="s">
        <v>635</v>
      </c>
    </row>
    <row r="410" spans="1:8" x14ac:dyDescent="0.25">
      <c r="A410" s="316">
        <v>335</v>
      </c>
      <c r="B410" s="316">
        <v>184</v>
      </c>
      <c r="C410" s="315" t="s">
        <v>645</v>
      </c>
      <c r="D410" s="315" t="s">
        <v>1105</v>
      </c>
      <c r="E410" s="315" t="s">
        <v>623</v>
      </c>
      <c r="F410" s="315" t="s">
        <v>1150</v>
      </c>
      <c r="G410" s="315" t="s">
        <v>634</v>
      </c>
      <c r="H410" s="315" t="s">
        <v>673</v>
      </c>
    </row>
    <row r="411" spans="1:8" x14ac:dyDescent="0.25">
      <c r="A411" s="316">
        <v>631</v>
      </c>
      <c r="B411" s="316">
        <v>63775</v>
      </c>
      <c r="C411" s="315" t="s">
        <v>640</v>
      </c>
      <c r="D411" s="315" t="s">
        <v>702</v>
      </c>
      <c r="E411" s="315" t="s">
        <v>314</v>
      </c>
      <c r="F411" s="315" t="s">
        <v>1151</v>
      </c>
      <c r="G411" s="315" t="s">
        <v>744</v>
      </c>
      <c r="H411" s="315" t="s">
        <v>745</v>
      </c>
    </row>
    <row r="412" spans="1:8" x14ac:dyDescent="0.25">
      <c r="A412" s="316">
        <v>553</v>
      </c>
      <c r="B412" s="316">
        <v>55561</v>
      </c>
      <c r="C412" s="315" t="s">
        <v>645</v>
      </c>
      <c r="D412" s="315" t="s">
        <v>659</v>
      </c>
      <c r="E412" s="315" t="s">
        <v>485</v>
      </c>
      <c r="F412" s="315" t="s">
        <v>1152</v>
      </c>
      <c r="G412" s="315" t="s">
        <v>634</v>
      </c>
      <c r="H412" s="315" t="s">
        <v>644</v>
      </c>
    </row>
    <row r="413" spans="1:8" x14ac:dyDescent="0.25">
      <c r="A413" s="316">
        <v>1057</v>
      </c>
      <c r="B413" s="316">
        <v>68188</v>
      </c>
      <c r="C413" s="315" t="s">
        <v>706</v>
      </c>
      <c r="D413" s="315" t="s">
        <v>709</v>
      </c>
      <c r="E413" s="315" t="s">
        <v>576</v>
      </c>
      <c r="F413" s="315" t="s">
        <v>1153</v>
      </c>
      <c r="G413" s="315" t="s">
        <v>1038</v>
      </c>
      <c r="H413" s="315" t="s">
        <v>1039</v>
      </c>
    </row>
    <row r="414" spans="1:8" x14ac:dyDescent="0.25">
      <c r="A414" s="316">
        <v>174</v>
      </c>
      <c r="B414" s="316">
        <v>48946</v>
      </c>
      <c r="C414" s="315" t="s">
        <v>645</v>
      </c>
      <c r="D414" s="315" t="s">
        <v>659</v>
      </c>
      <c r="E414" s="315" t="s">
        <v>485</v>
      </c>
      <c r="F414" s="315" t="s">
        <v>1154</v>
      </c>
      <c r="G414" s="315" t="s">
        <v>634</v>
      </c>
      <c r="H414" s="315" t="s">
        <v>635</v>
      </c>
    </row>
    <row r="415" spans="1:8" x14ac:dyDescent="0.25">
      <c r="A415" s="316">
        <v>312</v>
      </c>
      <c r="B415" s="316">
        <v>48571</v>
      </c>
      <c r="C415" s="315" t="s">
        <v>645</v>
      </c>
      <c r="D415" s="315" t="s">
        <v>1105</v>
      </c>
      <c r="E415" s="315" t="s">
        <v>623</v>
      </c>
      <c r="F415" s="315" t="s">
        <v>1155</v>
      </c>
      <c r="G415" s="315" t="s">
        <v>634</v>
      </c>
      <c r="H415" s="315" t="s">
        <v>635</v>
      </c>
    </row>
    <row r="416" spans="1:8" x14ac:dyDescent="0.25">
      <c r="A416" s="316">
        <v>303</v>
      </c>
      <c r="B416" s="316">
        <v>55622</v>
      </c>
      <c r="C416" s="315" t="s">
        <v>645</v>
      </c>
      <c r="D416" s="315" t="s">
        <v>846</v>
      </c>
      <c r="E416" s="315" t="s">
        <v>614</v>
      </c>
      <c r="F416" s="315" t="s">
        <v>1156</v>
      </c>
      <c r="G416" s="315" t="s">
        <v>634</v>
      </c>
      <c r="H416" s="315" t="s">
        <v>635</v>
      </c>
    </row>
    <row r="417" spans="1:8" x14ac:dyDescent="0.25">
      <c r="A417" s="316">
        <v>321</v>
      </c>
      <c r="B417" s="316">
        <v>177</v>
      </c>
      <c r="C417" s="315" t="s">
        <v>631</v>
      </c>
      <c r="D417" s="315" t="s">
        <v>632</v>
      </c>
      <c r="E417" s="315" t="s">
        <v>585</v>
      </c>
      <c r="F417" s="315" t="s">
        <v>1157</v>
      </c>
      <c r="G417" s="315" t="s">
        <v>634</v>
      </c>
      <c r="H417" s="315" t="s">
        <v>635</v>
      </c>
    </row>
    <row r="418" spans="1:8" x14ac:dyDescent="0.25">
      <c r="A418" s="316">
        <v>869</v>
      </c>
      <c r="B418" s="316">
        <v>12290</v>
      </c>
      <c r="C418" s="315" t="s">
        <v>718</v>
      </c>
      <c r="D418" s="315" t="s">
        <v>963</v>
      </c>
      <c r="E418" s="315" t="s">
        <v>354</v>
      </c>
      <c r="F418" s="315" t="s">
        <v>1158</v>
      </c>
      <c r="G418" s="315" t="s">
        <v>744</v>
      </c>
      <c r="H418" s="315" t="s">
        <v>752</v>
      </c>
    </row>
    <row r="419" spans="1:8" x14ac:dyDescent="0.25">
      <c r="A419" s="316">
        <v>185</v>
      </c>
      <c r="B419" s="316">
        <v>158</v>
      </c>
      <c r="C419" s="315" t="s">
        <v>706</v>
      </c>
      <c r="D419" s="315" t="s">
        <v>1159</v>
      </c>
      <c r="E419" s="315" t="s">
        <v>497</v>
      </c>
      <c r="F419" s="315" t="s">
        <v>1160</v>
      </c>
      <c r="G419" s="315" t="s">
        <v>634</v>
      </c>
      <c r="H419" s="315" t="s">
        <v>635</v>
      </c>
    </row>
    <row r="420" spans="1:8" x14ac:dyDescent="0.25">
      <c r="A420" s="316">
        <v>21</v>
      </c>
      <c r="B420" s="316">
        <v>62</v>
      </c>
      <c r="C420" s="315" t="s">
        <v>771</v>
      </c>
      <c r="D420" s="315" t="s">
        <v>836</v>
      </c>
      <c r="E420" s="315" t="s">
        <v>331</v>
      </c>
      <c r="F420" s="315" t="s">
        <v>1161</v>
      </c>
      <c r="G420" s="315" t="s">
        <v>634</v>
      </c>
      <c r="H420" s="315" t="s">
        <v>635</v>
      </c>
    </row>
    <row r="421" spans="1:8" x14ac:dyDescent="0.25">
      <c r="A421" s="316">
        <v>613</v>
      </c>
      <c r="B421" s="316">
        <v>63809</v>
      </c>
      <c r="C421" s="315" t="s">
        <v>771</v>
      </c>
      <c r="D421" s="315" t="s">
        <v>836</v>
      </c>
      <c r="E421" s="315" t="s">
        <v>331</v>
      </c>
      <c r="F421" s="315" t="s">
        <v>1162</v>
      </c>
      <c r="G421" s="315" t="s">
        <v>634</v>
      </c>
      <c r="H421" s="315" t="s">
        <v>644</v>
      </c>
    </row>
    <row r="422" spans="1:8" x14ac:dyDescent="0.25">
      <c r="A422" s="316">
        <v>685</v>
      </c>
      <c r="B422" s="316">
        <v>64159</v>
      </c>
      <c r="C422" s="315" t="s">
        <v>640</v>
      </c>
      <c r="D422" s="315" t="s">
        <v>683</v>
      </c>
      <c r="E422" s="315" t="s">
        <v>374</v>
      </c>
      <c r="F422" s="315" t="s">
        <v>1163</v>
      </c>
      <c r="G422" s="315" t="s">
        <v>744</v>
      </c>
      <c r="H422" s="315" t="s">
        <v>1164</v>
      </c>
    </row>
    <row r="423" spans="1:8" x14ac:dyDescent="0.25">
      <c r="A423" s="316">
        <v>187</v>
      </c>
      <c r="B423" s="316">
        <v>45207</v>
      </c>
      <c r="C423" s="315" t="s">
        <v>636</v>
      </c>
      <c r="D423" s="315" t="s">
        <v>813</v>
      </c>
      <c r="E423" s="315" t="s">
        <v>499</v>
      </c>
      <c r="F423" s="315" t="s">
        <v>1165</v>
      </c>
      <c r="G423" s="315" t="s">
        <v>634</v>
      </c>
      <c r="H423" s="315" t="s">
        <v>635</v>
      </c>
    </row>
    <row r="424" spans="1:8" x14ac:dyDescent="0.25">
      <c r="A424" s="316">
        <v>509</v>
      </c>
      <c r="B424" s="316">
        <v>64265</v>
      </c>
      <c r="C424" s="315" t="s">
        <v>761</v>
      </c>
      <c r="D424" s="315" t="s">
        <v>762</v>
      </c>
      <c r="E424" s="315" t="s">
        <v>591</v>
      </c>
      <c r="F424" s="315" t="s">
        <v>1166</v>
      </c>
      <c r="G424" s="315" t="s">
        <v>634</v>
      </c>
      <c r="H424" s="315" t="s">
        <v>795</v>
      </c>
    </row>
    <row r="425" spans="1:8" x14ac:dyDescent="0.25">
      <c r="A425" s="316">
        <v>51</v>
      </c>
      <c r="B425" s="316">
        <v>124</v>
      </c>
      <c r="C425" s="315" t="s">
        <v>761</v>
      </c>
      <c r="D425" s="315" t="s">
        <v>828</v>
      </c>
      <c r="E425" s="315" t="s">
        <v>361</v>
      </c>
      <c r="F425" s="315" t="s">
        <v>1167</v>
      </c>
      <c r="G425" s="315" t="s">
        <v>634</v>
      </c>
      <c r="H425" s="315" t="s">
        <v>635</v>
      </c>
    </row>
    <row r="426" spans="1:8" x14ac:dyDescent="0.25">
      <c r="A426" s="316">
        <v>81</v>
      </c>
      <c r="B426" s="316">
        <v>63887</v>
      </c>
      <c r="C426" s="315" t="s">
        <v>645</v>
      </c>
      <c r="D426" s="315" t="s">
        <v>646</v>
      </c>
      <c r="E426" s="315" t="s">
        <v>1168</v>
      </c>
      <c r="F426" s="315" t="s">
        <v>1169</v>
      </c>
      <c r="G426" s="315" t="s">
        <v>634</v>
      </c>
      <c r="H426" s="315" t="s">
        <v>635</v>
      </c>
    </row>
    <row r="427" spans="1:8" x14ac:dyDescent="0.25">
      <c r="A427" s="316">
        <v>145</v>
      </c>
      <c r="B427" s="316">
        <v>48656</v>
      </c>
      <c r="C427" s="315" t="s">
        <v>761</v>
      </c>
      <c r="D427" s="315" t="s">
        <v>828</v>
      </c>
      <c r="E427" s="315" t="s">
        <v>456</v>
      </c>
      <c r="F427" s="315" t="s">
        <v>1170</v>
      </c>
      <c r="G427" s="315" t="s">
        <v>634</v>
      </c>
      <c r="H427" s="315" t="s">
        <v>635</v>
      </c>
    </row>
    <row r="428" spans="1:8" x14ac:dyDescent="0.25">
      <c r="A428" s="316">
        <v>215</v>
      </c>
      <c r="B428" s="316">
        <v>48955</v>
      </c>
      <c r="C428" s="315" t="s">
        <v>771</v>
      </c>
      <c r="D428" s="315" t="s">
        <v>776</v>
      </c>
      <c r="E428" s="315" t="s">
        <v>527</v>
      </c>
      <c r="F428" s="315" t="s">
        <v>1171</v>
      </c>
      <c r="G428" s="315" t="s">
        <v>634</v>
      </c>
      <c r="H428" s="315" t="s">
        <v>635</v>
      </c>
    </row>
    <row r="429" spans="1:8" x14ac:dyDescent="0.25">
      <c r="A429" s="316">
        <v>252</v>
      </c>
      <c r="B429" s="316">
        <v>48925</v>
      </c>
      <c r="C429" s="315" t="s">
        <v>718</v>
      </c>
      <c r="D429" s="315" t="s">
        <v>895</v>
      </c>
      <c r="E429" s="315" t="s">
        <v>566</v>
      </c>
      <c r="F429" s="315" t="s">
        <v>1172</v>
      </c>
      <c r="G429" s="315" t="s">
        <v>634</v>
      </c>
      <c r="H429" s="315" t="s">
        <v>635</v>
      </c>
    </row>
    <row r="430" spans="1:8" x14ac:dyDescent="0.25">
      <c r="A430" s="316">
        <v>587</v>
      </c>
      <c r="B430" s="316">
        <v>63777</v>
      </c>
      <c r="C430" s="315" t="s">
        <v>718</v>
      </c>
      <c r="D430" s="315" t="s">
        <v>797</v>
      </c>
      <c r="E430" s="315" t="s">
        <v>317</v>
      </c>
      <c r="F430" s="315" t="s">
        <v>1173</v>
      </c>
      <c r="G430" s="315" t="s">
        <v>634</v>
      </c>
      <c r="H430" s="315" t="s">
        <v>726</v>
      </c>
    </row>
    <row r="431" spans="1:8" x14ac:dyDescent="0.25">
      <c r="A431" s="316">
        <v>100</v>
      </c>
      <c r="B431" s="316">
        <v>242</v>
      </c>
      <c r="C431" s="315" t="s">
        <v>631</v>
      </c>
      <c r="D431" s="315" t="s">
        <v>840</v>
      </c>
      <c r="E431" s="315" t="s">
        <v>410</v>
      </c>
      <c r="F431" s="315" t="s">
        <v>1174</v>
      </c>
      <c r="G431" s="315" t="s">
        <v>634</v>
      </c>
      <c r="H431" s="315" t="s">
        <v>635</v>
      </c>
    </row>
    <row r="432" spans="1:8" x14ac:dyDescent="0.25">
      <c r="A432" s="316">
        <v>801</v>
      </c>
      <c r="B432" s="316">
        <v>53946</v>
      </c>
      <c r="C432" s="315" t="s">
        <v>718</v>
      </c>
      <c r="D432" s="315" t="s">
        <v>719</v>
      </c>
      <c r="E432" s="315" t="s">
        <v>341</v>
      </c>
      <c r="F432" s="315" t="s">
        <v>1175</v>
      </c>
      <c r="G432" s="315" t="s">
        <v>634</v>
      </c>
      <c r="H432" s="315" t="s">
        <v>1176</v>
      </c>
    </row>
    <row r="433" spans="1:8" x14ac:dyDescent="0.25">
      <c r="A433" s="316">
        <v>65</v>
      </c>
      <c r="B433" s="316">
        <v>63869</v>
      </c>
      <c r="C433" s="315" t="s">
        <v>640</v>
      </c>
      <c r="D433" s="315" t="s">
        <v>774</v>
      </c>
      <c r="E433" s="315" t="s">
        <v>376</v>
      </c>
      <c r="F433" s="315" t="s">
        <v>1177</v>
      </c>
      <c r="G433" s="315" t="s">
        <v>634</v>
      </c>
      <c r="H433" s="315" t="s">
        <v>635</v>
      </c>
    </row>
    <row r="434" spans="1:8" x14ac:dyDescent="0.25">
      <c r="A434" s="316">
        <v>269</v>
      </c>
      <c r="B434" s="316">
        <v>48921</v>
      </c>
      <c r="C434" s="315" t="s">
        <v>645</v>
      </c>
      <c r="D434" s="315" t="s">
        <v>659</v>
      </c>
      <c r="E434" s="315" t="s">
        <v>580</v>
      </c>
      <c r="F434" s="315" t="s">
        <v>1178</v>
      </c>
      <c r="G434" s="315" t="s">
        <v>634</v>
      </c>
      <c r="H434" s="315" t="s">
        <v>635</v>
      </c>
    </row>
    <row r="435" spans="1:8" x14ac:dyDescent="0.25">
      <c r="A435" s="316">
        <v>580</v>
      </c>
      <c r="B435" s="316">
        <v>64251</v>
      </c>
      <c r="C435" s="315" t="s">
        <v>645</v>
      </c>
      <c r="D435" s="315" t="s">
        <v>659</v>
      </c>
      <c r="E435" s="315" t="s">
        <v>580</v>
      </c>
      <c r="F435" s="315" t="s">
        <v>1179</v>
      </c>
      <c r="G435" s="315" t="s">
        <v>634</v>
      </c>
      <c r="H435" s="315" t="s">
        <v>635</v>
      </c>
    </row>
    <row r="436" spans="1:8" x14ac:dyDescent="0.25">
      <c r="A436" s="316">
        <v>859</v>
      </c>
      <c r="B436" s="316">
        <v>66188</v>
      </c>
      <c r="C436" s="315" t="s">
        <v>645</v>
      </c>
      <c r="D436" s="315" t="s">
        <v>786</v>
      </c>
      <c r="E436" s="315" t="s">
        <v>333</v>
      </c>
      <c r="F436" s="315" t="s">
        <v>1180</v>
      </c>
      <c r="G436" s="315" t="s">
        <v>744</v>
      </c>
      <c r="H436" s="315" t="s">
        <v>745</v>
      </c>
    </row>
    <row r="437" spans="1:8" x14ac:dyDescent="0.25">
      <c r="A437" s="316">
        <v>1054</v>
      </c>
      <c r="B437" s="316">
        <v>53898</v>
      </c>
      <c r="C437" s="315" t="s">
        <v>631</v>
      </c>
      <c r="D437" s="315" t="s">
        <v>632</v>
      </c>
      <c r="E437" s="315" t="s">
        <v>585</v>
      </c>
      <c r="F437" s="315" t="s">
        <v>1181</v>
      </c>
      <c r="G437" s="315" t="s">
        <v>936</v>
      </c>
      <c r="H437" s="315" t="s">
        <v>936</v>
      </c>
    </row>
    <row r="438" spans="1:8" x14ac:dyDescent="0.25">
      <c r="A438" s="316">
        <v>468</v>
      </c>
      <c r="B438" s="316">
        <v>64262</v>
      </c>
      <c r="C438" s="315" t="s">
        <v>761</v>
      </c>
      <c r="D438" s="315" t="s">
        <v>762</v>
      </c>
      <c r="E438" s="315" t="s">
        <v>591</v>
      </c>
      <c r="F438" s="315" t="s">
        <v>1182</v>
      </c>
      <c r="G438" s="315" t="s">
        <v>676</v>
      </c>
      <c r="H438" s="315" t="s">
        <v>677</v>
      </c>
    </row>
    <row r="439" spans="1:8" x14ac:dyDescent="0.25">
      <c r="A439" s="316">
        <v>730</v>
      </c>
      <c r="B439" s="316">
        <v>64217</v>
      </c>
      <c r="C439" s="315" t="s">
        <v>640</v>
      </c>
      <c r="D439" s="315" t="s">
        <v>650</v>
      </c>
      <c r="E439" s="315" t="s">
        <v>608</v>
      </c>
      <c r="F439" s="315" t="s">
        <v>1183</v>
      </c>
      <c r="G439" s="315" t="s">
        <v>1038</v>
      </c>
      <c r="H439" s="315" t="s">
        <v>1039</v>
      </c>
    </row>
    <row r="440" spans="1:8" x14ac:dyDescent="0.25">
      <c r="A440" s="316">
        <v>986</v>
      </c>
      <c r="B440" s="316">
        <v>67860</v>
      </c>
      <c r="C440" s="315" t="s">
        <v>631</v>
      </c>
      <c r="D440" s="315" t="s">
        <v>632</v>
      </c>
      <c r="E440" s="315" t="s">
        <v>585</v>
      </c>
      <c r="F440" s="315" t="s">
        <v>1184</v>
      </c>
      <c r="G440" s="315" t="s">
        <v>744</v>
      </c>
      <c r="H440" s="315" t="s">
        <v>1122</v>
      </c>
    </row>
    <row r="441" spans="1:8" x14ac:dyDescent="0.25">
      <c r="A441" s="316">
        <v>1048</v>
      </c>
      <c r="B441" s="316">
        <v>359</v>
      </c>
      <c r="C441" s="315" t="s">
        <v>631</v>
      </c>
      <c r="D441" s="315" t="s">
        <v>632</v>
      </c>
      <c r="E441" s="315" t="s">
        <v>585</v>
      </c>
      <c r="F441" s="315" t="s">
        <v>1185</v>
      </c>
      <c r="G441" s="315" t="s">
        <v>936</v>
      </c>
      <c r="H441" s="315" t="s">
        <v>936</v>
      </c>
    </row>
    <row r="442" spans="1:8" x14ac:dyDescent="0.25">
      <c r="A442" s="316">
        <v>1049</v>
      </c>
      <c r="B442" s="316">
        <v>361</v>
      </c>
      <c r="C442" s="315" t="s">
        <v>631</v>
      </c>
      <c r="D442" s="315" t="s">
        <v>632</v>
      </c>
      <c r="E442" s="315" t="s">
        <v>585</v>
      </c>
      <c r="F442" s="315" t="s">
        <v>1186</v>
      </c>
      <c r="G442" s="315" t="s">
        <v>936</v>
      </c>
      <c r="H442" s="315" t="s">
        <v>936</v>
      </c>
    </row>
    <row r="443" spans="1:8" x14ac:dyDescent="0.25">
      <c r="A443" s="316">
        <v>1053</v>
      </c>
      <c r="B443" s="316">
        <v>362</v>
      </c>
      <c r="C443" s="315" t="s">
        <v>631</v>
      </c>
      <c r="D443" s="315" t="s">
        <v>632</v>
      </c>
      <c r="E443" s="315" t="s">
        <v>585</v>
      </c>
      <c r="F443" s="315" t="s">
        <v>1187</v>
      </c>
      <c r="G443" s="315" t="s">
        <v>936</v>
      </c>
      <c r="H443" s="315" t="s">
        <v>936</v>
      </c>
    </row>
    <row r="444" spans="1:8" x14ac:dyDescent="0.25">
      <c r="A444" s="316">
        <v>1046</v>
      </c>
      <c r="B444" s="316">
        <v>1277</v>
      </c>
      <c r="C444" s="315" t="s">
        <v>645</v>
      </c>
      <c r="D444" s="315" t="s">
        <v>659</v>
      </c>
      <c r="E444" s="315" t="s">
        <v>580</v>
      </c>
      <c r="F444" s="315" t="s">
        <v>1188</v>
      </c>
      <c r="G444" s="315" t="s">
        <v>936</v>
      </c>
      <c r="H444" s="315" t="s">
        <v>936</v>
      </c>
    </row>
    <row r="445" spans="1:8" x14ac:dyDescent="0.25">
      <c r="A445" s="316">
        <v>1047</v>
      </c>
      <c r="B445" s="316">
        <v>176</v>
      </c>
      <c r="C445" s="315" t="s">
        <v>631</v>
      </c>
      <c r="D445" s="315" t="s">
        <v>632</v>
      </c>
      <c r="E445" s="315" t="s">
        <v>585</v>
      </c>
      <c r="F445" s="315" t="s">
        <v>1189</v>
      </c>
      <c r="G445" s="315" t="s">
        <v>936</v>
      </c>
      <c r="H445" s="315" t="s">
        <v>936</v>
      </c>
    </row>
    <row r="446" spans="1:8" x14ac:dyDescent="0.25">
      <c r="A446" s="316">
        <v>1043</v>
      </c>
      <c r="B446" s="316">
        <v>44231</v>
      </c>
      <c r="C446" s="315" t="s">
        <v>706</v>
      </c>
      <c r="D446" s="315" t="s">
        <v>834</v>
      </c>
      <c r="E446" s="315" t="s">
        <v>594</v>
      </c>
      <c r="F446" s="315" t="s">
        <v>1190</v>
      </c>
      <c r="G446" s="315" t="s">
        <v>634</v>
      </c>
      <c r="H446" s="315" t="s">
        <v>262</v>
      </c>
    </row>
    <row r="447" spans="1:8" x14ac:dyDescent="0.25">
      <c r="A447" s="316">
        <v>1044</v>
      </c>
      <c r="B447" s="316">
        <v>55125</v>
      </c>
      <c r="C447" s="315" t="s">
        <v>640</v>
      </c>
      <c r="D447" s="315" t="s">
        <v>641</v>
      </c>
      <c r="E447" s="315" t="s">
        <v>568</v>
      </c>
      <c r="F447" s="315" t="s">
        <v>1191</v>
      </c>
      <c r="G447" s="315" t="s">
        <v>634</v>
      </c>
      <c r="H447" s="315" t="s">
        <v>1192</v>
      </c>
    </row>
    <row r="448" spans="1:8" x14ac:dyDescent="0.25">
      <c r="A448" s="316">
        <v>1045</v>
      </c>
      <c r="B448" s="316">
        <v>24459</v>
      </c>
      <c r="C448" s="315" t="s">
        <v>636</v>
      </c>
      <c r="D448" s="315" t="s">
        <v>653</v>
      </c>
      <c r="E448" s="315" t="s">
        <v>504</v>
      </c>
      <c r="F448" s="315" t="s">
        <v>1193</v>
      </c>
      <c r="G448" s="315" t="s">
        <v>634</v>
      </c>
      <c r="H448" s="315" t="s">
        <v>262</v>
      </c>
    </row>
    <row r="449" spans="1:8" x14ac:dyDescent="0.25">
      <c r="A449" s="316">
        <v>1040</v>
      </c>
      <c r="B449" s="316">
        <v>55534</v>
      </c>
      <c r="C449" s="315" t="s">
        <v>679</v>
      </c>
      <c r="D449" s="315" t="s">
        <v>680</v>
      </c>
      <c r="E449" s="315" t="s">
        <v>467</v>
      </c>
      <c r="F449" s="315" t="s">
        <v>1194</v>
      </c>
      <c r="G449" s="315" t="s">
        <v>936</v>
      </c>
      <c r="H449" s="315" t="s">
        <v>936</v>
      </c>
    </row>
    <row r="450" spans="1:8" x14ac:dyDescent="0.25">
      <c r="A450" s="316">
        <v>1039</v>
      </c>
      <c r="B450" s="316">
        <v>49923</v>
      </c>
      <c r="C450" s="315" t="s">
        <v>771</v>
      </c>
      <c r="D450" s="315" t="s">
        <v>776</v>
      </c>
      <c r="E450" s="315" t="s">
        <v>337</v>
      </c>
      <c r="F450" s="315" t="s">
        <v>1195</v>
      </c>
      <c r="G450" s="315" t="s">
        <v>936</v>
      </c>
      <c r="H450" s="315" t="s">
        <v>936</v>
      </c>
    </row>
    <row r="451" spans="1:8" x14ac:dyDescent="0.25">
      <c r="A451" s="316">
        <v>9</v>
      </c>
      <c r="B451" s="316">
        <v>311</v>
      </c>
      <c r="C451" s="315" t="s">
        <v>718</v>
      </c>
      <c r="D451" s="315" t="s">
        <v>797</v>
      </c>
      <c r="E451" s="315" t="s">
        <v>317</v>
      </c>
      <c r="F451" s="315" t="s">
        <v>1196</v>
      </c>
      <c r="G451" s="315" t="s">
        <v>634</v>
      </c>
      <c r="H451" s="315" t="s">
        <v>635</v>
      </c>
    </row>
    <row r="452" spans="1:8" x14ac:dyDescent="0.25">
      <c r="A452" s="316">
        <v>632</v>
      </c>
      <c r="B452" s="316">
        <v>297</v>
      </c>
      <c r="C452" s="315" t="s">
        <v>718</v>
      </c>
      <c r="D452" s="315" t="s">
        <v>797</v>
      </c>
      <c r="E452" s="315" t="s">
        <v>317</v>
      </c>
      <c r="F452" s="315" t="s">
        <v>1197</v>
      </c>
      <c r="G452" s="315" t="s">
        <v>634</v>
      </c>
      <c r="H452" s="315" t="s">
        <v>944</v>
      </c>
    </row>
    <row r="453" spans="1:8" x14ac:dyDescent="0.25">
      <c r="A453" s="316">
        <v>857</v>
      </c>
      <c r="B453" s="316">
        <v>66239</v>
      </c>
      <c r="C453" s="315" t="s">
        <v>718</v>
      </c>
      <c r="D453" s="315" t="s">
        <v>797</v>
      </c>
      <c r="E453" s="315" t="s">
        <v>317</v>
      </c>
      <c r="F453" s="315" t="s">
        <v>1198</v>
      </c>
      <c r="G453" s="315" t="s">
        <v>744</v>
      </c>
      <c r="H453" s="315" t="s">
        <v>1199</v>
      </c>
    </row>
    <row r="454" spans="1:8" x14ac:dyDescent="0.25">
      <c r="A454" s="316">
        <v>938</v>
      </c>
      <c r="B454" s="316">
        <v>43675</v>
      </c>
      <c r="C454" s="315" t="s">
        <v>718</v>
      </c>
      <c r="D454" s="315" t="s">
        <v>797</v>
      </c>
      <c r="E454" s="315" t="s">
        <v>317</v>
      </c>
      <c r="F454" s="315" t="s">
        <v>1200</v>
      </c>
      <c r="G454" s="315" t="s">
        <v>744</v>
      </c>
      <c r="H454" s="315" t="s">
        <v>752</v>
      </c>
    </row>
    <row r="455" spans="1:8" x14ac:dyDescent="0.25">
      <c r="A455" s="316">
        <v>1038</v>
      </c>
      <c r="B455" s="316">
        <v>51168</v>
      </c>
      <c r="C455" s="315" t="s">
        <v>679</v>
      </c>
      <c r="D455" s="315" t="s">
        <v>859</v>
      </c>
      <c r="E455" s="315" t="s">
        <v>342</v>
      </c>
      <c r="F455" s="315" t="s">
        <v>1201</v>
      </c>
      <c r="G455" s="315" t="s">
        <v>634</v>
      </c>
      <c r="H455" s="315" t="s">
        <v>635</v>
      </c>
    </row>
    <row r="456" spans="1:8" x14ac:dyDescent="0.25">
      <c r="A456" s="316">
        <v>376</v>
      </c>
      <c r="B456" s="316">
        <v>63784</v>
      </c>
      <c r="C456" s="315" t="s">
        <v>636</v>
      </c>
      <c r="D456" s="315" t="s">
        <v>653</v>
      </c>
      <c r="E456" s="315" t="s">
        <v>326</v>
      </c>
      <c r="F456" s="315" t="s">
        <v>1202</v>
      </c>
      <c r="G456" s="315" t="s">
        <v>1038</v>
      </c>
      <c r="H456" s="315" t="s">
        <v>1039</v>
      </c>
    </row>
    <row r="457" spans="1:8" x14ac:dyDescent="0.25">
      <c r="A457" s="316">
        <v>16</v>
      </c>
      <c r="B457" s="316">
        <v>263</v>
      </c>
      <c r="C457" s="315" t="s">
        <v>636</v>
      </c>
      <c r="D457" s="315" t="s">
        <v>653</v>
      </c>
      <c r="E457" s="315" t="s">
        <v>326</v>
      </c>
      <c r="F457" s="315" t="s">
        <v>1203</v>
      </c>
      <c r="G457" s="315" t="s">
        <v>634</v>
      </c>
      <c r="H457" s="315" t="s">
        <v>635</v>
      </c>
    </row>
    <row r="458" spans="1:8" x14ac:dyDescent="0.25">
      <c r="A458" s="316">
        <v>830</v>
      </c>
      <c r="B458" s="316">
        <v>63799</v>
      </c>
      <c r="C458" s="315" t="s">
        <v>636</v>
      </c>
      <c r="D458" s="315" t="s">
        <v>653</v>
      </c>
      <c r="E458" s="315" t="s">
        <v>326</v>
      </c>
      <c r="F458" s="315" t="s">
        <v>1204</v>
      </c>
      <c r="G458" s="315" t="s">
        <v>744</v>
      </c>
      <c r="H458" s="315" t="s">
        <v>1081</v>
      </c>
    </row>
    <row r="459" spans="1:8" x14ac:dyDescent="0.25">
      <c r="A459" s="316">
        <v>1037</v>
      </c>
      <c r="B459" s="316">
        <v>50908</v>
      </c>
      <c r="C459" s="315" t="s">
        <v>718</v>
      </c>
      <c r="D459" s="315" t="s">
        <v>797</v>
      </c>
      <c r="E459" s="315" t="s">
        <v>476</v>
      </c>
      <c r="F459" s="315" t="s">
        <v>1205</v>
      </c>
      <c r="G459" s="315" t="s">
        <v>936</v>
      </c>
      <c r="H459" s="315" t="s">
        <v>936</v>
      </c>
    </row>
    <row r="460" spans="1:8" x14ac:dyDescent="0.25">
      <c r="A460" s="316">
        <v>1036</v>
      </c>
      <c r="B460" s="316">
        <v>55222</v>
      </c>
      <c r="C460" s="315" t="s">
        <v>679</v>
      </c>
      <c r="D460" s="315" t="s">
        <v>680</v>
      </c>
      <c r="E460" s="315" t="s">
        <v>560</v>
      </c>
      <c r="F460" s="315" t="s">
        <v>1206</v>
      </c>
      <c r="G460" s="315" t="s">
        <v>936</v>
      </c>
      <c r="H460" s="315" t="s">
        <v>936</v>
      </c>
    </row>
    <row r="461" spans="1:8" x14ac:dyDescent="0.25">
      <c r="A461" s="316">
        <v>1034</v>
      </c>
      <c r="B461" s="316">
        <v>67303</v>
      </c>
      <c r="C461" s="315" t="s">
        <v>771</v>
      </c>
      <c r="D461" s="315" t="s">
        <v>867</v>
      </c>
      <c r="E461" s="315" t="s">
        <v>439</v>
      </c>
      <c r="F461" s="315" t="s">
        <v>1207</v>
      </c>
      <c r="G461" s="315" t="s">
        <v>936</v>
      </c>
      <c r="H461" s="315" t="s">
        <v>936</v>
      </c>
    </row>
    <row r="462" spans="1:8" x14ac:dyDescent="0.25">
      <c r="A462" s="316">
        <v>1035</v>
      </c>
      <c r="B462" s="316">
        <v>63763</v>
      </c>
      <c r="C462" s="315" t="s">
        <v>706</v>
      </c>
      <c r="D462" s="315" t="s">
        <v>1159</v>
      </c>
      <c r="E462" s="315" t="s">
        <v>346</v>
      </c>
      <c r="F462" s="315" t="s">
        <v>1208</v>
      </c>
      <c r="G462" s="315" t="s">
        <v>936</v>
      </c>
      <c r="H462" s="315" t="s">
        <v>936</v>
      </c>
    </row>
    <row r="463" spans="1:8" x14ac:dyDescent="0.25">
      <c r="A463" s="316">
        <v>262</v>
      </c>
      <c r="B463" s="316">
        <v>276</v>
      </c>
      <c r="C463" s="315" t="s">
        <v>631</v>
      </c>
      <c r="D463" s="315" t="s">
        <v>988</v>
      </c>
      <c r="E463" s="315" t="s">
        <v>574</v>
      </c>
      <c r="F463" s="315" t="s">
        <v>1209</v>
      </c>
      <c r="G463" s="315" t="s">
        <v>634</v>
      </c>
      <c r="H463" s="315" t="s">
        <v>635</v>
      </c>
    </row>
    <row r="464" spans="1:8" x14ac:dyDescent="0.25">
      <c r="A464" s="316">
        <v>1031</v>
      </c>
      <c r="B464" s="316">
        <v>53900</v>
      </c>
      <c r="C464" s="315" t="s">
        <v>679</v>
      </c>
      <c r="D464" s="315" t="s">
        <v>680</v>
      </c>
      <c r="E464" s="315" t="s">
        <v>415</v>
      </c>
      <c r="F464" s="315" t="s">
        <v>1210</v>
      </c>
      <c r="G464" s="315" t="s">
        <v>936</v>
      </c>
      <c r="H464" s="315" t="s">
        <v>936</v>
      </c>
    </row>
    <row r="465" spans="1:8" x14ac:dyDescent="0.25">
      <c r="A465" s="316">
        <v>1032</v>
      </c>
      <c r="B465" s="316">
        <v>50753</v>
      </c>
      <c r="C465" s="315" t="s">
        <v>706</v>
      </c>
      <c r="D465" s="315" t="s">
        <v>892</v>
      </c>
      <c r="E465" s="315" t="s">
        <v>589</v>
      </c>
      <c r="F465" s="315" t="s">
        <v>1211</v>
      </c>
      <c r="G465" s="315" t="s">
        <v>936</v>
      </c>
      <c r="H465" s="315" t="s">
        <v>936</v>
      </c>
    </row>
    <row r="466" spans="1:8" x14ac:dyDescent="0.25">
      <c r="A466" s="316">
        <v>1033</v>
      </c>
      <c r="B466" s="316">
        <v>55750</v>
      </c>
      <c r="C466" s="315" t="s">
        <v>706</v>
      </c>
      <c r="D466" s="315" t="s">
        <v>831</v>
      </c>
      <c r="E466" s="315" t="s">
        <v>423</v>
      </c>
      <c r="F466" s="315" t="s">
        <v>1212</v>
      </c>
      <c r="G466" s="315" t="s">
        <v>936</v>
      </c>
      <c r="H466" s="315" t="s">
        <v>936</v>
      </c>
    </row>
    <row r="467" spans="1:8" x14ac:dyDescent="0.25">
      <c r="A467" s="316">
        <v>824</v>
      </c>
      <c r="B467" s="316">
        <v>63815</v>
      </c>
      <c r="C467" s="315" t="s">
        <v>645</v>
      </c>
      <c r="D467" s="315" t="s">
        <v>846</v>
      </c>
      <c r="E467" s="315" t="s">
        <v>494</v>
      </c>
      <c r="F467" s="315" t="s">
        <v>1213</v>
      </c>
      <c r="G467" s="315" t="s">
        <v>634</v>
      </c>
      <c r="H467" s="315" t="s">
        <v>644</v>
      </c>
    </row>
    <row r="468" spans="1:8" x14ac:dyDescent="0.25">
      <c r="A468" s="316">
        <v>1029</v>
      </c>
      <c r="B468" s="316">
        <v>51881</v>
      </c>
      <c r="C468" s="315" t="s">
        <v>706</v>
      </c>
      <c r="D468" s="315" t="s">
        <v>878</v>
      </c>
      <c r="E468" s="315" t="s">
        <v>484</v>
      </c>
      <c r="F468" s="315" t="s">
        <v>1214</v>
      </c>
      <c r="G468" s="315" t="s">
        <v>936</v>
      </c>
      <c r="H468" s="315" t="s">
        <v>936</v>
      </c>
    </row>
    <row r="469" spans="1:8" x14ac:dyDescent="0.25">
      <c r="A469" s="316">
        <v>1030</v>
      </c>
      <c r="B469" s="316">
        <v>66233</v>
      </c>
      <c r="C469" s="315" t="s">
        <v>631</v>
      </c>
      <c r="D469" s="315" t="s">
        <v>988</v>
      </c>
      <c r="E469" s="315" t="s">
        <v>574</v>
      </c>
      <c r="F469" s="315" t="s">
        <v>1215</v>
      </c>
      <c r="G469" s="315" t="s">
        <v>744</v>
      </c>
      <c r="H469" s="315" t="s">
        <v>745</v>
      </c>
    </row>
    <row r="470" spans="1:8" x14ac:dyDescent="0.25">
      <c r="A470" s="316">
        <v>418</v>
      </c>
      <c r="B470" s="316">
        <v>64287</v>
      </c>
      <c r="C470" s="315" t="s">
        <v>631</v>
      </c>
      <c r="D470" s="315" t="s">
        <v>840</v>
      </c>
      <c r="E470" s="315" t="s">
        <v>567</v>
      </c>
      <c r="F470" s="315" t="s">
        <v>1216</v>
      </c>
      <c r="G470" s="315" t="s">
        <v>634</v>
      </c>
      <c r="H470" s="315" t="s">
        <v>644</v>
      </c>
    </row>
    <row r="471" spans="1:8" x14ac:dyDescent="0.25">
      <c r="A471" s="316">
        <v>1028</v>
      </c>
      <c r="B471" s="316">
        <v>48879</v>
      </c>
      <c r="C471" s="315" t="s">
        <v>636</v>
      </c>
      <c r="D471" s="315" t="s">
        <v>637</v>
      </c>
      <c r="E471" s="315" t="s">
        <v>543</v>
      </c>
      <c r="F471" s="315" t="s">
        <v>1217</v>
      </c>
      <c r="G471" s="315" t="s">
        <v>936</v>
      </c>
      <c r="H471" s="315" t="s">
        <v>936</v>
      </c>
    </row>
    <row r="472" spans="1:8" x14ac:dyDescent="0.25">
      <c r="A472" s="316">
        <v>182</v>
      </c>
      <c r="B472" s="316">
        <v>48948</v>
      </c>
      <c r="C472" s="315" t="s">
        <v>645</v>
      </c>
      <c r="D472" s="315" t="s">
        <v>846</v>
      </c>
      <c r="E472" s="315" t="s">
        <v>494</v>
      </c>
      <c r="F472" s="315" t="s">
        <v>1218</v>
      </c>
      <c r="G472" s="315" t="s">
        <v>634</v>
      </c>
      <c r="H472" s="315" t="s">
        <v>635</v>
      </c>
    </row>
    <row r="473" spans="1:8" x14ac:dyDescent="0.25">
      <c r="A473" s="316">
        <v>310</v>
      </c>
      <c r="B473" s="316">
        <v>64324</v>
      </c>
      <c r="C473" s="315" t="s">
        <v>645</v>
      </c>
      <c r="D473" s="315" t="s">
        <v>786</v>
      </c>
      <c r="E473" s="315" t="s">
        <v>621</v>
      </c>
      <c r="F473" s="315" t="s">
        <v>1219</v>
      </c>
      <c r="G473" s="315" t="s">
        <v>634</v>
      </c>
      <c r="H473" s="315" t="s">
        <v>635</v>
      </c>
    </row>
    <row r="474" spans="1:8" x14ac:dyDescent="0.25">
      <c r="A474" s="316">
        <v>961</v>
      </c>
      <c r="B474" s="316">
        <v>67853</v>
      </c>
      <c r="C474" s="315" t="s">
        <v>631</v>
      </c>
      <c r="D474" s="315" t="s">
        <v>840</v>
      </c>
      <c r="E474" s="315" t="s">
        <v>410</v>
      </c>
      <c r="F474" s="315" t="s">
        <v>1220</v>
      </c>
      <c r="G474" s="315" t="s">
        <v>744</v>
      </c>
      <c r="H474" s="315" t="s">
        <v>745</v>
      </c>
    </row>
    <row r="475" spans="1:8" x14ac:dyDescent="0.25">
      <c r="A475" s="316">
        <v>977</v>
      </c>
      <c r="B475" s="316">
        <v>67856</v>
      </c>
      <c r="C475" s="315" t="s">
        <v>631</v>
      </c>
      <c r="D475" s="315" t="s">
        <v>840</v>
      </c>
      <c r="E475" s="315" t="s">
        <v>567</v>
      </c>
      <c r="F475" s="315" t="s">
        <v>1221</v>
      </c>
      <c r="G475" s="315" t="s">
        <v>1038</v>
      </c>
      <c r="H475" s="315" t="s">
        <v>1039</v>
      </c>
    </row>
    <row r="476" spans="1:8" x14ac:dyDescent="0.25">
      <c r="A476" s="316">
        <v>96</v>
      </c>
      <c r="B476" s="316">
        <v>48680</v>
      </c>
      <c r="C476" s="315" t="s">
        <v>728</v>
      </c>
      <c r="D476" s="315" t="s">
        <v>729</v>
      </c>
      <c r="E476" s="315" t="s">
        <v>407</v>
      </c>
      <c r="F476" s="315" t="s">
        <v>1222</v>
      </c>
      <c r="G476" s="315" t="s">
        <v>634</v>
      </c>
      <c r="H476" s="315" t="s">
        <v>635</v>
      </c>
    </row>
    <row r="477" spans="1:8" x14ac:dyDescent="0.25">
      <c r="A477" s="316">
        <v>897</v>
      </c>
      <c r="B477" s="316">
        <v>66200</v>
      </c>
      <c r="C477" s="315" t="s">
        <v>631</v>
      </c>
      <c r="D477" s="315" t="s">
        <v>742</v>
      </c>
      <c r="E477" s="315" t="s">
        <v>480</v>
      </c>
      <c r="F477" s="315" t="s">
        <v>1223</v>
      </c>
      <c r="G477" s="315" t="s">
        <v>744</v>
      </c>
      <c r="H477" s="315" t="s">
        <v>745</v>
      </c>
    </row>
    <row r="478" spans="1:8" x14ac:dyDescent="0.25">
      <c r="A478" s="316">
        <v>960</v>
      </c>
      <c r="B478" s="316">
        <v>67854</v>
      </c>
      <c r="C478" s="315" t="s">
        <v>631</v>
      </c>
      <c r="D478" s="315" t="s">
        <v>840</v>
      </c>
      <c r="E478" s="315" t="s">
        <v>410</v>
      </c>
      <c r="F478" s="315" t="s">
        <v>1224</v>
      </c>
      <c r="G478" s="315" t="s">
        <v>744</v>
      </c>
      <c r="H478" s="315" t="s">
        <v>1081</v>
      </c>
    </row>
    <row r="479" spans="1:8" x14ac:dyDescent="0.25">
      <c r="A479" s="316">
        <v>964</v>
      </c>
      <c r="B479" s="316">
        <v>67855</v>
      </c>
      <c r="C479" s="315" t="s">
        <v>631</v>
      </c>
      <c r="D479" s="315" t="s">
        <v>742</v>
      </c>
      <c r="E479" s="315" t="s">
        <v>480</v>
      </c>
      <c r="F479" s="315" t="s">
        <v>1225</v>
      </c>
      <c r="G479" s="315" t="s">
        <v>744</v>
      </c>
      <c r="H479" s="315" t="s">
        <v>1122</v>
      </c>
    </row>
    <row r="480" spans="1:8" x14ac:dyDescent="0.25">
      <c r="A480" s="316">
        <v>887</v>
      </c>
      <c r="B480" s="316">
        <v>67891</v>
      </c>
      <c r="C480" s="315" t="s">
        <v>636</v>
      </c>
      <c r="D480" s="315" t="s">
        <v>816</v>
      </c>
      <c r="E480" s="315" t="s">
        <v>607</v>
      </c>
      <c r="F480" s="315" t="s">
        <v>1226</v>
      </c>
      <c r="G480" s="315" t="s">
        <v>744</v>
      </c>
      <c r="H480" s="315" t="s">
        <v>822</v>
      </c>
    </row>
    <row r="481" spans="1:8" x14ac:dyDescent="0.25">
      <c r="A481" s="316">
        <v>1003</v>
      </c>
      <c r="B481" s="316">
        <v>67851</v>
      </c>
      <c r="C481" s="315" t="s">
        <v>679</v>
      </c>
      <c r="D481" s="315" t="s">
        <v>704</v>
      </c>
      <c r="E481" s="315" t="s">
        <v>605</v>
      </c>
      <c r="F481" s="315" t="s">
        <v>1227</v>
      </c>
      <c r="G481" s="315" t="s">
        <v>1038</v>
      </c>
      <c r="H481" s="315" t="s">
        <v>1039</v>
      </c>
    </row>
    <row r="482" spans="1:8" x14ac:dyDescent="0.25">
      <c r="A482" s="316">
        <v>1025</v>
      </c>
      <c r="B482" s="316">
        <v>67874</v>
      </c>
      <c r="C482" s="315" t="s">
        <v>631</v>
      </c>
      <c r="D482" s="315" t="s">
        <v>766</v>
      </c>
      <c r="E482" s="315" t="s">
        <v>556</v>
      </c>
      <c r="F482" s="315" t="s">
        <v>1228</v>
      </c>
      <c r="G482" s="315" t="s">
        <v>634</v>
      </c>
      <c r="H482" s="315" t="s">
        <v>635</v>
      </c>
    </row>
    <row r="483" spans="1:8" x14ac:dyDescent="0.25">
      <c r="A483" s="316">
        <v>309</v>
      </c>
      <c r="B483" s="316">
        <v>64041</v>
      </c>
      <c r="C483" s="315" t="s">
        <v>640</v>
      </c>
      <c r="D483" s="315" t="s">
        <v>666</v>
      </c>
      <c r="E483" s="315" t="s">
        <v>620</v>
      </c>
      <c r="F483" s="315" t="s">
        <v>1229</v>
      </c>
      <c r="G483" s="315" t="s">
        <v>634</v>
      </c>
      <c r="H483" s="315" t="s">
        <v>635</v>
      </c>
    </row>
    <row r="484" spans="1:8" x14ac:dyDescent="0.25">
      <c r="A484" s="316">
        <v>1017</v>
      </c>
      <c r="B484" s="316">
        <v>67865</v>
      </c>
      <c r="C484" s="315" t="s">
        <v>640</v>
      </c>
      <c r="D484" s="315" t="s">
        <v>650</v>
      </c>
      <c r="E484" s="315" t="s">
        <v>487</v>
      </c>
      <c r="F484" s="315" t="s">
        <v>1230</v>
      </c>
      <c r="G484" s="315" t="s">
        <v>744</v>
      </c>
      <c r="H484" s="315" t="s">
        <v>822</v>
      </c>
    </row>
    <row r="485" spans="1:8" x14ac:dyDescent="0.25">
      <c r="A485" s="316">
        <v>703</v>
      </c>
      <c r="B485" s="316">
        <v>63980</v>
      </c>
      <c r="C485" s="315" t="s">
        <v>636</v>
      </c>
      <c r="D485" s="315" t="s">
        <v>711</v>
      </c>
      <c r="E485" s="315" t="s">
        <v>455</v>
      </c>
      <c r="F485" s="315" t="s">
        <v>1231</v>
      </c>
      <c r="G485" s="315" t="s">
        <v>744</v>
      </c>
      <c r="H485" s="315" t="s">
        <v>822</v>
      </c>
    </row>
    <row r="486" spans="1:8" x14ac:dyDescent="0.25">
      <c r="A486" s="316">
        <v>1014</v>
      </c>
      <c r="B486" s="316">
        <v>67738</v>
      </c>
      <c r="C486" s="315" t="s">
        <v>679</v>
      </c>
      <c r="D486" s="315" t="s">
        <v>859</v>
      </c>
      <c r="E486" s="315" t="s">
        <v>441</v>
      </c>
      <c r="F486" s="315" t="s">
        <v>1232</v>
      </c>
      <c r="G486" s="315" t="s">
        <v>634</v>
      </c>
      <c r="H486" s="315" t="s">
        <v>673</v>
      </c>
    </row>
    <row r="487" spans="1:8" x14ac:dyDescent="0.25">
      <c r="A487" s="316">
        <v>571</v>
      </c>
      <c r="B487" s="316">
        <v>64042</v>
      </c>
      <c r="C487" s="315" t="s">
        <v>640</v>
      </c>
      <c r="D487" s="315" t="s">
        <v>666</v>
      </c>
      <c r="E487" s="315" t="s">
        <v>620</v>
      </c>
      <c r="F487" s="315" t="s">
        <v>1233</v>
      </c>
      <c r="G487" s="315" t="s">
        <v>1038</v>
      </c>
      <c r="H487" s="315" t="s">
        <v>1039</v>
      </c>
    </row>
    <row r="488" spans="1:8" x14ac:dyDescent="0.25">
      <c r="A488" s="316">
        <v>326</v>
      </c>
      <c r="B488" s="316">
        <v>246</v>
      </c>
      <c r="C488" s="315" t="s">
        <v>631</v>
      </c>
      <c r="D488" s="315" t="s">
        <v>632</v>
      </c>
      <c r="E488" s="315" t="s">
        <v>585</v>
      </c>
      <c r="F488" s="315" t="s">
        <v>1234</v>
      </c>
      <c r="G488" s="315" t="s">
        <v>634</v>
      </c>
      <c r="H488" s="315" t="s">
        <v>635</v>
      </c>
    </row>
    <row r="489" spans="1:8" x14ac:dyDescent="0.25">
      <c r="A489" s="316">
        <v>1021</v>
      </c>
      <c r="B489" s="316">
        <v>67867</v>
      </c>
      <c r="C489" s="315" t="s">
        <v>640</v>
      </c>
      <c r="D489" s="315" t="s">
        <v>784</v>
      </c>
      <c r="E489" s="315" t="s">
        <v>323</v>
      </c>
      <c r="F489" s="315" t="s">
        <v>1235</v>
      </c>
      <c r="G489" s="315" t="s">
        <v>634</v>
      </c>
      <c r="H489" s="315" t="s">
        <v>944</v>
      </c>
    </row>
    <row r="490" spans="1:8" x14ac:dyDescent="0.25">
      <c r="A490" s="316">
        <v>1023</v>
      </c>
      <c r="B490" s="316">
        <v>68207</v>
      </c>
      <c r="C490" s="315" t="s">
        <v>631</v>
      </c>
      <c r="D490" s="315" t="s">
        <v>661</v>
      </c>
      <c r="E490" s="315" t="s">
        <v>498</v>
      </c>
      <c r="F490" s="315" t="s">
        <v>1236</v>
      </c>
      <c r="G490" s="315" t="s">
        <v>634</v>
      </c>
      <c r="H490" s="315" t="s">
        <v>635</v>
      </c>
    </row>
    <row r="491" spans="1:8" x14ac:dyDescent="0.25">
      <c r="A491" s="316">
        <v>578</v>
      </c>
      <c r="B491" s="316">
        <v>63793</v>
      </c>
      <c r="C491" s="315" t="s">
        <v>631</v>
      </c>
      <c r="D491" s="315" t="s">
        <v>840</v>
      </c>
      <c r="E491" s="315" t="s">
        <v>325</v>
      </c>
      <c r="F491" s="315" t="s">
        <v>1237</v>
      </c>
      <c r="G491" s="315" t="s">
        <v>634</v>
      </c>
      <c r="H491" s="315" t="s">
        <v>665</v>
      </c>
    </row>
    <row r="492" spans="1:8" x14ac:dyDescent="0.25">
      <c r="A492" s="316">
        <v>579</v>
      </c>
      <c r="B492" s="316">
        <v>63791</v>
      </c>
      <c r="C492" s="315" t="s">
        <v>631</v>
      </c>
      <c r="D492" s="315" t="s">
        <v>840</v>
      </c>
      <c r="E492" s="315" t="s">
        <v>325</v>
      </c>
      <c r="F492" s="315" t="s">
        <v>1238</v>
      </c>
      <c r="G492" s="315" t="s">
        <v>634</v>
      </c>
      <c r="H492" s="315" t="s">
        <v>644</v>
      </c>
    </row>
    <row r="493" spans="1:8" x14ac:dyDescent="0.25">
      <c r="A493" s="316">
        <v>834</v>
      </c>
      <c r="B493" s="316">
        <v>63788</v>
      </c>
      <c r="C493" s="315" t="s">
        <v>631</v>
      </c>
      <c r="D493" s="315" t="s">
        <v>840</v>
      </c>
      <c r="E493" s="315" t="s">
        <v>325</v>
      </c>
      <c r="F493" s="315" t="s">
        <v>1239</v>
      </c>
      <c r="G493" s="315" t="s">
        <v>634</v>
      </c>
      <c r="H493" s="315" t="s">
        <v>649</v>
      </c>
    </row>
    <row r="494" spans="1:8" x14ac:dyDescent="0.25">
      <c r="A494" s="316">
        <v>835</v>
      </c>
      <c r="B494" s="316">
        <v>63790</v>
      </c>
      <c r="C494" s="315" t="s">
        <v>631</v>
      </c>
      <c r="D494" s="315" t="s">
        <v>840</v>
      </c>
      <c r="E494" s="315" t="s">
        <v>325</v>
      </c>
      <c r="F494" s="315" t="s">
        <v>1240</v>
      </c>
      <c r="G494" s="315" t="s">
        <v>634</v>
      </c>
      <c r="H494" s="315" t="s">
        <v>1241</v>
      </c>
    </row>
    <row r="495" spans="1:8" x14ac:dyDescent="0.25">
      <c r="A495" s="316">
        <v>42</v>
      </c>
      <c r="B495" s="316">
        <v>48544</v>
      </c>
      <c r="C495" s="315" t="s">
        <v>706</v>
      </c>
      <c r="D495" s="315" t="s">
        <v>892</v>
      </c>
      <c r="E495" s="315" t="s">
        <v>353</v>
      </c>
      <c r="F495" s="315" t="s">
        <v>1242</v>
      </c>
      <c r="G495" s="315" t="s">
        <v>634</v>
      </c>
      <c r="H495" s="315" t="s">
        <v>635</v>
      </c>
    </row>
    <row r="496" spans="1:8" x14ac:dyDescent="0.25">
      <c r="A496" s="316">
        <v>170</v>
      </c>
      <c r="B496" s="316">
        <v>45918</v>
      </c>
      <c r="C496" s="315" t="s">
        <v>640</v>
      </c>
      <c r="D496" s="315" t="s">
        <v>683</v>
      </c>
      <c r="E496" s="315" t="s">
        <v>481</v>
      </c>
      <c r="F496" s="315" t="s">
        <v>1243</v>
      </c>
      <c r="G496" s="315" t="s">
        <v>634</v>
      </c>
      <c r="H496" s="315" t="s">
        <v>635</v>
      </c>
    </row>
    <row r="497" spans="1:8" x14ac:dyDescent="0.25">
      <c r="A497" s="316">
        <v>249</v>
      </c>
      <c r="B497" s="316">
        <v>214</v>
      </c>
      <c r="C497" s="315" t="s">
        <v>728</v>
      </c>
      <c r="D497" s="315" t="s">
        <v>886</v>
      </c>
      <c r="E497" s="315" t="s">
        <v>563</v>
      </c>
      <c r="F497" s="315" t="s">
        <v>1244</v>
      </c>
      <c r="G497" s="315" t="s">
        <v>634</v>
      </c>
      <c r="H497" s="315" t="s">
        <v>635</v>
      </c>
    </row>
    <row r="498" spans="1:8" x14ac:dyDescent="0.25">
      <c r="A498" s="316">
        <v>1018</v>
      </c>
      <c r="B498" s="316">
        <v>67873</v>
      </c>
      <c r="C498" s="315" t="s">
        <v>640</v>
      </c>
      <c r="D498" s="315" t="s">
        <v>650</v>
      </c>
      <c r="E498" s="315" t="s">
        <v>370</v>
      </c>
      <c r="F498" s="315" t="s">
        <v>1245</v>
      </c>
      <c r="G498" s="315" t="s">
        <v>634</v>
      </c>
      <c r="H498" s="315" t="s">
        <v>665</v>
      </c>
    </row>
    <row r="499" spans="1:8" x14ac:dyDescent="0.25">
      <c r="A499" s="316">
        <v>144</v>
      </c>
      <c r="B499" s="316">
        <v>43794</v>
      </c>
      <c r="C499" s="315" t="s">
        <v>636</v>
      </c>
      <c r="D499" s="315" t="s">
        <v>711</v>
      </c>
      <c r="E499" s="315" t="s">
        <v>455</v>
      </c>
      <c r="F499" s="315" t="s">
        <v>1246</v>
      </c>
      <c r="G499" s="315" t="s">
        <v>634</v>
      </c>
      <c r="H499" s="315" t="s">
        <v>635</v>
      </c>
    </row>
    <row r="500" spans="1:8" x14ac:dyDescent="0.25">
      <c r="A500" s="316">
        <v>47</v>
      </c>
      <c r="B500" s="316">
        <v>50978</v>
      </c>
      <c r="C500" s="315" t="s">
        <v>640</v>
      </c>
      <c r="D500" s="315" t="s">
        <v>688</v>
      </c>
      <c r="E500" s="315" t="s">
        <v>358</v>
      </c>
      <c r="F500" s="315" t="s">
        <v>1247</v>
      </c>
      <c r="G500" s="315" t="s">
        <v>634</v>
      </c>
      <c r="H500" s="315" t="s">
        <v>635</v>
      </c>
    </row>
    <row r="501" spans="1:8" x14ac:dyDescent="0.25">
      <c r="A501" s="316">
        <v>903</v>
      </c>
      <c r="B501" s="316">
        <v>66167</v>
      </c>
      <c r="C501" s="315" t="s">
        <v>631</v>
      </c>
      <c r="D501" s="315" t="s">
        <v>840</v>
      </c>
      <c r="E501" s="315" t="s">
        <v>410</v>
      </c>
      <c r="F501" s="315" t="s">
        <v>1248</v>
      </c>
      <c r="G501" s="315" t="s">
        <v>634</v>
      </c>
      <c r="H501" s="315" t="s">
        <v>635</v>
      </c>
    </row>
    <row r="502" spans="1:8" x14ac:dyDescent="0.25">
      <c r="A502" s="316">
        <v>157</v>
      </c>
      <c r="B502" s="316">
        <v>64058</v>
      </c>
      <c r="C502" s="315" t="s">
        <v>636</v>
      </c>
      <c r="D502" s="315" t="s">
        <v>653</v>
      </c>
      <c r="E502" s="315" t="s">
        <v>469</v>
      </c>
      <c r="F502" s="315" t="s">
        <v>1249</v>
      </c>
      <c r="G502" s="315" t="s">
        <v>634</v>
      </c>
      <c r="H502" s="315" t="s">
        <v>635</v>
      </c>
    </row>
    <row r="503" spans="1:8" x14ac:dyDescent="0.25">
      <c r="A503" s="316">
        <v>270</v>
      </c>
      <c r="B503" s="316">
        <v>255</v>
      </c>
      <c r="C503" s="315" t="s">
        <v>728</v>
      </c>
      <c r="D503" s="315" t="s">
        <v>886</v>
      </c>
      <c r="E503" s="315" t="s">
        <v>581</v>
      </c>
      <c r="F503" s="315" t="s">
        <v>1250</v>
      </c>
      <c r="G503" s="315" t="s">
        <v>634</v>
      </c>
      <c r="H503" s="315" t="s">
        <v>635</v>
      </c>
    </row>
    <row r="504" spans="1:8" x14ac:dyDescent="0.25">
      <c r="A504" s="316">
        <v>441</v>
      </c>
      <c r="B504" s="316">
        <v>48920</v>
      </c>
      <c r="C504" s="315" t="s">
        <v>728</v>
      </c>
      <c r="D504" s="315" t="s">
        <v>886</v>
      </c>
      <c r="E504" s="315" t="s">
        <v>581</v>
      </c>
      <c r="F504" s="315" t="s">
        <v>1251</v>
      </c>
      <c r="G504" s="315" t="s">
        <v>634</v>
      </c>
      <c r="H504" s="315" t="s">
        <v>665</v>
      </c>
    </row>
    <row r="505" spans="1:8" x14ac:dyDescent="0.25">
      <c r="A505" s="316">
        <v>246</v>
      </c>
      <c r="B505" s="316">
        <v>48661</v>
      </c>
      <c r="C505" s="315" t="s">
        <v>679</v>
      </c>
      <c r="D505" s="315" t="s">
        <v>680</v>
      </c>
      <c r="E505" s="315" t="s">
        <v>560</v>
      </c>
      <c r="F505" s="315" t="s">
        <v>1252</v>
      </c>
      <c r="G505" s="315" t="s">
        <v>634</v>
      </c>
      <c r="H505" s="315" t="s">
        <v>635</v>
      </c>
    </row>
    <row r="506" spans="1:8" x14ac:dyDescent="0.25">
      <c r="A506" s="316">
        <v>62</v>
      </c>
      <c r="B506" s="316">
        <v>131</v>
      </c>
      <c r="C506" s="315" t="s">
        <v>645</v>
      </c>
      <c r="D506" s="315" t="s">
        <v>786</v>
      </c>
      <c r="E506" s="315" t="s">
        <v>373</v>
      </c>
      <c r="F506" s="315" t="s">
        <v>1253</v>
      </c>
      <c r="G506" s="315" t="s">
        <v>634</v>
      </c>
      <c r="H506" s="315" t="s">
        <v>635</v>
      </c>
    </row>
    <row r="507" spans="1:8" x14ac:dyDescent="0.25">
      <c r="A507" s="316">
        <v>175</v>
      </c>
      <c r="B507" s="316">
        <v>50911</v>
      </c>
      <c r="C507" s="315" t="s">
        <v>645</v>
      </c>
      <c r="D507" s="315" t="s">
        <v>786</v>
      </c>
      <c r="E507" s="315" t="s">
        <v>486</v>
      </c>
      <c r="F507" s="315" t="s">
        <v>1254</v>
      </c>
      <c r="G507" s="315" t="s">
        <v>634</v>
      </c>
      <c r="H507" s="315" t="s">
        <v>635</v>
      </c>
    </row>
    <row r="508" spans="1:8" x14ac:dyDescent="0.25">
      <c r="A508" s="316">
        <v>761</v>
      </c>
      <c r="B508" s="316">
        <v>64119</v>
      </c>
      <c r="C508" s="315" t="s">
        <v>645</v>
      </c>
      <c r="D508" s="315" t="s">
        <v>646</v>
      </c>
      <c r="E508" s="315" t="s">
        <v>393</v>
      </c>
      <c r="F508" s="315" t="s">
        <v>1255</v>
      </c>
      <c r="G508" s="315" t="s">
        <v>634</v>
      </c>
      <c r="H508" s="315" t="s">
        <v>665</v>
      </c>
    </row>
    <row r="509" spans="1:8" x14ac:dyDescent="0.25">
      <c r="A509" s="316">
        <v>13</v>
      </c>
      <c r="B509" s="316">
        <v>48907</v>
      </c>
      <c r="C509" s="315" t="s">
        <v>706</v>
      </c>
      <c r="D509" s="315" t="s">
        <v>707</v>
      </c>
      <c r="E509" s="315" t="s">
        <v>322</v>
      </c>
      <c r="F509" s="315" t="s">
        <v>228</v>
      </c>
      <c r="G509" s="315" t="s">
        <v>634</v>
      </c>
      <c r="H509" s="315" t="s">
        <v>635</v>
      </c>
    </row>
    <row r="510" spans="1:8" x14ac:dyDescent="0.25">
      <c r="A510" s="316">
        <v>126</v>
      </c>
      <c r="B510" s="316">
        <v>217</v>
      </c>
      <c r="C510" s="315" t="s">
        <v>679</v>
      </c>
      <c r="D510" s="315" t="s">
        <v>902</v>
      </c>
      <c r="E510" s="315" t="s">
        <v>436</v>
      </c>
      <c r="F510" s="315" t="s">
        <v>1256</v>
      </c>
      <c r="G510" s="315" t="s">
        <v>634</v>
      </c>
      <c r="H510" s="315" t="s">
        <v>635</v>
      </c>
    </row>
    <row r="511" spans="1:8" x14ac:dyDescent="0.25">
      <c r="A511" s="316">
        <v>398</v>
      </c>
      <c r="B511" s="316">
        <v>48465</v>
      </c>
      <c r="C511" s="315" t="s">
        <v>631</v>
      </c>
      <c r="D511" s="315" t="s">
        <v>632</v>
      </c>
      <c r="E511" s="315" t="s">
        <v>585</v>
      </c>
      <c r="F511" s="315" t="s">
        <v>1257</v>
      </c>
      <c r="G511" s="315" t="s">
        <v>744</v>
      </c>
      <c r="H511" s="315" t="s">
        <v>1122</v>
      </c>
    </row>
    <row r="512" spans="1:8" x14ac:dyDescent="0.25">
      <c r="A512" s="316">
        <v>1015</v>
      </c>
      <c r="B512" s="316">
        <v>67864</v>
      </c>
      <c r="C512" s="315" t="s">
        <v>706</v>
      </c>
      <c r="D512" s="315" t="s">
        <v>707</v>
      </c>
      <c r="E512" s="315" t="s">
        <v>412</v>
      </c>
      <c r="F512" s="315" t="s">
        <v>1258</v>
      </c>
      <c r="G512" s="315" t="s">
        <v>1038</v>
      </c>
      <c r="H512" s="315" t="s">
        <v>1039</v>
      </c>
    </row>
    <row r="513" spans="1:8" x14ac:dyDescent="0.25">
      <c r="A513" s="316">
        <v>257</v>
      </c>
      <c r="B513" s="316">
        <v>231</v>
      </c>
      <c r="C513" s="315" t="s">
        <v>631</v>
      </c>
      <c r="D513" s="315" t="s">
        <v>766</v>
      </c>
      <c r="E513" s="315" t="s">
        <v>571</v>
      </c>
      <c r="F513" s="315" t="s">
        <v>1259</v>
      </c>
      <c r="G513" s="315" t="s">
        <v>634</v>
      </c>
      <c r="H513" s="315" t="s">
        <v>635</v>
      </c>
    </row>
    <row r="514" spans="1:8" x14ac:dyDescent="0.25">
      <c r="A514" s="316">
        <v>165</v>
      </c>
      <c r="B514" s="316">
        <v>43785</v>
      </c>
      <c r="C514" s="315" t="s">
        <v>636</v>
      </c>
      <c r="D514" s="315" t="s">
        <v>816</v>
      </c>
      <c r="E514" s="315" t="s">
        <v>477</v>
      </c>
      <c r="F514" s="315" t="s">
        <v>1260</v>
      </c>
      <c r="G514" s="315" t="s">
        <v>634</v>
      </c>
      <c r="H514" s="315" t="s">
        <v>635</v>
      </c>
    </row>
    <row r="515" spans="1:8" x14ac:dyDescent="0.25">
      <c r="A515" s="316">
        <v>362</v>
      </c>
      <c r="B515" s="316">
        <v>64258</v>
      </c>
      <c r="C515" s="315" t="s">
        <v>645</v>
      </c>
      <c r="D515" s="315" t="s">
        <v>646</v>
      </c>
      <c r="E515" s="315" t="s">
        <v>501</v>
      </c>
      <c r="F515" s="315" t="s">
        <v>1261</v>
      </c>
      <c r="G515" s="315" t="s">
        <v>634</v>
      </c>
      <c r="H515" s="315" t="s">
        <v>905</v>
      </c>
    </row>
    <row r="516" spans="1:8" x14ac:dyDescent="0.25">
      <c r="A516" s="316">
        <v>716</v>
      </c>
      <c r="B516" s="316">
        <v>64259</v>
      </c>
      <c r="C516" s="315" t="s">
        <v>645</v>
      </c>
      <c r="D516" s="315" t="s">
        <v>646</v>
      </c>
      <c r="E516" s="315" t="s">
        <v>501</v>
      </c>
      <c r="F516" s="315" t="s">
        <v>1262</v>
      </c>
      <c r="G516" s="315" t="s">
        <v>634</v>
      </c>
      <c r="H516" s="315" t="s">
        <v>635</v>
      </c>
    </row>
    <row r="517" spans="1:8" x14ac:dyDescent="0.25">
      <c r="A517" s="316">
        <v>483</v>
      </c>
      <c r="B517" s="316">
        <v>63850</v>
      </c>
      <c r="C517" s="315" t="s">
        <v>706</v>
      </c>
      <c r="D517" s="315" t="s">
        <v>892</v>
      </c>
      <c r="E517" s="315" t="s">
        <v>353</v>
      </c>
      <c r="F517" s="315" t="s">
        <v>1263</v>
      </c>
      <c r="G517" s="315" t="s">
        <v>634</v>
      </c>
      <c r="H517" s="315" t="s">
        <v>644</v>
      </c>
    </row>
    <row r="518" spans="1:8" x14ac:dyDescent="0.25">
      <c r="A518" s="316">
        <v>177</v>
      </c>
      <c r="B518" s="316">
        <v>262</v>
      </c>
      <c r="C518" s="315" t="s">
        <v>706</v>
      </c>
      <c r="D518" s="315" t="s">
        <v>1159</v>
      </c>
      <c r="E518" s="315" t="s">
        <v>488</v>
      </c>
      <c r="F518" s="315" t="s">
        <v>1264</v>
      </c>
      <c r="G518" s="315" t="s">
        <v>634</v>
      </c>
      <c r="H518" s="315" t="s">
        <v>635</v>
      </c>
    </row>
    <row r="519" spans="1:8" x14ac:dyDescent="0.25">
      <c r="A519" s="316">
        <v>183</v>
      </c>
      <c r="B519" s="316">
        <v>54845</v>
      </c>
      <c r="C519" s="315" t="s">
        <v>706</v>
      </c>
      <c r="D519" s="315" t="s">
        <v>1159</v>
      </c>
      <c r="E519" s="315" t="s">
        <v>495</v>
      </c>
      <c r="F519" s="315" t="s">
        <v>1265</v>
      </c>
      <c r="G519" s="315" t="s">
        <v>634</v>
      </c>
      <c r="H519" s="315" t="s">
        <v>635</v>
      </c>
    </row>
    <row r="520" spans="1:8" x14ac:dyDescent="0.25">
      <c r="A520" s="316">
        <v>238</v>
      </c>
      <c r="B520" s="316">
        <v>48929</v>
      </c>
      <c r="C520" s="315" t="s">
        <v>706</v>
      </c>
      <c r="D520" s="315" t="s">
        <v>709</v>
      </c>
      <c r="E520" s="315" t="s">
        <v>551</v>
      </c>
      <c r="F520" s="315" t="s">
        <v>1266</v>
      </c>
      <c r="G520" s="315" t="s">
        <v>634</v>
      </c>
      <c r="H520" s="315" t="s">
        <v>635</v>
      </c>
    </row>
    <row r="521" spans="1:8" x14ac:dyDescent="0.25">
      <c r="A521" s="316">
        <v>255</v>
      </c>
      <c r="B521" s="316">
        <v>45</v>
      </c>
      <c r="C521" s="315" t="s">
        <v>706</v>
      </c>
      <c r="D521" s="315" t="s">
        <v>834</v>
      </c>
      <c r="E521" s="315" t="s">
        <v>1267</v>
      </c>
      <c r="F521" s="315" t="s">
        <v>1268</v>
      </c>
      <c r="G521" s="315" t="s">
        <v>634</v>
      </c>
      <c r="H521" s="315" t="s">
        <v>635</v>
      </c>
    </row>
    <row r="522" spans="1:8" x14ac:dyDescent="0.25">
      <c r="A522" s="316">
        <v>278</v>
      </c>
      <c r="B522" s="316">
        <v>49667</v>
      </c>
      <c r="C522" s="315" t="s">
        <v>706</v>
      </c>
      <c r="D522" s="315" t="s">
        <v>834</v>
      </c>
      <c r="E522" s="315" t="s">
        <v>590</v>
      </c>
      <c r="F522" s="315" t="s">
        <v>1269</v>
      </c>
      <c r="G522" s="315" t="s">
        <v>634</v>
      </c>
      <c r="H522" s="315" t="s">
        <v>635</v>
      </c>
    </row>
    <row r="523" spans="1:8" x14ac:dyDescent="0.25">
      <c r="A523" s="316">
        <v>489</v>
      </c>
      <c r="B523" s="316">
        <v>54822</v>
      </c>
      <c r="C523" s="315" t="s">
        <v>706</v>
      </c>
      <c r="D523" s="315" t="s">
        <v>1159</v>
      </c>
      <c r="E523" s="315" t="s">
        <v>336</v>
      </c>
      <c r="F523" s="315" t="s">
        <v>1270</v>
      </c>
      <c r="G523" s="315" t="s">
        <v>634</v>
      </c>
      <c r="H523" s="315" t="s">
        <v>644</v>
      </c>
    </row>
    <row r="524" spans="1:8" x14ac:dyDescent="0.25">
      <c r="A524" s="316">
        <v>992</v>
      </c>
      <c r="B524" s="316">
        <v>19277</v>
      </c>
      <c r="C524" s="315" t="s">
        <v>631</v>
      </c>
      <c r="D524" s="315" t="s">
        <v>632</v>
      </c>
      <c r="E524" s="315" t="s">
        <v>585</v>
      </c>
      <c r="F524" s="315" t="s">
        <v>1271</v>
      </c>
      <c r="G524" s="315" t="s">
        <v>744</v>
      </c>
      <c r="H524" s="315" t="s">
        <v>1272</v>
      </c>
    </row>
    <row r="525" spans="1:8" x14ac:dyDescent="0.25">
      <c r="A525" s="316">
        <v>2</v>
      </c>
      <c r="B525" s="316">
        <v>48543</v>
      </c>
      <c r="C525" s="315" t="s">
        <v>640</v>
      </c>
      <c r="D525" s="315" t="s">
        <v>668</v>
      </c>
      <c r="E525" s="315" t="s">
        <v>310</v>
      </c>
      <c r="F525" s="315" t="s">
        <v>1273</v>
      </c>
      <c r="G525" s="315" t="s">
        <v>634</v>
      </c>
      <c r="H525" s="315" t="s">
        <v>635</v>
      </c>
    </row>
    <row r="526" spans="1:8" x14ac:dyDescent="0.25">
      <c r="A526" s="316">
        <v>5</v>
      </c>
      <c r="B526" s="316">
        <v>308</v>
      </c>
      <c r="C526" s="315" t="s">
        <v>706</v>
      </c>
      <c r="D526" s="315" t="s">
        <v>1159</v>
      </c>
      <c r="E526" s="315" t="s">
        <v>313</v>
      </c>
      <c r="F526" s="315" t="s">
        <v>1274</v>
      </c>
      <c r="G526" s="315" t="s">
        <v>634</v>
      </c>
      <c r="H526" s="315" t="s">
        <v>635</v>
      </c>
    </row>
    <row r="527" spans="1:8" x14ac:dyDescent="0.25">
      <c r="A527" s="316">
        <v>26</v>
      </c>
      <c r="B527" s="316">
        <v>50933</v>
      </c>
      <c r="C527" s="315" t="s">
        <v>706</v>
      </c>
      <c r="D527" s="315" t="s">
        <v>1159</v>
      </c>
      <c r="E527" s="315" t="s">
        <v>336</v>
      </c>
      <c r="F527" s="315" t="s">
        <v>1275</v>
      </c>
      <c r="G527" s="315" t="s">
        <v>634</v>
      </c>
      <c r="H527" s="315" t="s">
        <v>635</v>
      </c>
    </row>
    <row r="528" spans="1:8" x14ac:dyDescent="0.25">
      <c r="A528" s="316">
        <v>268</v>
      </c>
      <c r="B528" s="316">
        <v>48966</v>
      </c>
      <c r="C528" s="315" t="s">
        <v>706</v>
      </c>
      <c r="D528" s="315" t="s">
        <v>892</v>
      </c>
      <c r="E528" s="315" t="s">
        <v>579</v>
      </c>
      <c r="F528" s="315" t="s">
        <v>1276</v>
      </c>
      <c r="G528" s="315" t="s">
        <v>634</v>
      </c>
      <c r="H528" s="315" t="s">
        <v>635</v>
      </c>
    </row>
    <row r="529" spans="1:8" x14ac:dyDescent="0.25">
      <c r="A529" s="316">
        <v>57</v>
      </c>
      <c r="B529" s="316">
        <v>48894</v>
      </c>
      <c r="C529" s="315" t="s">
        <v>706</v>
      </c>
      <c r="D529" s="315" t="s">
        <v>892</v>
      </c>
      <c r="E529" s="315" t="s">
        <v>368</v>
      </c>
      <c r="F529" s="315" t="s">
        <v>1277</v>
      </c>
      <c r="G529" s="315" t="s">
        <v>634</v>
      </c>
      <c r="H529" s="315" t="s">
        <v>635</v>
      </c>
    </row>
    <row r="530" spans="1:8" x14ac:dyDescent="0.25">
      <c r="A530" s="316">
        <v>93</v>
      </c>
      <c r="B530" s="316">
        <v>63820</v>
      </c>
      <c r="C530" s="315" t="s">
        <v>706</v>
      </c>
      <c r="D530" s="315" t="s">
        <v>831</v>
      </c>
      <c r="E530" s="315" t="s">
        <v>404</v>
      </c>
      <c r="F530" s="315" t="s">
        <v>1278</v>
      </c>
      <c r="G530" s="315" t="s">
        <v>634</v>
      </c>
      <c r="H530" s="315" t="s">
        <v>635</v>
      </c>
    </row>
    <row r="531" spans="1:8" x14ac:dyDescent="0.25">
      <c r="A531" s="316">
        <v>167</v>
      </c>
      <c r="B531" s="316">
        <v>64083</v>
      </c>
      <c r="C531" s="315" t="s">
        <v>706</v>
      </c>
      <c r="D531" s="315" t="s">
        <v>892</v>
      </c>
      <c r="E531" s="315" t="s">
        <v>479</v>
      </c>
      <c r="F531" s="315" t="s">
        <v>1279</v>
      </c>
      <c r="G531" s="315" t="s">
        <v>634</v>
      </c>
      <c r="H531" s="315" t="s">
        <v>635</v>
      </c>
    </row>
    <row r="532" spans="1:8" x14ac:dyDescent="0.25">
      <c r="A532" s="316">
        <v>188</v>
      </c>
      <c r="B532" s="316">
        <v>48964</v>
      </c>
      <c r="C532" s="315" t="s">
        <v>771</v>
      </c>
      <c r="D532" s="315" t="s">
        <v>848</v>
      </c>
      <c r="E532" s="315" t="s">
        <v>500</v>
      </c>
      <c r="F532" s="315" t="s">
        <v>1280</v>
      </c>
      <c r="G532" s="315" t="s">
        <v>634</v>
      </c>
      <c r="H532" s="315" t="s">
        <v>635</v>
      </c>
    </row>
    <row r="533" spans="1:8" x14ac:dyDescent="0.25">
      <c r="A533" s="316">
        <v>202</v>
      </c>
      <c r="B533" s="316">
        <v>144</v>
      </c>
      <c r="C533" s="315" t="s">
        <v>706</v>
      </c>
      <c r="D533" s="315" t="s">
        <v>799</v>
      </c>
      <c r="E533" s="315" t="s">
        <v>514</v>
      </c>
      <c r="F533" s="315" t="s">
        <v>1281</v>
      </c>
      <c r="G533" s="315" t="s">
        <v>634</v>
      </c>
      <c r="H533" s="315" t="s">
        <v>635</v>
      </c>
    </row>
    <row r="534" spans="1:8" x14ac:dyDescent="0.25">
      <c r="A534" s="316">
        <v>684</v>
      </c>
      <c r="B534" s="316">
        <v>63866</v>
      </c>
      <c r="C534" s="315" t="s">
        <v>706</v>
      </c>
      <c r="D534" s="315" t="s">
        <v>892</v>
      </c>
      <c r="E534" s="315" t="s">
        <v>368</v>
      </c>
      <c r="F534" s="315" t="s">
        <v>1282</v>
      </c>
      <c r="G534" s="315" t="s">
        <v>634</v>
      </c>
      <c r="H534" s="315" t="s">
        <v>644</v>
      </c>
    </row>
    <row r="535" spans="1:8" x14ac:dyDescent="0.25">
      <c r="A535" s="316">
        <v>1001</v>
      </c>
      <c r="B535" s="316">
        <v>35958</v>
      </c>
      <c r="C535" s="315" t="s">
        <v>771</v>
      </c>
      <c r="D535" s="315" t="s">
        <v>848</v>
      </c>
      <c r="E535" s="315" t="s">
        <v>500</v>
      </c>
      <c r="F535" s="315" t="s">
        <v>1283</v>
      </c>
      <c r="G535" s="315" t="s">
        <v>634</v>
      </c>
      <c r="H535" s="315" t="s">
        <v>687</v>
      </c>
    </row>
    <row r="536" spans="1:8" x14ac:dyDescent="0.25">
      <c r="A536" s="316">
        <v>133</v>
      </c>
      <c r="B536" s="316">
        <v>48681</v>
      </c>
      <c r="C536" s="315" t="s">
        <v>706</v>
      </c>
      <c r="D536" s="315" t="s">
        <v>878</v>
      </c>
      <c r="E536" s="315" t="s">
        <v>444</v>
      </c>
      <c r="F536" s="315" t="s">
        <v>1284</v>
      </c>
      <c r="G536" s="315" t="s">
        <v>634</v>
      </c>
      <c r="H536" s="315" t="s">
        <v>635</v>
      </c>
    </row>
    <row r="537" spans="1:8" x14ac:dyDescent="0.25">
      <c r="A537" s="316">
        <v>267</v>
      </c>
      <c r="B537" s="316">
        <v>51013</v>
      </c>
      <c r="C537" s="315" t="s">
        <v>706</v>
      </c>
      <c r="D537" s="315" t="s">
        <v>831</v>
      </c>
      <c r="E537" s="315" t="s">
        <v>578</v>
      </c>
      <c r="F537" s="315" t="s">
        <v>1285</v>
      </c>
      <c r="G537" s="315" t="s">
        <v>634</v>
      </c>
      <c r="H537" s="315" t="s">
        <v>635</v>
      </c>
    </row>
    <row r="538" spans="1:8" x14ac:dyDescent="0.25">
      <c r="A538" s="316">
        <v>619</v>
      </c>
      <c r="B538" s="316">
        <v>63949</v>
      </c>
      <c r="C538" s="315" t="s">
        <v>706</v>
      </c>
      <c r="D538" s="315" t="s">
        <v>707</v>
      </c>
      <c r="E538" s="315" t="s">
        <v>433</v>
      </c>
      <c r="F538" s="315" t="s">
        <v>1286</v>
      </c>
      <c r="G538" s="315" t="s">
        <v>634</v>
      </c>
      <c r="H538" s="315" t="s">
        <v>673</v>
      </c>
    </row>
    <row r="539" spans="1:8" x14ac:dyDescent="0.25">
      <c r="A539" s="316">
        <v>637</v>
      </c>
      <c r="B539" s="316">
        <v>54837</v>
      </c>
      <c r="C539" s="315" t="s">
        <v>706</v>
      </c>
      <c r="D539" s="315" t="s">
        <v>878</v>
      </c>
      <c r="E539" s="315" t="s">
        <v>444</v>
      </c>
      <c r="F539" s="315" t="s">
        <v>1287</v>
      </c>
      <c r="G539" s="315" t="s">
        <v>634</v>
      </c>
      <c r="H539" s="315" t="s">
        <v>649</v>
      </c>
    </row>
    <row r="540" spans="1:8" x14ac:dyDescent="0.25">
      <c r="A540" s="316">
        <v>781</v>
      </c>
      <c r="B540" s="316">
        <v>46125</v>
      </c>
      <c r="C540" s="315" t="s">
        <v>706</v>
      </c>
      <c r="D540" s="315" t="s">
        <v>707</v>
      </c>
      <c r="E540" s="315" t="s">
        <v>472</v>
      </c>
      <c r="F540" s="315" t="s">
        <v>1288</v>
      </c>
      <c r="G540" s="315" t="s">
        <v>634</v>
      </c>
      <c r="H540" s="315" t="s">
        <v>635</v>
      </c>
    </row>
    <row r="541" spans="1:8" x14ac:dyDescent="0.25">
      <c r="A541" s="316">
        <v>124</v>
      </c>
      <c r="B541" s="316">
        <v>48941</v>
      </c>
      <c r="C541" s="315" t="s">
        <v>706</v>
      </c>
      <c r="D541" s="315" t="s">
        <v>707</v>
      </c>
      <c r="E541" s="315" t="s">
        <v>433</v>
      </c>
      <c r="F541" s="315" t="s">
        <v>1289</v>
      </c>
      <c r="G541" s="315" t="s">
        <v>634</v>
      </c>
      <c r="H541" s="315" t="s">
        <v>635</v>
      </c>
    </row>
    <row r="542" spans="1:8" x14ac:dyDescent="0.25">
      <c r="A542" s="316">
        <v>698</v>
      </c>
      <c r="B542" s="316">
        <v>64148</v>
      </c>
      <c r="C542" s="315" t="s">
        <v>706</v>
      </c>
      <c r="D542" s="315" t="s">
        <v>707</v>
      </c>
      <c r="E542" s="315" t="s">
        <v>433</v>
      </c>
      <c r="F542" s="315" t="s">
        <v>1290</v>
      </c>
      <c r="G542" s="315" t="s">
        <v>634</v>
      </c>
      <c r="H542" s="315" t="s">
        <v>665</v>
      </c>
    </row>
    <row r="543" spans="1:8" x14ac:dyDescent="0.25">
      <c r="A543" s="316">
        <v>7</v>
      </c>
      <c r="B543" s="316">
        <v>310</v>
      </c>
      <c r="C543" s="315" t="s">
        <v>706</v>
      </c>
      <c r="D543" s="315" t="s">
        <v>707</v>
      </c>
      <c r="E543" s="315" t="s">
        <v>315</v>
      </c>
      <c r="F543" s="315" t="s">
        <v>1291</v>
      </c>
      <c r="G543" s="315" t="s">
        <v>634</v>
      </c>
      <c r="H543" s="315" t="s">
        <v>635</v>
      </c>
    </row>
    <row r="544" spans="1:8" x14ac:dyDescent="0.25">
      <c r="A544" s="316">
        <v>36</v>
      </c>
      <c r="B544" s="316">
        <v>63841</v>
      </c>
      <c r="C544" s="315" t="s">
        <v>706</v>
      </c>
      <c r="D544" s="315" t="s">
        <v>1159</v>
      </c>
      <c r="E544" s="315" t="s">
        <v>346</v>
      </c>
      <c r="F544" s="315" t="s">
        <v>1292</v>
      </c>
      <c r="G544" s="315" t="s">
        <v>634</v>
      </c>
      <c r="H544" s="315" t="s">
        <v>635</v>
      </c>
    </row>
    <row r="545" spans="1:8" x14ac:dyDescent="0.25">
      <c r="A545" s="316">
        <v>107</v>
      </c>
      <c r="B545" s="316">
        <v>48940</v>
      </c>
      <c r="C545" s="315" t="s">
        <v>706</v>
      </c>
      <c r="D545" s="315" t="s">
        <v>831</v>
      </c>
      <c r="E545" s="315" t="s">
        <v>417</v>
      </c>
      <c r="F545" s="315" t="s">
        <v>1293</v>
      </c>
      <c r="G545" s="315" t="s">
        <v>634</v>
      </c>
      <c r="H545" s="315" t="s">
        <v>635</v>
      </c>
    </row>
    <row r="546" spans="1:8" x14ac:dyDescent="0.25">
      <c r="A546" s="316">
        <v>176</v>
      </c>
      <c r="B546" s="316">
        <v>64034</v>
      </c>
      <c r="C546" s="315" t="s">
        <v>640</v>
      </c>
      <c r="D546" s="315" t="s">
        <v>650</v>
      </c>
      <c r="E546" s="315" t="s">
        <v>487</v>
      </c>
      <c r="F546" s="315" t="s">
        <v>1294</v>
      </c>
      <c r="G546" s="315" t="s">
        <v>634</v>
      </c>
      <c r="H546" s="315" t="s">
        <v>635</v>
      </c>
    </row>
    <row r="547" spans="1:8" x14ac:dyDescent="0.25">
      <c r="A547" s="316">
        <v>829</v>
      </c>
      <c r="B547" s="316">
        <v>2</v>
      </c>
      <c r="C547" s="315" t="s">
        <v>728</v>
      </c>
      <c r="D547" s="315" t="s">
        <v>729</v>
      </c>
      <c r="E547" s="315" t="s">
        <v>547</v>
      </c>
      <c r="F547" s="315" t="s">
        <v>1295</v>
      </c>
      <c r="G547" s="315" t="s">
        <v>634</v>
      </c>
      <c r="H547" s="315" t="s">
        <v>795</v>
      </c>
    </row>
    <row r="548" spans="1:8" x14ac:dyDescent="0.25">
      <c r="A548" s="316">
        <v>121</v>
      </c>
      <c r="B548" s="316">
        <v>221</v>
      </c>
      <c r="C548" s="315" t="s">
        <v>679</v>
      </c>
      <c r="D548" s="315" t="s">
        <v>902</v>
      </c>
      <c r="E548" s="315" t="s">
        <v>430</v>
      </c>
      <c r="F548" s="315" t="s">
        <v>1296</v>
      </c>
      <c r="G548" s="315" t="s">
        <v>634</v>
      </c>
      <c r="H548" s="315" t="s">
        <v>635</v>
      </c>
    </row>
    <row r="549" spans="1:8" x14ac:dyDescent="0.25">
      <c r="A549" s="316">
        <v>234</v>
      </c>
      <c r="B549" s="316">
        <v>48665</v>
      </c>
      <c r="C549" s="315" t="s">
        <v>728</v>
      </c>
      <c r="D549" s="315" t="s">
        <v>729</v>
      </c>
      <c r="E549" s="315" t="s">
        <v>547</v>
      </c>
      <c r="F549" s="315" t="s">
        <v>1297</v>
      </c>
      <c r="G549" s="315" t="s">
        <v>634</v>
      </c>
      <c r="H549" s="315" t="s">
        <v>635</v>
      </c>
    </row>
    <row r="550" spans="1:8" x14ac:dyDescent="0.25">
      <c r="A550" s="316">
        <v>281</v>
      </c>
      <c r="B550" s="316">
        <v>48917</v>
      </c>
      <c r="C550" s="315" t="s">
        <v>706</v>
      </c>
      <c r="D550" s="315" t="s">
        <v>834</v>
      </c>
      <c r="E550" s="315" t="s">
        <v>593</v>
      </c>
      <c r="F550" s="315" t="s">
        <v>1298</v>
      </c>
      <c r="G550" s="315" t="s">
        <v>634</v>
      </c>
      <c r="H550" s="315" t="s">
        <v>635</v>
      </c>
    </row>
    <row r="551" spans="1:8" x14ac:dyDescent="0.25">
      <c r="A551" s="316">
        <v>695</v>
      </c>
      <c r="B551" s="316">
        <v>64023</v>
      </c>
      <c r="C551" s="315" t="s">
        <v>631</v>
      </c>
      <c r="D551" s="315" t="s">
        <v>804</v>
      </c>
      <c r="E551" s="315" t="s">
        <v>428</v>
      </c>
      <c r="F551" s="315" t="s">
        <v>1299</v>
      </c>
      <c r="G551" s="315" t="s">
        <v>634</v>
      </c>
      <c r="H551" s="315" t="s">
        <v>665</v>
      </c>
    </row>
    <row r="552" spans="1:8" x14ac:dyDescent="0.25">
      <c r="A552" s="316">
        <v>1012</v>
      </c>
      <c r="B552" s="316">
        <v>67903</v>
      </c>
      <c r="C552" s="315" t="s">
        <v>728</v>
      </c>
      <c r="D552" s="315" t="s">
        <v>852</v>
      </c>
      <c r="E552" s="315" t="s">
        <v>365</v>
      </c>
      <c r="F552" s="315" t="s">
        <v>1300</v>
      </c>
      <c r="G552" s="315" t="s">
        <v>634</v>
      </c>
      <c r="H552" s="315" t="s">
        <v>739</v>
      </c>
    </row>
    <row r="553" spans="1:8" x14ac:dyDescent="0.25">
      <c r="A553" s="316">
        <v>289</v>
      </c>
      <c r="B553" s="316">
        <v>48919</v>
      </c>
      <c r="C553" s="315" t="s">
        <v>706</v>
      </c>
      <c r="D553" s="315" t="s">
        <v>892</v>
      </c>
      <c r="E553" s="315" t="s">
        <v>601</v>
      </c>
      <c r="F553" s="315" t="s">
        <v>1301</v>
      </c>
      <c r="G553" s="315" t="s">
        <v>634</v>
      </c>
      <c r="H553" s="315" t="s">
        <v>635</v>
      </c>
    </row>
    <row r="554" spans="1:8" x14ac:dyDescent="0.25">
      <c r="A554" s="316">
        <v>762</v>
      </c>
      <c r="B554" s="316">
        <v>64242</v>
      </c>
      <c r="C554" s="315" t="s">
        <v>706</v>
      </c>
      <c r="D554" s="315" t="s">
        <v>892</v>
      </c>
      <c r="E554" s="315" t="s">
        <v>564</v>
      </c>
      <c r="F554" s="315" t="s">
        <v>1302</v>
      </c>
      <c r="G554" s="315" t="s">
        <v>634</v>
      </c>
      <c r="H554" s="315" t="s">
        <v>665</v>
      </c>
    </row>
    <row r="555" spans="1:8" x14ac:dyDescent="0.25">
      <c r="A555" s="316">
        <v>91</v>
      </c>
      <c r="B555" s="316">
        <v>49653</v>
      </c>
      <c r="C555" s="315" t="s">
        <v>718</v>
      </c>
      <c r="D555" s="315" t="s">
        <v>963</v>
      </c>
      <c r="E555" s="315" t="s">
        <v>402</v>
      </c>
      <c r="F555" s="315" t="s">
        <v>1303</v>
      </c>
      <c r="G555" s="315" t="s">
        <v>634</v>
      </c>
      <c r="H555" s="315" t="s">
        <v>635</v>
      </c>
    </row>
    <row r="556" spans="1:8" x14ac:dyDescent="0.25">
      <c r="A556" s="316">
        <v>95</v>
      </c>
      <c r="B556" s="316">
        <v>63901</v>
      </c>
      <c r="C556" s="315" t="s">
        <v>631</v>
      </c>
      <c r="D556" s="315" t="s">
        <v>742</v>
      </c>
      <c r="E556" s="315" t="s">
        <v>406</v>
      </c>
      <c r="F556" s="315" t="s">
        <v>1304</v>
      </c>
      <c r="G556" s="315" t="s">
        <v>634</v>
      </c>
      <c r="H556" s="315" t="s">
        <v>635</v>
      </c>
    </row>
    <row r="557" spans="1:8" x14ac:dyDescent="0.25">
      <c r="A557" s="316">
        <v>235</v>
      </c>
      <c r="B557" s="316">
        <v>152</v>
      </c>
      <c r="C557" s="315" t="s">
        <v>636</v>
      </c>
      <c r="D557" s="315" t="s">
        <v>637</v>
      </c>
      <c r="E557" s="315" t="s">
        <v>548</v>
      </c>
      <c r="F557" s="315" t="s">
        <v>1305</v>
      </c>
      <c r="G557" s="315" t="s">
        <v>634</v>
      </c>
      <c r="H557" s="315" t="s">
        <v>635</v>
      </c>
    </row>
    <row r="558" spans="1:8" x14ac:dyDescent="0.25">
      <c r="A558" s="316">
        <v>500</v>
      </c>
      <c r="B558" s="316">
        <v>64236</v>
      </c>
      <c r="C558" s="315" t="s">
        <v>636</v>
      </c>
      <c r="D558" s="315" t="s">
        <v>637</v>
      </c>
      <c r="E558" s="315" t="s">
        <v>548</v>
      </c>
      <c r="F558" s="315" t="s">
        <v>1306</v>
      </c>
      <c r="G558" s="315" t="s">
        <v>634</v>
      </c>
      <c r="H558" s="315" t="s">
        <v>644</v>
      </c>
    </row>
    <row r="559" spans="1:8" x14ac:dyDescent="0.25">
      <c r="A559" s="316">
        <v>680</v>
      </c>
      <c r="B559" s="316">
        <v>63838</v>
      </c>
      <c r="C559" s="315" t="s">
        <v>640</v>
      </c>
      <c r="D559" s="315" t="s">
        <v>663</v>
      </c>
      <c r="E559" s="315" t="s">
        <v>345</v>
      </c>
      <c r="F559" s="315" t="s">
        <v>1307</v>
      </c>
      <c r="G559" s="315" t="s">
        <v>744</v>
      </c>
      <c r="H559" s="315" t="s">
        <v>745</v>
      </c>
    </row>
    <row r="560" spans="1:8" x14ac:dyDescent="0.25">
      <c r="A560" s="316">
        <v>456</v>
      </c>
      <c r="B560" s="316">
        <v>64347</v>
      </c>
      <c r="C560" s="315" t="s">
        <v>631</v>
      </c>
      <c r="D560" s="315" t="s">
        <v>632</v>
      </c>
      <c r="E560" s="315" t="s">
        <v>585</v>
      </c>
      <c r="F560" s="315" t="s">
        <v>1308</v>
      </c>
      <c r="G560" s="315" t="s">
        <v>634</v>
      </c>
      <c r="H560" s="315" t="s">
        <v>1309</v>
      </c>
    </row>
    <row r="561" spans="1:8" x14ac:dyDescent="0.25">
      <c r="A561" s="316">
        <v>104</v>
      </c>
      <c r="B561" s="316">
        <v>48939</v>
      </c>
      <c r="C561" s="315" t="s">
        <v>706</v>
      </c>
      <c r="D561" s="315" t="s">
        <v>707</v>
      </c>
      <c r="E561" s="315" t="s">
        <v>414</v>
      </c>
      <c r="F561" s="315" t="s">
        <v>1310</v>
      </c>
      <c r="G561" s="315" t="s">
        <v>634</v>
      </c>
      <c r="H561" s="315" t="s">
        <v>635</v>
      </c>
    </row>
    <row r="562" spans="1:8" x14ac:dyDescent="0.25">
      <c r="A562" s="316">
        <v>357</v>
      </c>
      <c r="B562" s="316">
        <v>138</v>
      </c>
      <c r="C562" s="315" t="s">
        <v>728</v>
      </c>
      <c r="D562" s="315" t="s">
        <v>757</v>
      </c>
      <c r="E562" s="315" t="s">
        <v>521</v>
      </c>
      <c r="F562" s="315" t="s">
        <v>1311</v>
      </c>
      <c r="G562" s="315" t="s">
        <v>634</v>
      </c>
      <c r="H562" s="315" t="s">
        <v>665</v>
      </c>
    </row>
    <row r="563" spans="1:8" x14ac:dyDescent="0.25">
      <c r="A563" s="316">
        <v>968</v>
      </c>
      <c r="B563" s="316">
        <v>67663</v>
      </c>
      <c r="C563" s="315" t="s">
        <v>728</v>
      </c>
      <c r="D563" s="315" t="s">
        <v>886</v>
      </c>
      <c r="E563" s="315" t="s">
        <v>507</v>
      </c>
      <c r="F563" s="315" t="s">
        <v>1312</v>
      </c>
      <c r="G563" s="315" t="s">
        <v>634</v>
      </c>
      <c r="H563" s="315" t="s">
        <v>956</v>
      </c>
    </row>
    <row r="564" spans="1:8" x14ac:dyDescent="0.25">
      <c r="A564" s="316">
        <v>131</v>
      </c>
      <c r="B564" s="316">
        <v>219</v>
      </c>
      <c r="C564" s="315" t="s">
        <v>679</v>
      </c>
      <c r="D564" s="315" t="s">
        <v>859</v>
      </c>
      <c r="E564" s="315" t="s">
        <v>441</v>
      </c>
      <c r="F564" s="315" t="s">
        <v>1313</v>
      </c>
      <c r="G564" s="315" t="s">
        <v>634</v>
      </c>
      <c r="H564" s="315" t="s">
        <v>635</v>
      </c>
    </row>
    <row r="565" spans="1:8" x14ac:dyDescent="0.25">
      <c r="A565" s="316">
        <v>686</v>
      </c>
      <c r="B565" s="316">
        <v>63876</v>
      </c>
      <c r="C565" s="315" t="s">
        <v>636</v>
      </c>
      <c r="D565" s="315" t="s">
        <v>711</v>
      </c>
      <c r="E565" s="315" t="s">
        <v>386</v>
      </c>
      <c r="F565" s="315" t="s">
        <v>1314</v>
      </c>
      <c r="G565" s="315" t="s">
        <v>744</v>
      </c>
      <c r="H565" s="315" t="s">
        <v>745</v>
      </c>
    </row>
    <row r="566" spans="1:8" x14ac:dyDescent="0.25">
      <c r="A566" s="316">
        <v>886</v>
      </c>
      <c r="B566" s="316">
        <v>67173</v>
      </c>
      <c r="C566" s="315" t="s">
        <v>679</v>
      </c>
      <c r="D566" s="315" t="s">
        <v>704</v>
      </c>
      <c r="E566" s="315" t="s">
        <v>605</v>
      </c>
      <c r="F566" s="315" t="s">
        <v>1315</v>
      </c>
      <c r="G566" s="315" t="s">
        <v>744</v>
      </c>
      <c r="H566" s="315" t="s">
        <v>822</v>
      </c>
    </row>
    <row r="567" spans="1:8" x14ac:dyDescent="0.25">
      <c r="A567" s="316">
        <v>948</v>
      </c>
      <c r="B567" s="316">
        <v>67847</v>
      </c>
      <c r="C567" s="315" t="s">
        <v>640</v>
      </c>
      <c r="D567" s="315" t="s">
        <v>688</v>
      </c>
      <c r="E567" s="315" t="s">
        <v>358</v>
      </c>
      <c r="F567" s="315" t="s">
        <v>1316</v>
      </c>
      <c r="G567" s="315" t="s">
        <v>744</v>
      </c>
      <c r="H567" s="315" t="s">
        <v>745</v>
      </c>
    </row>
    <row r="568" spans="1:8" x14ac:dyDescent="0.25">
      <c r="A568" s="316">
        <v>1016</v>
      </c>
      <c r="B568" s="316">
        <v>67847</v>
      </c>
      <c r="C568" s="315" t="s">
        <v>640</v>
      </c>
      <c r="D568" s="315" t="s">
        <v>688</v>
      </c>
      <c r="E568" s="315" t="s">
        <v>358</v>
      </c>
      <c r="F568" s="315" t="s">
        <v>1317</v>
      </c>
      <c r="G568" s="315" t="s">
        <v>744</v>
      </c>
      <c r="H568" s="315" t="s">
        <v>745</v>
      </c>
    </row>
    <row r="569" spans="1:8" x14ac:dyDescent="0.25">
      <c r="A569" s="316">
        <v>782</v>
      </c>
      <c r="B569" s="316">
        <v>63982</v>
      </c>
      <c r="C569" s="315" t="s">
        <v>640</v>
      </c>
      <c r="D569" s="315" t="s">
        <v>641</v>
      </c>
      <c r="E569" s="315" t="s">
        <v>458</v>
      </c>
      <c r="F569" s="315" t="s">
        <v>1318</v>
      </c>
      <c r="G569" s="315" t="s">
        <v>634</v>
      </c>
      <c r="H569" s="315" t="s">
        <v>665</v>
      </c>
    </row>
    <row r="570" spans="1:8" x14ac:dyDescent="0.25">
      <c r="A570" s="316">
        <v>873</v>
      </c>
      <c r="B570" s="316">
        <v>67167</v>
      </c>
      <c r="C570" s="315" t="s">
        <v>640</v>
      </c>
      <c r="D570" s="315" t="s">
        <v>641</v>
      </c>
      <c r="E570" s="315" t="s">
        <v>458</v>
      </c>
      <c r="F570" s="315" t="s">
        <v>1319</v>
      </c>
      <c r="G570" s="315" t="s">
        <v>744</v>
      </c>
      <c r="H570" s="315" t="s">
        <v>745</v>
      </c>
    </row>
    <row r="571" spans="1:8" x14ac:dyDescent="0.25">
      <c r="A571" s="316">
        <v>898</v>
      </c>
      <c r="B571" s="316">
        <v>66275</v>
      </c>
      <c r="C571" s="315" t="s">
        <v>640</v>
      </c>
      <c r="D571" s="315" t="s">
        <v>688</v>
      </c>
      <c r="E571" s="315" t="s">
        <v>358</v>
      </c>
      <c r="F571" s="315" t="s">
        <v>1320</v>
      </c>
      <c r="G571" s="315" t="s">
        <v>744</v>
      </c>
      <c r="H571" s="315" t="s">
        <v>745</v>
      </c>
    </row>
    <row r="572" spans="1:8" x14ac:dyDescent="0.25">
      <c r="A572" s="316">
        <v>56</v>
      </c>
      <c r="B572" s="316">
        <v>45779</v>
      </c>
      <c r="C572" s="315" t="s">
        <v>645</v>
      </c>
      <c r="D572" s="315" t="s">
        <v>1105</v>
      </c>
      <c r="E572" s="315" t="s">
        <v>367</v>
      </c>
      <c r="F572" s="315" t="s">
        <v>1321</v>
      </c>
      <c r="G572" s="315" t="s">
        <v>634</v>
      </c>
      <c r="H572" s="315" t="s">
        <v>635</v>
      </c>
    </row>
    <row r="573" spans="1:8" x14ac:dyDescent="0.25">
      <c r="A573" s="316">
        <v>69</v>
      </c>
      <c r="B573" s="316">
        <v>63877</v>
      </c>
      <c r="C573" s="315" t="s">
        <v>728</v>
      </c>
      <c r="D573" s="315" t="s">
        <v>729</v>
      </c>
      <c r="E573" s="315" t="s">
        <v>380</v>
      </c>
      <c r="F573" s="315" t="s">
        <v>1322</v>
      </c>
      <c r="G573" s="315" t="s">
        <v>634</v>
      </c>
      <c r="H573" s="315" t="s">
        <v>635</v>
      </c>
    </row>
    <row r="574" spans="1:8" x14ac:dyDescent="0.25">
      <c r="A574" s="316">
        <v>87</v>
      </c>
      <c r="B574" s="316">
        <v>236</v>
      </c>
      <c r="C574" s="315" t="s">
        <v>640</v>
      </c>
      <c r="D574" s="315" t="s">
        <v>666</v>
      </c>
      <c r="E574" s="315" t="s">
        <v>398</v>
      </c>
      <c r="F574" s="315" t="s">
        <v>1323</v>
      </c>
      <c r="G574" s="315" t="s">
        <v>634</v>
      </c>
      <c r="H574" s="315" t="s">
        <v>635</v>
      </c>
    </row>
    <row r="575" spans="1:8" x14ac:dyDescent="0.25">
      <c r="A575" s="316">
        <v>226</v>
      </c>
      <c r="B575" s="316">
        <v>51963</v>
      </c>
      <c r="C575" s="315" t="s">
        <v>645</v>
      </c>
      <c r="D575" s="315" t="s">
        <v>659</v>
      </c>
      <c r="E575" s="315" t="s">
        <v>539</v>
      </c>
      <c r="F575" s="315" t="s">
        <v>1324</v>
      </c>
      <c r="G575" s="315" t="s">
        <v>634</v>
      </c>
      <c r="H575" s="315" t="s">
        <v>635</v>
      </c>
    </row>
    <row r="576" spans="1:8" x14ac:dyDescent="0.25">
      <c r="A576" s="316">
        <v>911</v>
      </c>
      <c r="B576" s="316">
        <v>66191</v>
      </c>
      <c r="C576" s="315" t="s">
        <v>728</v>
      </c>
      <c r="D576" s="315" t="s">
        <v>729</v>
      </c>
      <c r="E576" s="315" t="s">
        <v>380</v>
      </c>
      <c r="F576" s="315" t="s">
        <v>1325</v>
      </c>
      <c r="G576" s="315" t="s">
        <v>634</v>
      </c>
      <c r="H576" s="315" t="s">
        <v>665</v>
      </c>
    </row>
    <row r="577" spans="1:8" x14ac:dyDescent="0.25">
      <c r="A577" s="316">
        <v>915</v>
      </c>
      <c r="B577" s="316">
        <v>66192</v>
      </c>
      <c r="C577" s="315" t="s">
        <v>728</v>
      </c>
      <c r="D577" s="315" t="s">
        <v>729</v>
      </c>
      <c r="E577" s="315" t="s">
        <v>380</v>
      </c>
      <c r="F577" s="315" t="s">
        <v>1326</v>
      </c>
      <c r="G577" s="315" t="s">
        <v>744</v>
      </c>
      <c r="H577" s="315" t="s">
        <v>1327</v>
      </c>
    </row>
    <row r="578" spans="1:8" x14ac:dyDescent="0.25">
      <c r="A578" s="316">
        <v>20</v>
      </c>
      <c r="B578" s="316">
        <v>61</v>
      </c>
      <c r="C578" s="315" t="s">
        <v>728</v>
      </c>
      <c r="D578" s="315" t="s">
        <v>729</v>
      </c>
      <c r="E578" s="315" t="s">
        <v>330</v>
      </c>
      <c r="F578" s="315" t="s">
        <v>1328</v>
      </c>
      <c r="G578" s="315" t="s">
        <v>634</v>
      </c>
      <c r="H578" s="315" t="s">
        <v>635</v>
      </c>
    </row>
    <row r="579" spans="1:8" x14ac:dyDescent="0.25">
      <c r="A579" s="316">
        <v>35</v>
      </c>
      <c r="B579" s="316">
        <v>155</v>
      </c>
      <c r="C579" s="315" t="s">
        <v>640</v>
      </c>
      <c r="D579" s="315" t="s">
        <v>663</v>
      </c>
      <c r="E579" s="315" t="s">
        <v>345</v>
      </c>
      <c r="F579" s="315" t="s">
        <v>1329</v>
      </c>
      <c r="G579" s="315" t="s">
        <v>634</v>
      </c>
      <c r="H579" s="315" t="s">
        <v>635</v>
      </c>
    </row>
    <row r="580" spans="1:8" x14ac:dyDescent="0.25">
      <c r="A580" s="316">
        <v>67</v>
      </c>
      <c r="B580" s="316">
        <v>241</v>
      </c>
      <c r="C580" s="315" t="s">
        <v>631</v>
      </c>
      <c r="D580" s="315" t="s">
        <v>804</v>
      </c>
      <c r="E580" s="315" t="s">
        <v>378</v>
      </c>
      <c r="F580" s="315" t="s">
        <v>1330</v>
      </c>
      <c r="G580" s="315" t="s">
        <v>634</v>
      </c>
      <c r="H580" s="315" t="s">
        <v>635</v>
      </c>
    </row>
    <row r="581" spans="1:8" x14ac:dyDescent="0.25">
      <c r="A581" s="316">
        <v>127</v>
      </c>
      <c r="B581" s="316">
        <v>11532</v>
      </c>
      <c r="C581" s="315" t="s">
        <v>761</v>
      </c>
      <c r="D581" s="315" t="s">
        <v>942</v>
      </c>
      <c r="E581" s="315" t="s">
        <v>437</v>
      </c>
      <c r="F581" s="315" t="s">
        <v>1331</v>
      </c>
      <c r="G581" s="315" t="s">
        <v>634</v>
      </c>
      <c r="H581" s="315" t="s">
        <v>635</v>
      </c>
    </row>
    <row r="582" spans="1:8" x14ac:dyDescent="0.25">
      <c r="A582" s="316">
        <v>363</v>
      </c>
      <c r="B582" s="316">
        <v>64022</v>
      </c>
      <c r="C582" s="315" t="s">
        <v>679</v>
      </c>
      <c r="D582" s="315" t="s">
        <v>859</v>
      </c>
      <c r="E582" s="315" t="s">
        <v>561</v>
      </c>
      <c r="F582" s="315" t="s">
        <v>1332</v>
      </c>
      <c r="G582" s="315" t="s">
        <v>634</v>
      </c>
      <c r="H582" s="315" t="s">
        <v>635</v>
      </c>
    </row>
    <row r="583" spans="1:8" x14ac:dyDescent="0.25">
      <c r="A583" s="316">
        <v>404</v>
      </c>
      <c r="B583" s="316">
        <v>67349</v>
      </c>
      <c r="C583" s="315" t="s">
        <v>631</v>
      </c>
      <c r="D583" s="315" t="s">
        <v>661</v>
      </c>
      <c r="E583" s="315" t="s">
        <v>498</v>
      </c>
      <c r="F583" s="315" t="s">
        <v>1333</v>
      </c>
      <c r="G583" s="315" t="s">
        <v>744</v>
      </c>
      <c r="H583" s="315" t="s">
        <v>822</v>
      </c>
    </row>
    <row r="584" spans="1:8" x14ac:dyDescent="0.25">
      <c r="A584" s="316">
        <v>763</v>
      </c>
      <c r="B584" s="316">
        <v>64291</v>
      </c>
      <c r="C584" s="315" t="s">
        <v>761</v>
      </c>
      <c r="D584" s="315" t="s">
        <v>762</v>
      </c>
      <c r="E584" s="315" t="s">
        <v>572</v>
      </c>
      <c r="F584" s="315" t="s">
        <v>1334</v>
      </c>
      <c r="G584" s="315" t="s">
        <v>634</v>
      </c>
      <c r="H584" s="315" t="s">
        <v>819</v>
      </c>
    </row>
    <row r="585" spans="1:8" x14ac:dyDescent="0.25">
      <c r="A585" s="316">
        <v>959</v>
      </c>
      <c r="B585" s="316">
        <v>13842</v>
      </c>
      <c r="C585" s="315" t="s">
        <v>645</v>
      </c>
      <c r="D585" s="315" t="s">
        <v>646</v>
      </c>
      <c r="E585" s="315" t="s">
        <v>401</v>
      </c>
      <c r="F585" s="315" t="s">
        <v>1335</v>
      </c>
      <c r="G585" s="315" t="s">
        <v>744</v>
      </c>
      <c r="H585" s="315" t="s">
        <v>752</v>
      </c>
    </row>
    <row r="586" spans="1:8" x14ac:dyDescent="0.25">
      <c r="A586" s="316">
        <v>998</v>
      </c>
      <c r="B586" s="316">
        <v>13626</v>
      </c>
      <c r="C586" s="315" t="s">
        <v>706</v>
      </c>
      <c r="D586" s="315" t="s">
        <v>834</v>
      </c>
      <c r="E586" s="315" t="s">
        <v>594</v>
      </c>
      <c r="F586" s="315" t="s">
        <v>1336</v>
      </c>
      <c r="G586" s="315" t="s">
        <v>744</v>
      </c>
      <c r="H586" s="315" t="s">
        <v>752</v>
      </c>
    </row>
    <row r="587" spans="1:8" x14ac:dyDescent="0.25">
      <c r="A587" s="316">
        <v>3</v>
      </c>
      <c r="B587" s="316">
        <v>307</v>
      </c>
      <c r="C587" s="315" t="s">
        <v>640</v>
      </c>
      <c r="D587" s="315" t="s">
        <v>657</v>
      </c>
      <c r="E587" s="315" t="s">
        <v>311</v>
      </c>
      <c r="F587" s="315" t="s">
        <v>1337</v>
      </c>
      <c r="G587" s="315" t="s">
        <v>634</v>
      </c>
      <c r="H587" s="315" t="s">
        <v>635</v>
      </c>
    </row>
    <row r="588" spans="1:8" x14ac:dyDescent="0.25">
      <c r="A588" s="316">
        <v>39</v>
      </c>
      <c r="B588" s="316">
        <v>63842</v>
      </c>
      <c r="C588" s="315" t="s">
        <v>679</v>
      </c>
      <c r="D588" s="315" t="s">
        <v>859</v>
      </c>
      <c r="E588" s="315" t="s">
        <v>350</v>
      </c>
      <c r="F588" s="315" t="s">
        <v>1338</v>
      </c>
      <c r="G588" s="315" t="s">
        <v>634</v>
      </c>
      <c r="H588" s="315" t="s">
        <v>635</v>
      </c>
    </row>
    <row r="589" spans="1:8" x14ac:dyDescent="0.25">
      <c r="A589" s="316">
        <v>137</v>
      </c>
      <c r="B589" s="316">
        <v>48683</v>
      </c>
      <c r="C589" s="315" t="s">
        <v>718</v>
      </c>
      <c r="D589" s="315" t="s">
        <v>895</v>
      </c>
      <c r="E589" s="315" t="s">
        <v>448</v>
      </c>
      <c r="F589" s="315" t="s">
        <v>1339</v>
      </c>
      <c r="G589" s="315" t="s">
        <v>634</v>
      </c>
      <c r="H589" s="315" t="s">
        <v>635</v>
      </c>
    </row>
    <row r="590" spans="1:8" x14ac:dyDescent="0.25">
      <c r="A590" s="316">
        <v>178</v>
      </c>
      <c r="B590" s="316">
        <v>64012</v>
      </c>
      <c r="C590" s="315" t="s">
        <v>645</v>
      </c>
      <c r="D590" s="315" t="s">
        <v>659</v>
      </c>
      <c r="E590" s="315" t="s">
        <v>490</v>
      </c>
      <c r="F590" s="315" t="s">
        <v>1340</v>
      </c>
      <c r="G590" s="315" t="s">
        <v>634</v>
      </c>
      <c r="H590" s="315" t="s">
        <v>635</v>
      </c>
    </row>
    <row r="591" spans="1:8" x14ac:dyDescent="0.25">
      <c r="A591" s="316">
        <v>186</v>
      </c>
      <c r="B591" s="316">
        <v>244</v>
      </c>
      <c r="C591" s="315" t="s">
        <v>631</v>
      </c>
      <c r="D591" s="315" t="s">
        <v>661</v>
      </c>
      <c r="E591" s="315" t="s">
        <v>498</v>
      </c>
      <c r="F591" s="315" t="s">
        <v>1341</v>
      </c>
      <c r="G591" s="315" t="s">
        <v>634</v>
      </c>
      <c r="H591" s="315" t="s">
        <v>635</v>
      </c>
    </row>
    <row r="592" spans="1:8" x14ac:dyDescent="0.25">
      <c r="A592" s="316">
        <v>201</v>
      </c>
      <c r="B592" s="316">
        <v>48951</v>
      </c>
      <c r="C592" s="315" t="s">
        <v>771</v>
      </c>
      <c r="D592" s="315" t="s">
        <v>836</v>
      </c>
      <c r="E592" s="315" t="s">
        <v>513</v>
      </c>
      <c r="F592" s="315" t="s">
        <v>1342</v>
      </c>
      <c r="G592" s="315" t="s">
        <v>634</v>
      </c>
      <c r="H592" s="315" t="s">
        <v>635</v>
      </c>
    </row>
    <row r="593" spans="1:8" x14ac:dyDescent="0.25">
      <c r="A593" s="316">
        <v>221</v>
      </c>
      <c r="B593" s="316">
        <v>272</v>
      </c>
      <c r="C593" s="315" t="s">
        <v>636</v>
      </c>
      <c r="D593" s="315" t="s">
        <v>713</v>
      </c>
      <c r="E593" s="315" t="s">
        <v>534</v>
      </c>
      <c r="F593" s="315" t="s">
        <v>1343</v>
      </c>
      <c r="G593" s="315" t="s">
        <v>634</v>
      </c>
      <c r="H593" s="315" t="s">
        <v>635</v>
      </c>
    </row>
    <row r="594" spans="1:8" x14ac:dyDescent="0.25">
      <c r="A594" s="316">
        <v>344</v>
      </c>
      <c r="B594" s="316">
        <v>64299</v>
      </c>
      <c r="C594" s="315" t="s">
        <v>679</v>
      </c>
      <c r="D594" s="315" t="s">
        <v>680</v>
      </c>
      <c r="E594" s="315" t="s">
        <v>560</v>
      </c>
      <c r="F594" s="315" t="s">
        <v>1344</v>
      </c>
      <c r="G594" s="315" t="s">
        <v>634</v>
      </c>
      <c r="H594" s="315" t="s">
        <v>673</v>
      </c>
    </row>
    <row r="595" spans="1:8" x14ac:dyDescent="0.25">
      <c r="A595" s="316">
        <v>370</v>
      </c>
      <c r="B595" s="316">
        <v>63957</v>
      </c>
      <c r="C595" s="315" t="s">
        <v>631</v>
      </c>
      <c r="D595" s="315" t="s">
        <v>742</v>
      </c>
      <c r="E595" s="315" t="s">
        <v>435</v>
      </c>
      <c r="F595" s="315" t="s">
        <v>1345</v>
      </c>
      <c r="G595" s="315" t="s">
        <v>634</v>
      </c>
      <c r="H595" s="315" t="s">
        <v>635</v>
      </c>
    </row>
    <row r="596" spans="1:8" x14ac:dyDescent="0.25">
      <c r="A596" s="316">
        <v>403</v>
      </c>
      <c r="B596" s="316">
        <v>67350</v>
      </c>
      <c r="C596" s="315" t="s">
        <v>631</v>
      </c>
      <c r="D596" s="315" t="s">
        <v>661</v>
      </c>
      <c r="E596" s="315" t="s">
        <v>498</v>
      </c>
      <c r="F596" s="315" t="s">
        <v>1346</v>
      </c>
      <c r="G596" s="315" t="s">
        <v>634</v>
      </c>
      <c r="H596" s="315" t="s">
        <v>1347</v>
      </c>
    </row>
    <row r="597" spans="1:8" x14ac:dyDescent="0.25">
      <c r="A597" s="316">
        <v>415</v>
      </c>
      <c r="B597" s="316">
        <v>63754</v>
      </c>
      <c r="C597" s="315" t="s">
        <v>640</v>
      </c>
      <c r="D597" s="315" t="s">
        <v>657</v>
      </c>
      <c r="E597" s="315" t="s">
        <v>311</v>
      </c>
      <c r="F597" s="315" t="s">
        <v>1348</v>
      </c>
      <c r="G597" s="315" t="s">
        <v>634</v>
      </c>
      <c r="H597" s="315" t="s">
        <v>644</v>
      </c>
    </row>
    <row r="598" spans="1:8" x14ac:dyDescent="0.25">
      <c r="A598" s="316">
        <v>425</v>
      </c>
      <c r="B598" s="316">
        <v>64183</v>
      </c>
      <c r="C598" s="315" t="s">
        <v>645</v>
      </c>
      <c r="D598" s="315" t="s">
        <v>786</v>
      </c>
      <c r="E598" s="315" t="s">
        <v>496</v>
      </c>
      <c r="F598" s="315" t="s">
        <v>1349</v>
      </c>
      <c r="G598" s="315" t="s">
        <v>676</v>
      </c>
      <c r="H598" s="315" t="s">
        <v>677</v>
      </c>
    </row>
    <row r="599" spans="1:8" x14ac:dyDescent="0.25">
      <c r="A599" s="316">
        <v>449</v>
      </c>
      <c r="B599" s="316">
        <v>64135</v>
      </c>
      <c r="C599" s="315" t="s">
        <v>771</v>
      </c>
      <c r="D599" s="315" t="s">
        <v>776</v>
      </c>
      <c r="E599" s="315" t="s">
        <v>337</v>
      </c>
      <c r="F599" s="315" t="s">
        <v>1350</v>
      </c>
      <c r="G599" s="315" t="s">
        <v>634</v>
      </c>
      <c r="H599" s="315" t="s">
        <v>990</v>
      </c>
    </row>
    <row r="600" spans="1:8" x14ac:dyDescent="0.25">
      <c r="A600" s="316">
        <v>512</v>
      </c>
      <c r="B600" s="316">
        <v>64315</v>
      </c>
      <c r="C600" s="315" t="s">
        <v>631</v>
      </c>
      <c r="D600" s="315" t="s">
        <v>632</v>
      </c>
      <c r="E600" s="315" t="s">
        <v>585</v>
      </c>
      <c r="F600" s="315" t="s">
        <v>1351</v>
      </c>
      <c r="G600" s="315" t="s">
        <v>634</v>
      </c>
      <c r="H600" s="315" t="s">
        <v>635</v>
      </c>
    </row>
    <row r="601" spans="1:8" x14ac:dyDescent="0.25">
      <c r="A601" s="316">
        <v>514</v>
      </c>
      <c r="B601" s="316">
        <v>64136</v>
      </c>
      <c r="C601" s="315" t="s">
        <v>771</v>
      </c>
      <c r="D601" s="315" t="s">
        <v>776</v>
      </c>
      <c r="E601" s="315" t="s">
        <v>337</v>
      </c>
      <c r="F601" s="315" t="s">
        <v>1352</v>
      </c>
      <c r="G601" s="315" t="s">
        <v>634</v>
      </c>
      <c r="H601" s="315" t="s">
        <v>1141</v>
      </c>
    </row>
    <row r="602" spans="1:8" x14ac:dyDescent="0.25">
      <c r="A602" s="316">
        <v>565</v>
      </c>
      <c r="B602" s="316">
        <v>64225</v>
      </c>
      <c r="C602" s="315" t="s">
        <v>771</v>
      </c>
      <c r="D602" s="315" t="s">
        <v>836</v>
      </c>
      <c r="E602" s="315" t="s">
        <v>513</v>
      </c>
      <c r="F602" s="315" t="s">
        <v>1353</v>
      </c>
      <c r="G602" s="315" t="s">
        <v>1038</v>
      </c>
      <c r="H602" s="315" t="s">
        <v>1039</v>
      </c>
    </row>
    <row r="603" spans="1:8" x14ac:dyDescent="0.25">
      <c r="A603" s="316">
        <v>566</v>
      </c>
      <c r="B603" s="316">
        <v>26510</v>
      </c>
      <c r="C603" s="315" t="s">
        <v>771</v>
      </c>
      <c r="D603" s="315" t="s">
        <v>776</v>
      </c>
      <c r="E603" s="315" t="s">
        <v>337</v>
      </c>
      <c r="F603" s="315" t="s">
        <v>1354</v>
      </c>
      <c r="G603" s="315" t="s">
        <v>634</v>
      </c>
      <c r="H603" s="315" t="s">
        <v>819</v>
      </c>
    </row>
    <row r="604" spans="1:8" x14ac:dyDescent="0.25">
      <c r="A604" s="316">
        <v>594</v>
      </c>
      <c r="B604" s="316">
        <v>45871</v>
      </c>
      <c r="C604" s="315" t="s">
        <v>771</v>
      </c>
      <c r="D604" s="315" t="s">
        <v>836</v>
      </c>
      <c r="E604" s="315" t="s">
        <v>513</v>
      </c>
      <c r="F604" s="315" t="s">
        <v>1355</v>
      </c>
      <c r="G604" s="315" t="s">
        <v>634</v>
      </c>
      <c r="H604" s="315" t="s">
        <v>795</v>
      </c>
    </row>
    <row r="605" spans="1:8" x14ac:dyDescent="0.25">
      <c r="A605" s="316">
        <v>602</v>
      </c>
      <c r="B605" s="316">
        <v>64243</v>
      </c>
      <c r="C605" s="315" t="s">
        <v>679</v>
      </c>
      <c r="D605" s="315" t="s">
        <v>680</v>
      </c>
      <c r="E605" s="315" t="s">
        <v>560</v>
      </c>
      <c r="F605" s="315" t="s">
        <v>1356</v>
      </c>
      <c r="G605" s="315" t="s">
        <v>634</v>
      </c>
      <c r="H605" s="315" t="s">
        <v>665</v>
      </c>
    </row>
    <row r="606" spans="1:8" x14ac:dyDescent="0.25">
      <c r="A606" s="316">
        <v>627</v>
      </c>
      <c r="B606" s="316">
        <v>63995</v>
      </c>
      <c r="C606" s="315" t="s">
        <v>718</v>
      </c>
      <c r="D606" s="315" t="s">
        <v>895</v>
      </c>
      <c r="E606" s="315" t="s">
        <v>448</v>
      </c>
      <c r="F606" s="315" t="s">
        <v>1357</v>
      </c>
      <c r="G606" s="315" t="s">
        <v>634</v>
      </c>
      <c r="H606" s="315" t="s">
        <v>644</v>
      </c>
    </row>
    <row r="607" spans="1:8" x14ac:dyDescent="0.25">
      <c r="A607" s="316">
        <v>699</v>
      </c>
      <c r="B607" s="316">
        <v>63958</v>
      </c>
      <c r="C607" s="315" t="s">
        <v>631</v>
      </c>
      <c r="D607" s="315" t="s">
        <v>742</v>
      </c>
      <c r="E607" s="315" t="s">
        <v>435</v>
      </c>
      <c r="F607" s="315" t="s">
        <v>1358</v>
      </c>
      <c r="G607" s="315" t="s">
        <v>676</v>
      </c>
      <c r="H607" s="315" t="s">
        <v>677</v>
      </c>
    </row>
    <row r="608" spans="1:8" x14ac:dyDescent="0.25">
      <c r="A608" s="316">
        <v>701</v>
      </c>
      <c r="B608" s="316">
        <v>63991</v>
      </c>
      <c r="C608" s="315" t="s">
        <v>718</v>
      </c>
      <c r="D608" s="315" t="s">
        <v>895</v>
      </c>
      <c r="E608" s="315" t="s">
        <v>448</v>
      </c>
      <c r="F608" s="315" t="s">
        <v>1359</v>
      </c>
      <c r="G608" s="315" t="s">
        <v>634</v>
      </c>
      <c r="H608" s="315" t="s">
        <v>665</v>
      </c>
    </row>
    <row r="609" spans="1:8" x14ac:dyDescent="0.25">
      <c r="A609" s="316">
        <v>715</v>
      </c>
      <c r="B609" s="316">
        <v>64169</v>
      </c>
      <c r="C609" s="315" t="s">
        <v>631</v>
      </c>
      <c r="D609" s="315" t="s">
        <v>661</v>
      </c>
      <c r="E609" s="315" t="s">
        <v>498</v>
      </c>
      <c r="F609" s="315" t="s">
        <v>1360</v>
      </c>
      <c r="G609" s="315" t="s">
        <v>634</v>
      </c>
      <c r="H609" s="315" t="s">
        <v>665</v>
      </c>
    </row>
    <row r="610" spans="1:8" x14ac:dyDescent="0.25">
      <c r="A610" s="316">
        <v>909</v>
      </c>
      <c r="B610" s="316">
        <v>24461</v>
      </c>
      <c r="C610" s="315" t="s">
        <v>636</v>
      </c>
      <c r="D610" s="315" t="s">
        <v>713</v>
      </c>
      <c r="E610" s="315" t="s">
        <v>534</v>
      </c>
      <c r="F610" s="315" t="s">
        <v>1361</v>
      </c>
      <c r="G610" s="315" t="s">
        <v>634</v>
      </c>
      <c r="H610" s="315" t="s">
        <v>795</v>
      </c>
    </row>
    <row r="611" spans="1:8" x14ac:dyDescent="0.25">
      <c r="A611" s="316">
        <v>943</v>
      </c>
      <c r="B611" s="316">
        <v>67846</v>
      </c>
      <c r="C611" s="315" t="s">
        <v>771</v>
      </c>
      <c r="D611" s="315" t="s">
        <v>776</v>
      </c>
      <c r="E611" s="315" t="s">
        <v>337</v>
      </c>
      <c r="F611" s="315" t="s">
        <v>1362</v>
      </c>
      <c r="G611" s="315" t="s">
        <v>744</v>
      </c>
      <c r="H611" s="315" t="s">
        <v>822</v>
      </c>
    </row>
    <row r="612" spans="1:8" x14ac:dyDescent="0.25">
      <c r="A612" s="316">
        <v>949</v>
      </c>
      <c r="B612" s="316">
        <v>67869</v>
      </c>
      <c r="C612" s="315" t="s">
        <v>640</v>
      </c>
      <c r="D612" s="315" t="s">
        <v>688</v>
      </c>
      <c r="E612" s="315" t="s">
        <v>358</v>
      </c>
      <c r="F612" s="315" t="s">
        <v>1363</v>
      </c>
      <c r="G612" s="315" t="s">
        <v>744</v>
      </c>
      <c r="H612" s="315" t="s">
        <v>745</v>
      </c>
    </row>
    <row r="613" spans="1:8" x14ac:dyDescent="0.25">
      <c r="A613" s="316">
        <v>966</v>
      </c>
      <c r="B613" s="316">
        <v>47532</v>
      </c>
      <c r="C613" s="315" t="s">
        <v>631</v>
      </c>
      <c r="D613" s="315" t="s">
        <v>661</v>
      </c>
      <c r="E613" s="315" t="s">
        <v>498</v>
      </c>
      <c r="F613" s="315" t="s">
        <v>1364</v>
      </c>
      <c r="G613" s="315" t="s">
        <v>744</v>
      </c>
      <c r="H613" s="315" t="s">
        <v>949</v>
      </c>
    </row>
    <row r="614" spans="1:8" x14ac:dyDescent="0.25">
      <c r="A614" s="316">
        <v>1005</v>
      </c>
      <c r="B614" s="316">
        <v>67686</v>
      </c>
      <c r="C614" s="315" t="s">
        <v>771</v>
      </c>
      <c r="D614" s="315" t="s">
        <v>776</v>
      </c>
      <c r="E614" s="315" t="s">
        <v>337</v>
      </c>
      <c r="F614" s="315" t="s">
        <v>1365</v>
      </c>
      <c r="G614" s="315" t="s">
        <v>744</v>
      </c>
      <c r="H614" s="315" t="s">
        <v>822</v>
      </c>
    </row>
    <row r="615" spans="1:8" x14ac:dyDescent="0.25">
      <c r="A615" s="316">
        <v>1006</v>
      </c>
      <c r="B615" s="316">
        <v>68063</v>
      </c>
      <c r="C615" s="315" t="s">
        <v>771</v>
      </c>
      <c r="D615" s="315" t="s">
        <v>776</v>
      </c>
      <c r="E615" s="315" t="s">
        <v>337</v>
      </c>
      <c r="F615" s="315" t="s">
        <v>1366</v>
      </c>
      <c r="G615" s="315" t="s">
        <v>634</v>
      </c>
      <c r="H615" s="315" t="s">
        <v>795</v>
      </c>
    </row>
    <row r="616" spans="1:8" x14ac:dyDescent="0.25">
      <c r="A616" s="316">
        <v>77</v>
      </c>
      <c r="B616" s="316">
        <v>48899</v>
      </c>
      <c r="C616" s="315" t="s">
        <v>761</v>
      </c>
      <c r="D616" s="315" t="s">
        <v>828</v>
      </c>
      <c r="E616" s="315" t="s">
        <v>388</v>
      </c>
      <c r="F616" s="315" t="s">
        <v>1367</v>
      </c>
      <c r="G616" s="315" t="s">
        <v>634</v>
      </c>
      <c r="H616" s="315" t="s">
        <v>635</v>
      </c>
    </row>
    <row r="617" spans="1:8" x14ac:dyDescent="0.25">
      <c r="A617" s="316">
        <v>572</v>
      </c>
      <c r="B617" s="316">
        <v>64046</v>
      </c>
      <c r="C617" s="315" t="s">
        <v>640</v>
      </c>
      <c r="D617" s="315" t="s">
        <v>666</v>
      </c>
      <c r="E617" s="315" t="s">
        <v>620</v>
      </c>
      <c r="F617" s="315" t="s">
        <v>1368</v>
      </c>
      <c r="G617" s="315" t="s">
        <v>1038</v>
      </c>
      <c r="H617" s="315" t="s">
        <v>1039</v>
      </c>
    </row>
    <row r="618" spans="1:8" x14ac:dyDescent="0.25">
      <c r="A618" s="316">
        <v>790</v>
      </c>
      <c r="B618" s="316">
        <v>63852</v>
      </c>
      <c r="C618" s="315" t="s">
        <v>706</v>
      </c>
      <c r="D618" s="315" t="s">
        <v>892</v>
      </c>
      <c r="E618" s="315" t="s">
        <v>353</v>
      </c>
      <c r="F618" s="315" t="s">
        <v>1369</v>
      </c>
      <c r="G618" s="315" t="s">
        <v>1038</v>
      </c>
      <c r="H618" s="315" t="s">
        <v>1039</v>
      </c>
    </row>
    <row r="619" spans="1:8" x14ac:dyDescent="0.25">
      <c r="A619" s="316">
        <v>899</v>
      </c>
      <c r="B619" s="316">
        <v>66267</v>
      </c>
      <c r="C619" s="315" t="s">
        <v>640</v>
      </c>
      <c r="D619" s="315" t="s">
        <v>688</v>
      </c>
      <c r="E619" s="315" t="s">
        <v>358</v>
      </c>
      <c r="F619" s="315" t="s">
        <v>1370</v>
      </c>
      <c r="G619" s="315" t="s">
        <v>744</v>
      </c>
      <c r="H619" s="315" t="s">
        <v>745</v>
      </c>
    </row>
    <row r="620" spans="1:8" x14ac:dyDescent="0.25">
      <c r="A620" s="316">
        <v>1010</v>
      </c>
      <c r="B620" s="316">
        <v>66267</v>
      </c>
      <c r="C620" s="315" t="s">
        <v>640</v>
      </c>
      <c r="D620" s="315" t="s">
        <v>688</v>
      </c>
      <c r="E620" s="315" t="s">
        <v>358</v>
      </c>
      <c r="F620" s="315" t="s">
        <v>1371</v>
      </c>
      <c r="G620" s="315" t="s">
        <v>744</v>
      </c>
      <c r="H620" s="315" t="s">
        <v>745</v>
      </c>
    </row>
    <row r="621" spans="1:8" x14ac:dyDescent="0.25">
      <c r="A621" s="316">
        <v>319</v>
      </c>
      <c r="B621" s="316">
        <v>178</v>
      </c>
      <c r="C621" s="315" t="s">
        <v>631</v>
      </c>
      <c r="D621" s="315" t="s">
        <v>632</v>
      </c>
      <c r="E621" s="315" t="s">
        <v>585</v>
      </c>
      <c r="F621" s="315" t="s">
        <v>1372</v>
      </c>
      <c r="G621" s="315" t="s">
        <v>634</v>
      </c>
      <c r="H621" s="315" t="s">
        <v>635</v>
      </c>
    </row>
    <row r="622" spans="1:8" x14ac:dyDescent="0.25">
      <c r="A622" s="316">
        <v>682</v>
      </c>
      <c r="B622" s="316">
        <v>63851</v>
      </c>
      <c r="C622" s="315" t="s">
        <v>706</v>
      </c>
      <c r="D622" s="315" t="s">
        <v>892</v>
      </c>
      <c r="E622" s="315" t="s">
        <v>353</v>
      </c>
      <c r="F622" s="315" t="s">
        <v>1373</v>
      </c>
      <c r="G622" s="315" t="s">
        <v>1038</v>
      </c>
      <c r="H622" s="315" t="s">
        <v>1039</v>
      </c>
    </row>
    <row r="623" spans="1:8" x14ac:dyDescent="0.25">
      <c r="A623" s="316">
        <v>506</v>
      </c>
      <c r="B623" s="316">
        <v>64750</v>
      </c>
      <c r="C623" s="315" t="s">
        <v>631</v>
      </c>
      <c r="D623" s="315" t="s">
        <v>632</v>
      </c>
      <c r="E623" s="315" t="s">
        <v>585</v>
      </c>
      <c r="F623" s="315" t="s">
        <v>1374</v>
      </c>
      <c r="G623" s="315" t="s">
        <v>634</v>
      </c>
      <c r="H623" s="315" t="s">
        <v>912</v>
      </c>
    </row>
    <row r="624" spans="1:8" x14ac:dyDescent="0.25">
      <c r="A624" s="316">
        <v>785</v>
      </c>
      <c r="B624" s="316">
        <v>64263</v>
      </c>
      <c r="C624" s="315" t="s">
        <v>631</v>
      </c>
      <c r="D624" s="315" t="s">
        <v>632</v>
      </c>
      <c r="E624" s="315" t="s">
        <v>585</v>
      </c>
      <c r="F624" s="315" t="s">
        <v>1375</v>
      </c>
      <c r="G624" s="315" t="s">
        <v>634</v>
      </c>
      <c r="H624" s="315" t="s">
        <v>1376</v>
      </c>
    </row>
    <row r="625" spans="1:8" x14ac:dyDescent="0.25">
      <c r="A625" s="316">
        <v>963</v>
      </c>
      <c r="B625" s="316">
        <v>45942</v>
      </c>
      <c r="C625" s="315" t="s">
        <v>718</v>
      </c>
      <c r="D625" s="315" t="s">
        <v>963</v>
      </c>
      <c r="E625" s="315" t="s">
        <v>461</v>
      </c>
      <c r="F625" s="315" t="s">
        <v>1377</v>
      </c>
      <c r="G625" s="315" t="s">
        <v>744</v>
      </c>
      <c r="H625" s="315" t="s">
        <v>752</v>
      </c>
    </row>
    <row r="626" spans="1:8" x14ac:dyDescent="0.25">
      <c r="A626" s="316">
        <v>538</v>
      </c>
      <c r="B626" s="316">
        <v>63758</v>
      </c>
      <c r="C626" s="315" t="s">
        <v>706</v>
      </c>
      <c r="D626" s="315" t="s">
        <v>707</v>
      </c>
      <c r="E626" s="315" t="s">
        <v>322</v>
      </c>
      <c r="F626" s="315" t="s">
        <v>1378</v>
      </c>
      <c r="G626" s="315" t="s">
        <v>744</v>
      </c>
      <c r="H626" s="315" t="s">
        <v>745</v>
      </c>
    </row>
    <row r="627" spans="1:8" x14ac:dyDescent="0.25">
      <c r="A627" s="316">
        <v>94</v>
      </c>
      <c r="B627" s="316">
        <v>44</v>
      </c>
      <c r="C627" s="315" t="s">
        <v>718</v>
      </c>
      <c r="D627" s="315" t="s">
        <v>719</v>
      </c>
      <c r="E627" s="315" t="s">
        <v>405</v>
      </c>
      <c r="F627" s="315" t="s">
        <v>1379</v>
      </c>
      <c r="G627" s="315" t="s">
        <v>634</v>
      </c>
      <c r="H627" s="315" t="s">
        <v>635</v>
      </c>
    </row>
    <row r="628" spans="1:8" x14ac:dyDescent="0.25">
      <c r="A628" s="316">
        <v>223</v>
      </c>
      <c r="B628" s="316">
        <v>48927</v>
      </c>
      <c r="C628" s="315" t="s">
        <v>679</v>
      </c>
      <c r="D628" s="315" t="s">
        <v>704</v>
      </c>
      <c r="E628" s="315" t="s">
        <v>536</v>
      </c>
      <c r="F628" s="315" t="s">
        <v>1380</v>
      </c>
      <c r="G628" s="315" t="s">
        <v>634</v>
      </c>
      <c r="H628" s="315" t="s">
        <v>635</v>
      </c>
    </row>
    <row r="629" spans="1:8" x14ac:dyDescent="0.25">
      <c r="A629" s="316">
        <v>322</v>
      </c>
      <c r="B629" s="316">
        <v>64313</v>
      </c>
      <c r="C629" s="315" t="s">
        <v>631</v>
      </c>
      <c r="D629" s="315" t="s">
        <v>632</v>
      </c>
      <c r="E629" s="315" t="s">
        <v>585</v>
      </c>
      <c r="F629" s="315" t="s">
        <v>1381</v>
      </c>
      <c r="G629" s="315" t="s">
        <v>634</v>
      </c>
      <c r="H629" s="315" t="s">
        <v>635</v>
      </c>
    </row>
    <row r="630" spans="1:8" x14ac:dyDescent="0.25">
      <c r="A630" s="316">
        <v>487</v>
      </c>
      <c r="B630" s="316">
        <v>64196</v>
      </c>
      <c r="C630" s="315" t="s">
        <v>631</v>
      </c>
      <c r="D630" s="315" t="s">
        <v>804</v>
      </c>
      <c r="E630" s="315" t="s">
        <v>600</v>
      </c>
      <c r="F630" s="315" t="s">
        <v>1382</v>
      </c>
      <c r="G630" s="315" t="s">
        <v>676</v>
      </c>
      <c r="H630" s="315" t="s">
        <v>677</v>
      </c>
    </row>
    <row r="631" spans="1:8" x14ac:dyDescent="0.25">
      <c r="A631" s="316">
        <v>759</v>
      </c>
      <c r="B631" s="316">
        <v>64194</v>
      </c>
      <c r="C631" s="315" t="s">
        <v>631</v>
      </c>
      <c r="D631" s="315" t="s">
        <v>804</v>
      </c>
      <c r="E631" s="315" t="s">
        <v>600</v>
      </c>
      <c r="F631" s="315" t="s">
        <v>1383</v>
      </c>
      <c r="G631" s="315" t="s">
        <v>1038</v>
      </c>
      <c r="H631" s="315" t="s">
        <v>1039</v>
      </c>
    </row>
    <row r="632" spans="1:8" x14ac:dyDescent="0.25">
      <c r="A632" s="316">
        <v>693</v>
      </c>
      <c r="B632" s="316">
        <v>64154</v>
      </c>
      <c r="C632" s="315" t="s">
        <v>761</v>
      </c>
      <c r="D632" s="315" t="s">
        <v>762</v>
      </c>
      <c r="E632" s="315" t="s">
        <v>409</v>
      </c>
      <c r="F632" s="315" t="s">
        <v>1384</v>
      </c>
      <c r="G632" s="315" t="s">
        <v>744</v>
      </c>
      <c r="H632" s="315" t="s">
        <v>745</v>
      </c>
    </row>
    <row r="633" spans="1:8" x14ac:dyDescent="0.25">
      <c r="A633" s="316">
        <v>420</v>
      </c>
      <c r="B633" s="316">
        <v>64151</v>
      </c>
      <c r="C633" s="315" t="s">
        <v>679</v>
      </c>
      <c r="D633" s="315" t="s">
        <v>859</v>
      </c>
      <c r="E633" s="315" t="s">
        <v>342</v>
      </c>
      <c r="F633" s="315" t="s">
        <v>1385</v>
      </c>
      <c r="G633" s="315" t="s">
        <v>676</v>
      </c>
      <c r="H633" s="315" t="s">
        <v>677</v>
      </c>
    </row>
    <row r="634" spans="1:8" x14ac:dyDescent="0.25">
      <c r="A634" s="316">
        <v>705</v>
      </c>
      <c r="B634" s="316">
        <v>64026</v>
      </c>
      <c r="C634" s="315" t="s">
        <v>640</v>
      </c>
      <c r="D634" s="315" t="s">
        <v>774</v>
      </c>
      <c r="E634" s="315" t="s">
        <v>460</v>
      </c>
      <c r="F634" s="315" t="s">
        <v>1386</v>
      </c>
      <c r="G634" s="315" t="s">
        <v>1038</v>
      </c>
      <c r="H634" s="315" t="s">
        <v>1039</v>
      </c>
    </row>
    <row r="635" spans="1:8" x14ac:dyDescent="0.25">
      <c r="A635" s="316">
        <v>750</v>
      </c>
      <c r="B635" s="316">
        <v>64158</v>
      </c>
      <c r="C635" s="315" t="s">
        <v>640</v>
      </c>
      <c r="D635" s="315" t="s">
        <v>668</v>
      </c>
      <c r="E635" s="315" t="s">
        <v>391</v>
      </c>
      <c r="F635" s="315" t="s">
        <v>1387</v>
      </c>
      <c r="G635" s="315" t="s">
        <v>744</v>
      </c>
      <c r="H635" s="315" t="s">
        <v>745</v>
      </c>
    </row>
    <row r="636" spans="1:8" x14ac:dyDescent="0.25">
      <c r="A636" s="316">
        <v>946</v>
      </c>
      <c r="B636" s="316">
        <v>67892</v>
      </c>
      <c r="C636" s="315" t="s">
        <v>679</v>
      </c>
      <c r="D636" s="315" t="s">
        <v>859</v>
      </c>
      <c r="E636" s="315" t="s">
        <v>342</v>
      </c>
      <c r="F636" s="315" t="s">
        <v>1388</v>
      </c>
      <c r="G636" s="315" t="s">
        <v>676</v>
      </c>
      <c r="H636" s="315" t="s">
        <v>677</v>
      </c>
    </row>
    <row r="637" spans="1:8" x14ac:dyDescent="0.25">
      <c r="A637" s="316">
        <v>279</v>
      </c>
      <c r="B637" s="316">
        <v>132</v>
      </c>
      <c r="C637" s="315" t="s">
        <v>761</v>
      </c>
      <c r="D637" s="315" t="s">
        <v>762</v>
      </c>
      <c r="E637" s="315" t="s">
        <v>591</v>
      </c>
      <c r="F637" s="315" t="s">
        <v>1389</v>
      </c>
      <c r="G637" s="315" t="s">
        <v>634</v>
      </c>
      <c r="H637" s="315" t="s">
        <v>635</v>
      </c>
    </row>
    <row r="638" spans="1:8" x14ac:dyDescent="0.25">
      <c r="A638" s="316">
        <v>931</v>
      </c>
      <c r="B638" s="316">
        <v>67250</v>
      </c>
      <c r="C638" s="315" t="s">
        <v>718</v>
      </c>
      <c r="D638" s="315" t="s">
        <v>895</v>
      </c>
      <c r="E638" s="315" t="s">
        <v>448</v>
      </c>
      <c r="F638" s="315" t="s">
        <v>1390</v>
      </c>
      <c r="G638" s="315" t="s">
        <v>744</v>
      </c>
      <c r="H638" s="315" t="s">
        <v>745</v>
      </c>
    </row>
    <row r="639" spans="1:8" x14ac:dyDescent="0.25">
      <c r="A639" s="316">
        <v>92</v>
      </c>
      <c r="B639" s="316">
        <v>284</v>
      </c>
      <c r="C639" s="315" t="s">
        <v>645</v>
      </c>
      <c r="D639" s="315" t="s">
        <v>786</v>
      </c>
      <c r="E639" s="315" t="s">
        <v>403</v>
      </c>
      <c r="F639" s="315" t="s">
        <v>1391</v>
      </c>
      <c r="G639" s="315" t="s">
        <v>634</v>
      </c>
      <c r="H639" s="315" t="s">
        <v>635</v>
      </c>
    </row>
    <row r="640" spans="1:8" x14ac:dyDescent="0.25">
      <c r="A640" s="316">
        <v>150</v>
      </c>
      <c r="B640" s="316">
        <v>48514</v>
      </c>
      <c r="C640" s="315" t="s">
        <v>718</v>
      </c>
      <c r="D640" s="315" t="s">
        <v>963</v>
      </c>
      <c r="E640" s="315" t="s">
        <v>461</v>
      </c>
      <c r="F640" s="315" t="s">
        <v>1392</v>
      </c>
      <c r="G640" s="315" t="s">
        <v>634</v>
      </c>
      <c r="H640" s="315" t="s">
        <v>635</v>
      </c>
    </row>
    <row r="641" spans="1:8" x14ac:dyDescent="0.25">
      <c r="A641" s="316">
        <v>676</v>
      </c>
      <c r="B641" s="316">
        <v>63826</v>
      </c>
      <c r="C641" s="315" t="s">
        <v>706</v>
      </c>
      <c r="D641" s="315" t="s">
        <v>1159</v>
      </c>
      <c r="E641" s="315" t="s">
        <v>336</v>
      </c>
      <c r="F641" s="315" t="s">
        <v>1393</v>
      </c>
      <c r="G641" s="315" t="s">
        <v>744</v>
      </c>
      <c r="H641" s="315" t="s">
        <v>745</v>
      </c>
    </row>
    <row r="642" spans="1:8" x14ac:dyDescent="0.25">
      <c r="A642" s="316">
        <v>867</v>
      </c>
      <c r="B642" s="316">
        <v>2945</v>
      </c>
      <c r="C642" s="315" t="s">
        <v>679</v>
      </c>
      <c r="D642" s="315" t="s">
        <v>704</v>
      </c>
      <c r="E642" s="315" t="s">
        <v>363</v>
      </c>
      <c r="F642" s="315" t="s">
        <v>1394</v>
      </c>
      <c r="G642" s="315" t="s">
        <v>744</v>
      </c>
      <c r="H642" s="315" t="s">
        <v>822</v>
      </c>
    </row>
    <row r="643" spans="1:8" x14ac:dyDescent="0.25">
      <c r="A643" s="316">
        <v>876</v>
      </c>
      <c r="B643" s="316">
        <v>67165</v>
      </c>
      <c r="C643" s="315" t="s">
        <v>771</v>
      </c>
      <c r="D643" s="315" t="s">
        <v>836</v>
      </c>
      <c r="E643" s="315" t="s">
        <v>452</v>
      </c>
      <c r="F643" s="315" t="s">
        <v>1395</v>
      </c>
      <c r="G643" s="315" t="s">
        <v>744</v>
      </c>
      <c r="H643" s="315" t="s">
        <v>745</v>
      </c>
    </row>
    <row r="644" spans="1:8" x14ac:dyDescent="0.25">
      <c r="A644" s="316">
        <v>135</v>
      </c>
      <c r="B644" s="316">
        <v>40</v>
      </c>
      <c r="C644" s="315" t="s">
        <v>761</v>
      </c>
      <c r="D644" s="315" t="s">
        <v>828</v>
      </c>
      <c r="E644" s="315" t="s">
        <v>446</v>
      </c>
      <c r="F644" s="315" t="s">
        <v>1396</v>
      </c>
      <c r="G644" s="315" t="s">
        <v>634</v>
      </c>
      <c r="H644" s="315" t="s">
        <v>635</v>
      </c>
    </row>
    <row r="645" spans="1:8" x14ac:dyDescent="0.25">
      <c r="A645" s="316">
        <v>163</v>
      </c>
      <c r="B645" s="316">
        <v>63894</v>
      </c>
      <c r="C645" s="315" t="s">
        <v>761</v>
      </c>
      <c r="D645" s="315" t="s">
        <v>828</v>
      </c>
      <c r="E645" s="315" t="s">
        <v>475</v>
      </c>
      <c r="F645" s="315" t="s">
        <v>1397</v>
      </c>
      <c r="G645" s="315" t="s">
        <v>634</v>
      </c>
      <c r="H645" s="315" t="s">
        <v>635</v>
      </c>
    </row>
    <row r="646" spans="1:8" x14ac:dyDescent="0.25">
      <c r="A646" s="316">
        <v>726</v>
      </c>
      <c r="B646" s="316">
        <v>64208</v>
      </c>
      <c r="C646" s="315" t="s">
        <v>771</v>
      </c>
      <c r="D646" s="315" t="s">
        <v>867</v>
      </c>
      <c r="E646" s="315" t="s">
        <v>583</v>
      </c>
      <c r="F646" s="315" t="s">
        <v>1398</v>
      </c>
      <c r="G646" s="315" t="s">
        <v>744</v>
      </c>
      <c r="H646" s="315" t="s">
        <v>745</v>
      </c>
    </row>
    <row r="647" spans="1:8" x14ac:dyDescent="0.25">
      <c r="A647" s="316">
        <v>690</v>
      </c>
      <c r="B647" s="316">
        <v>63902</v>
      </c>
      <c r="C647" s="315" t="s">
        <v>631</v>
      </c>
      <c r="D647" s="315" t="s">
        <v>742</v>
      </c>
      <c r="E647" s="315" t="s">
        <v>406</v>
      </c>
      <c r="F647" s="315" t="s">
        <v>1399</v>
      </c>
      <c r="G647" s="315" t="s">
        <v>634</v>
      </c>
      <c r="H647" s="315" t="s">
        <v>665</v>
      </c>
    </row>
    <row r="648" spans="1:8" x14ac:dyDescent="0.25">
      <c r="A648" s="316">
        <v>957</v>
      </c>
      <c r="B648" s="316">
        <v>67848</v>
      </c>
      <c r="C648" s="315" t="s">
        <v>636</v>
      </c>
      <c r="D648" s="315" t="s">
        <v>713</v>
      </c>
      <c r="E648" s="315" t="s">
        <v>400</v>
      </c>
      <c r="F648" s="315" t="s">
        <v>1400</v>
      </c>
      <c r="G648" s="315" t="s">
        <v>634</v>
      </c>
      <c r="H648" s="315" t="s">
        <v>665</v>
      </c>
    </row>
    <row r="649" spans="1:8" x14ac:dyDescent="0.25">
      <c r="A649" s="316">
        <v>1009</v>
      </c>
      <c r="B649" s="316">
        <v>67862</v>
      </c>
      <c r="C649" s="315" t="s">
        <v>679</v>
      </c>
      <c r="D649" s="315" t="s">
        <v>680</v>
      </c>
      <c r="E649" s="315" t="s">
        <v>520</v>
      </c>
      <c r="F649" s="315" t="s">
        <v>1401</v>
      </c>
      <c r="G649" s="315" t="s">
        <v>936</v>
      </c>
      <c r="H649" s="315" t="s">
        <v>936</v>
      </c>
    </row>
    <row r="650" spans="1:8" x14ac:dyDescent="0.25">
      <c r="A650" s="316">
        <v>499</v>
      </c>
      <c r="B650" s="316">
        <v>148</v>
      </c>
      <c r="C650" s="315" t="s">
        <v>645</v>
      </c>
      <c r="D650" s="315" t="s">
        <v>786</v>
      </c>
      <c r="E650" s="315" t="s">
        <v>338</v>
      </c>
      <c r="F650" s="315" t="s">
        <v>1402</v>
      </c>
      <c r="G650" s="315" t="s">
        <v>634</v>
      </c>
      <c r="H650" s="315" t="s">
        <v>644</v>
      </c>
    </row>
    <row r="651" spans="1:8" x14ac:dyDescent="0.25">
      <c r="A651" s="316">
        <v>275</v>
      </c>
      <c r="B651" s="316">
        <v>239</v>
      </c>
      <c r="C651" s="315" t="s">
        <v>679</v>
      </c>
      <c r="D651" s="315" t="s">
        <v>680</v>
      </c>
      <c r="E651" s="315" t="s">
        <v>587</v>
      </c>
      <c r="F651" s="315" t="s">
        <v>1403</v>
      </c>
      <c r="G651" s="315" t="s">
        <v>634</v>
      </c>
      <c r="H651" s="315" t="s">
        <v>635</v>
      </c>
    </row>
    <row r="652" spans="1:8" x14ac:dyDescent="0.25">
      <c r="A652" s="316">
        <v>393</v>
      </c>
      <c r="B652" s="316">
        <v>63976</v>
      </c>
      <c r="C652" s="315" t="s">
        <v>640</v>
      </c>
      <c r="D652" s="315" t="s">
        <v>657</v>
      </c>
      <c r="E652" s="315" t="s">
        <v>592</v>
      </c>
      <c r="F652" s="315" t="s">
        <v>1404</v>
      </c>
      <c r="G652" s="315" t="s">
        <v>634</v>
      </c>
      <c r="H652" s="315" t="s">
        <v>639</v>
      </c>
    </row>
    <row r="653" spans="1:8" x14ac:dyDescent="0.25">
      <c r="A653" s="316">
        <v>791</v>
      </c>
      <c r="B653" s="316">
        <v>63979</v>
      </c>
      <c r="C653" s="315" t="s">
        <v>640</v>
      </c>
      <c r="D653" s="315" t="s">
        <v>657</v>
      </c>
      <c r="E653" s="315" t="s">
        <v>592</v>
      </c>
      <c r="F653" s="315" t="s">
        <v>1405</v>
      </c>
      <c r="G653" s="315" t="s">
        <v>634</v>
      </c>
      <c r="H653" s="315" t="s">
        <v>795</v>
      </c>
    </row>
    <row r="654" spans="1:8" x14ac:dyDescent="0.25">
      <c r="A654" s="316">
        <v>984</v>
      </c>
      <c r="B654" s="316">
        <v>12763</v>
      </c>
      <c r="C654" s="315" t="s">
        <v>631</v>
      </c>
      <c r="D654" s="315" t="s">
        <v>632</v>
      </c>
      <c r="E654" s="315" t="s">
        <v>585</v>
      </c>
      <c r="F654" s="315" t="s">
        <v>1406</v>
      </c>
      <c r="G654" s="315" t="s">
        <v>744</v>
      </c>
      <c r="H654" s="315" t="s">
        <v>752</v>
      </c>
    </row>
    <row r="655" spans="1:8" x14ac:dyDescent="0.25">
      <c r="A655" s="316">
        <v>89</v>
      </c>
      <c r="B655" s="316">
        <v>269</v>
      </c>
      <c r="C655" s="315" t="s">
        <v>636</v>
      </c>
      <c r="D655" s="315" t="s">
        <v>713</v>
      </c>
      <c r="E655" s="315" t="s">
        <v>400</v>
      </c>
      <c r="F655" s="315" t="s">
        <v>1407</v>
      </c>
      <c r="G655" s="315" t="s">
        <v>634</v>
      </c>
      <c r="H655" s="315" t="s">
        <v>635</v>
      </c>
    </row>
    <row r="656" spans="1:8" x14ac:dyDescent="0.25">
      <c r="A656" s="316">
        <v>115</v>
      </c>
      <c r="B656" s="316">
        <v>63942</v>
      </c>
      <c r="C656" s="315" t="s">
        <v>679</v>
      </c>
      <c r="D656" s="315" t="s">
        <v>902</v>
      </c>
      <c r="E656" s="315" t="s">
        <v>424</v>
      </c>
      <c r="F656" s="315" t="s">
        <v>1408</v>
      </c>
      <c r="G656" s="315" t="s">
        <v>634</v>
      </c>
      <c r="H656" s="315" t="s">
        <v>635</v>
      </c>
    </row>
    <row r="657" spans="1:8" x14ac:dyDescent="0.25">
      <c r="A657" s="316">
        <v>193</v>
      </c>
      <c r="B657" s="316">
        <v>126</v>
      </c>
      <c r="C657" s="315" t="s">
        <v>636</v>
      </c>
      <c r="D657" s="315" t="s">
        <v>711</v>
      </c>
      <c r="E657" s="315" t="s">
        <v>505</v>
      </c>
      <c r="F657" s="315" t="s">
        <v>1409</v>
      </c>
      <c r="G657" s="315" t="s">
        <v>634</v>
      </c>
      <c r="H657" s="315" t="s">
        <v>635</v>
      </c>
    </row>
    <row r="658" spans="1:8" x14ac:dyDescent="0.25">
      <c r="A658" s="316">
        <v>760</v>
      </c>
      <c r="B658" s="316">
        <v>63930</v>
      </c>
      <c r="C658" s="315" t="s">
        <v>771</v>
      </c>
      <c r="D658" s="315" t="s">
        <v>867</v>
      </c>
      <c r="E658" s="315" t="s">
        <v>439</v>
      </c>
      <c r="F658" s="315" t="s">
        <v>1410</v>
      </c>
      <c r="G658" s="315" t="s">
        <v>744</v>
      </c>
      <c r="H658" s="315" t="s">
        <v>822</v>
      </c>
    </row>
    <row r="659" spans="1:8" x14ac:dyDescent="0.25">
      <c r="A659" s="316">
        <v>913</v>
      </c>
      <c r="B659" s="316">
        <v>66195</v>
      </c>
      <c r="C659" s="315" t="s">
        <v>679</v>
      </c>
      <c r="D659" s="315" t="s">
        <v>902</v>
      </c>
      <c r="E659" s="315" t="s">
        <v>424</v>
      </c>
      <c r="F659" s="315" t="s">
        <v>1411</v>
      </c>
      <c r="G659" s="315" t="s">
        <v>634</v>
      </c>
      <c r="H659" s="315" t="s">
        <v>665</v>
      </c>
    </row>
    <row r="660" spans="1:8" x14ac:dyDescent="0.25">
      <c r="A660" s="316">
        <v>32</v>
      </c>
      <c r="B660" s="316">
        <v>48896</v>
      </c>
      <c r="C660" s="315" t="s">
        <v>679</v>
      </c>
      <c r="D660" s="315" t="s">
        <v>859</v>
      </c>
      <c r="E660" s="315" t="s">
        <v>342</v>
      </c>
      <c r="F660" s="315" t="s">
        <v>1412</v>
      </c>
      <c r="G660" s="315" t="s">
        <v>634</v>
      </c>
      <c r="H660" s="315" t="s">
        <v>635</v>
      </c>
    </row>
    <row r="661" spans="1:8" x14ac:dyDescent="0.25">
      <c r="A661" s="316">
        <v>1000</v>
      </c>
      <c r="B661" s="316">
        <v>67849</v>
      </c>
      <c r="C661" s="315" t="s">
        <v>679</v>
      </c>
      <c r="D661" s="315" t="s">
        <v>704</v>
      </c>
      <c r="E661" s="315" t="s">
        <v>429</v>
      </c>
      <c r="F661" s="315" t="s">
        <v>1413</v>
      </c>
      <c r="G661" s="315" t="s">
        <v>1038</v>
      </c>
      <c r="H661" s="315" t="s">
        <v>1039</v>
      </c>
    </row>
    <row r="662" spans="1:8" x14ac:dyDescent="0.25">
      <c r="A662" s="316">
        <v>697</v>
      </c>
      <c r="B662" s="316">
        <v>171</v>
      </c>
      <c r="C662" s="315" t="s">
        <v>640</v>
      </c>
      <c r="D662" s="315" t="s">
        <v>683</v>
      </c>
      <c r="E662" s="315" t="s">
        <v>432</v>
      </c>
      <c r="F662" s="315" t="s">
        <v>1414</v>
      </c>
      <c r="G662" s="315" t="s">
        <v>634</v>
      </c>
      <c r="H662" s="315" t="s">
        <v>665</v>
      </c>
    </row>
    <row r="663" spans="1:8" x14ac:dyDescent="0.25">
      <c r="A663" s="316">
        <v>878</v>
      </c>
      <c r="B663" s="316">
        <v>66229</v>
      </c>
      <c r="C663" s="315" t="s">
        <v>640</v>
      </c>
      <c r="D663" s="315" t="s">
        <v>668</v>
      </c>
      <c r="E663" s="315" t="s">
        <v>577</v>
      </c>
      <c r="F663" s="315" t="s">
        <v>1415</v>
      </c>
      <c r="G663" s="315" t="s">
        <v>744</v>
      </c>
      <c r="H663" s="315" t="s">
        <v>745</v>
      </c>
    </row>
    <row r="664" spans="1:8" x14ac:dyDescent="0.25">
      <c r="A664" s="316">
        <v>958</v>
      </c>
      <c r="B664" s="316">
        <v>45529</v>
      </c>
      <c r="C664" s="315" t="s">
        <v>636</v>
      </c>
      <c r="D664" s="315" t="s">
        <v>713</v>
      </c>
      <c r="E664" s="315" t="s">
        <v>400</v>
      </c>
      <c r="F664" s="315" t="s">
        <v>1416</v>
      </c>
      <c r="G664" s="315" t="s">
        <v>744</v>
      </c>
      <c r="H664" s="315" t="s">
        <v>752</v>
      </c>
    </row>
    <row r="665" spans="1:8" x14ac:dyDescent="0.25">
      <c r="A665" s="316">
        <v>394</v>
      </c>
      <c r="B665" s="316">
        <v>63978</v>
      </c>
      <c r="C665" s="315" t="s">
        <v>640</v>
      </c>
      <c r="D665" s="315" t="s">
        <v>657</v>
      </c>
      <c r="E665" s="315" t="s">
        <v>592</v>
      </c>
      <c r="F665" s="315" t="s">
        <v>1417</v>
      </c>
      <c r="G665" s="315" t="s">
        <v>634</v>
      </c>
      <c r="H665" s="315" t="s">
        <v>644</v>
      </c>
    </row>
    <row r="666" spans="1:8" x14ac:dyDescent="0.25">
      <c r="A666" s="316">
        <v>122</v>
      </c>
      <c r="B666" s="316">
        <v>48961</v>
      </c>
      <c r="C666" s="315" t="s">
        <v>631</v>
      </c>
      <c r="D666" s="315" t="s">
        <v>804</v>
      </c>
      <c r="E666" s="315" t="s">
        <v>431</v>
      </c>
      <c r="F666" s="315" t="s">
        <v>1418</v>
      </c>
      <c r="G666" s="315" t="s">
        <v>634</v>
      </c>
      <c r="H666" s="315" t="s">
        <v>635</v>
      </c>
    </row>
    <row r="667" spans="1:8" x14ac:dyDescent="0.25">
      <c r="A667" s="316">
        <v>111</v>
      </c>
      <c r="B667" s="316">
        <v>63931</v>
      </c>
      <c r="C667" s="315" t="s">
        <v>728</v>
      </c>
      <c r="D667" s="315" t="s">
        <v>852</v>
      </c>
      <c r="E667" s="315" t="s">
        <v>420</v>
      </c>
      <c r="F667" s="315" t="s">
        <v>1419</v>
      </c>
      <c r="G667" s="315" t="s">
        <v>634</v>
      </c>
      <c r="H667" s="315" t="s">
        <v>635</v>
      </c>
    </row>
    <row r="668" spans="1:8" x14ac:dyDescent="0.25">
      <c r="A668" s="316">
        <v>282</v>
      </c>
      <c r="B668" s="316">
        <v>44129</v>
      </c>
      <c r="C668" s="315" t="s">
        <v>706</v>
      </c>
      <c r="D668" s="315" t="s">
        <v>834</v>
      </c>
      <c r="E668" s="315" t="s">
        <v>594</v>
      </c>
      <c r="F668" s="315" t="s">
        <v>1420</v>
      </c>
      <c r="G668" s="315" t="s">
        <v>634</v>
      </c>
      <c r="H668" s="315" t="s">
        <v>635</v>
      </c>
    </row>
    <row r="669" spans="1:8" x14ac:dyDescent="0.25">
      <c r="A669" s="316">
        <v>659</v>
      </c>
      <c r="B669" s="316">
        <v>64302</v>
      </c>
      <c r="C669" s="315" t="s">
        <v>706</v>
      </c>
      <c r="D669" s="315" t="s">
        <v>834</v>
      </c>
      <c r="E669" s="315" t="s">
        <v>594</v>
      </c>
      <c r="F669" s="315" t="s">
        <v>1421</v>
      </c>
      <c r="G669" s="315" t="s">
        <v>676</v>
      </c>
      <c r="H669" s="315" t="s">
        <v>677</v>
      </c>
    </row>
    <row r="670" spans="1:8" x14ac:dyDescent="0.25">
      <c r="A670" s="316">
        <v>675</v>
      </c>
      <c r="B670" s="316">
        <v>63807</v>
      </c>
      <c r="C670" s="315" t="s">
        <v>771</v>
      </c>
      <c r="D670" s="315" t="s">
        <v>772</v>
      </c>
      <c r="E670" s="315" t="s">
        <v>329</v>
      </c>
      <c r="F670" s="315" t="s">
        <v>1422</v>
      </c>
      <c r="G670" s="315" t="s">
        <v>744</v>
      </c>
      <c r="H670" s="315" t="s">
        <v>745</v>
      </c>
    </row>
    <row r="671" spans="1:8" x14ac:dyDescent="0.25">
      <c r="A671" s="316">
        <v>236</v>
      </c>
      <c r="B671" s="316">
        <v>153</v>
      </c>
      <c r="C671" s="315" t="s">
        <v>636</v>
      </c>
      <c r="D671" s="315" t="s">
        <v>637</v>
      </c>
      <c r="E671" s="315" t="s">
        <v>549</v>
      </c>
      <c r="F671" s="315" t="s">
        <v>1423</v>
      </c>
      <c r="G671" s="315" t="s">
        <v>634</v>
      </c>
      <c r="H671" s="315" t="s">
        <v>635</v>
      </c>
    </row>
    <row r="672" spans="1:8" x14ac:dyDescent="0.25">
      <c r="A672" s="316">
        <v>455</v>
      </c>
      <c r="B672" s="316">
        <v>64192</v>
      </c>
      <c r="C672" s="315" t="s">
        <v>640</v>
      </c>
      <c r="D672" s="315" t="s">
        <v>702</v>
      </c>
      <c r="E672" s="315" t="s">
        <v>597</v>
      </c>
      <c r="F672" s="315" t="s">
        <v>1424</v>
      </c>
      <c r="G672" s="315" t="s">
        <v>634</v>
      </c>
      <c r="H672" s="315" t="s">
        <v>673</v>
      </c>
    </row>
    <row r="673" spans="1:8" x14ac:dyDescent="0.25">
      <c r="A673" s="316">
        <v>611</v>
      </c>
      <c r="B673" s="316">
        <v>12</v>
      </c>
      <c r="C673" s="315" t="s">
        <v>636</v>
      </c>
      <c r="D673" s="315" t="s">
        <v>813</v>
      </c>
      <c r="E673" s="315" t="s">
        <v>309</v>
      </c>
      <c r="F673" s="315" t="s">
        <v>1425</v>
      </c>
      <c r="G673" s="315" t="s">
        <v>634</v>
      </c>
      <c r="H673" s="315" t="s">
        <v>795</v>
      </c>
    </row>
    <row r="674" spans="1:8" x14ac:dyDescent="0.25">
      <c r="A674" s="316">
        <v>981</v>
      </c>
      <c r="B674" s="316">
        <v>45610</v>
      </c>
      <c r="C674" s="315" t="s">
        <v>645</v>
      </c>
      <c r="D674" s="315" t="s">
        <v>659</v>
      </c>
      <c r="E674" s="315" t="s">
        <v>580</v>
      </c>
      <c r="F674" s="315" t="s">
        <v>1426</v>
      </c>
      <c r="G674" s="315" t="s">
        <v>744</v>
      </c>
      <c r="H674" s="315" t="s">
        <v>752</v>
      </c>
    </row>
    <row r="675" spans="1:8" x14ac:dyDescent="0.25">
      <c r="A675" s="316">
        <v>243</v>
      </c>
      <c r="B675" s="316">
        <v>64275</v>
      </c>
      <c r="C675" s="315" t="s">
        <v>636</v>
      </c>
      <c r="D675" s="315" t="s">
        <v>816</v>
      </c>
      <c r="E675" s="315" t="s">
        <v>557</v>
      </c>
      <c r="F675" s="315" t="s">
        <v>1427</v>
      </c>
      <c r="G675" s="315" t="s">
        <v>634</v>
      </c>
      <c r="H675" s="315" t="s">
        <v>635</v>
      </c>
    </row>
    <row r="676" spans="1:8" x14ac:dyDescent="0.25">
      <c r="A676" s="316">
        <v>158</v>
      </c>
      <c r="B676" s="316">
        <v>46035</v>
      </c>
      <c r="C676" s="315" t="s">
        <v>636</v>
      </c>
      <c r="D676" s="315" t="s">
        <v>713</v>
      </c>
      <c r="E676" s="315" t="s">
        <v>470</v>
      </c>
      <c r="F676" s="315" t="s">
        <v>1428</v>
      </c>
      <c r="G676" s="315" t="s">
        <v>634</v>
      </c>
      <c r="H676" s="315" t="s">
        <v>635</v>
      </c>
    </row>
    <row r="677" spans="1:8" x14ac:dyDescent="0.25">
      <c r="A677" s="316">
        <v>504</v>
      </c>
      <c r="B677" s="316">
        <v>64061</v>
      </c>
      <c r="C677" s="315" t="s">
        <v>636</v>
      </c>
      <c r="D677" s="315" t="s">
        <v>713</v>
      </c>
      <c r="E677" s="315" t="s">
        <v>470</v>
      </c>
      <c r="F677" s="315" t="s">
        <v>1429</v>
      </c>
      <c r="G677" s="315" t="s">
        <v>634</v>
      </c>
      <c r="H677" s="315" t="s">
        <v>1430</v>
      </c>
    </row>
    <row r="678" spans="1:8" x14ac:dyDescent="0.25">
      <c r="A678" s="316">
        <v>505</v>
      </c>
      <c r="B678" s="316">
        <v>64062</v>
      </c>
      <c r="C678" s="315" t="s">
        <v>636</v>
      </c>
      <c r="D678" s="315" t="s">
        <v>713</v>
      </c>
      <c r="E678" s="315" t="s">
        <v>470</v>
      </c>
      <c r="F678" s="315" t="s">
        <v>1431</v>
      </c>
      <c r="G678" s="315" t="s">
        <v>676</v>
      </c>
      <c r="H678" s="315" t="s">
        <v>677</v>
      </c>
    </row>
    <row r="679" spans="1:8" x14ac:dyDescent="0.25">
      <c r="A679" s="316">
        <v>980</v>
      </c>
      <c r="B679" s="316">
        <v>67657</v>
      </c>
      <c r="C679" s="315" t="s">
        <v>645</v>
      </c>
      <c r="D679" s="315" t="s">
        <v>659</v>
      </c>
      <c r="E679" s="315" t="s">
        <v>580</v>
      </c>
      <c r="F679" s="315" t="s">
        <v>1432</v>
      </c>
      <c r="G679" s="315" t="s">
        <v>744</v>
      </c>
      <c r="H679" s="315" t="s">
        <v>745</v>
      </c>
    </row>
    <row r="680" spans="1:8" x14ac:dyDescent="0.25">
      <c r="A680" s="316">
        <v>706</v>
      </c>
      <c r="B680" s="316">
        <v>64063</v>
      </c>
      <c r="C680" s="315" t="s">
        <v>636</v>
      </c>
      <c r="D680" s="315" t="s">
        <v>713</v>
      </c>
      <c r="E680" s="315" t="s">
        <v>470</v>
      </c>
      <c r="F680" s="315" t="s">
        <v>1433</v>
      </c>
      <c r="G680" s="315" t="s">
        <v>744</v>
      </c>
      <c r="H680" s="315" t="s">
        <v>745</v>
      </c>
    </row>
    <row r="681" spans="1:8" x14ac:dyDescent="0.25">
      <c r="A681" s="316">
        <v>918</v>
      </c>
      <c r="B681" s="316">
        <v>66198</v>
      </c>
      <c r="C681" s="315" t="s">
        <v>645</v>
      </c>
      <c r="D681" s="315" t="s">
        <v>659</v>
      </c>
      <c r="E681" s="315" t="s">
        <v>466</v>
      </c>
      <c r="F681" s="315" t="s">
        <v>1434</v>
      </c>
      <c r="G681" s="315" t="s">
        <v>634</v>
      </c>
      <c r="H681" s="315" t="s">
        <v>644</v>
      </c>
    </row>
    <row r="682" spans="1:8" x14ac:dyDescent="0.25">
      <c r="A682" s="316">
        <v>947</v>
      </c>
      <c r="B682" s="316">
        <v>48094</v>
      </c>
      <c r="C682" s="315" t="s">
        <v>728</v>
      </c>
      <c r="D682" s="315" t="s">
        <v>757</v>
      </c>
      <c r="E682" s="315" t="s">
        <v>351</v>
      </c>
      <c r="F682" s="315" t="s">
        <v>1435</v>
      </c>
      <c r="G682" s="315" t="s">
        <v>744</v>
      </c>
      <c r="H682" s="315" t="s">
        <v>752</v>
      </c>
    </row>
    <row r="683" spans="1:8" x14ac:dyDescent="0.25">
      <c r="A683" s="316">
        <v>1007</v>
      </c>
      <c r="B683" s="316">
        <v>67895</v>
      </c>
      <c r="C683" s="315" t="s">
        <v>718</v>
      </c>
      <c r="D683" s="315" t="s">
        <v>719</v>
      </c>
      <c r="E683" s="315" t="s">
        <v>516</v>
      </c>
      <c r="F683" s="315" t="s">
        <v>1436</v>
      </c>
      <c r="G683" s="315" t="s">
        <v>744</v>
      </c>
      <c r="H683" s="315" t="s">
        <v>822</v>
      </c>
    </row>
    <row r="684" spans="1:8" x14ac:dyDescent="0.25">
      <c r="A684" s="316">
        <v>481</v>
      </c>
      <c r="B684" s="316">
        <v>64032</v>
      </c>
      <c r="C684" s="315" t="s">
        <v>728</v>
      </c>
      <c r="D684" s="315" t="s">
        <v>729</v>
      </c>
      <c r="E684" s="315" t="s">
        <v>462</v>
      </c>
      <c r="F684" s="315" t="s">
        <v>1437</v>
      </c>
      <c r="G684" s="315" t="s">
        <v>744</v>
      </c>
      <c r="H684" s="315" t="s">
        <v>822</v>
      </c>
    </row>
    <row r="685" spans="1:8" x14ac:dyDescent="0.25">
      <c r="A685" s="316">
        <v>883</v>
      </c>
      <c r="B685" s="316">
        <v>67918</v>
      </c>
      <c r="C685" s="315" t="s">
        <v>645</v>
      </c>
      <c r="D685" s="315" t="s">
        <v>646</v>
      </c>
      <c r="E685" s="315" t="s">
        <v>501</v>
      </c>
      <c r="F685" s="315" t="s">
        <v>1438</v>
      </c>
      <c r="G685" s="315" t="s">
        <v>744</v>
      </c>
      <c r="H685" s="315" t="s">
        <v>822</v>
      </c>
    </row>
    <row r="686" spans="1:8" x14ac:dyDescent="0.25">
      <c r="A686" s="316">
        <v>950</v>
      </c>
      <c r="B686" s="316">
        <v>3594</v>
      </c>
      <c r="C686" s="315" t="s">
        <v>728</v>
      </c>
      <c r="D686" s="315" t="s">
        <v>757</v>
      </c>
      <c r="E686" s="315" t="s">
        <v>360</v>
      </c>
      <c r="F686" s="315" t="s">
        <v>1439</v>
      </c>
      <c r="G686" s="315" t="s">
        <v>1038</v>
      </c>
      <c r="H686" s="315" t="s">
        <v>1039</v>
      </c>
    </row>
    <row r="687" spans="1:8" x14ac:dyDescent="0.25">
      <c r="A687" s="316">
        <v>148</v>
      </c>
      <c r="B687" s="316">
        <v>49</v>
      </c>
      <c r="C687" s="315" t="s">
        <v>771</v>
      </c>
      <c r="D687" s="315" t="s">
        <v>776</v>
      </c>
      <c r="E687" s="315" t="s">
        <v>459</v>
      </c>
      <c r="F687" s="315" t="s">
        <v>1440</v>
      </c>
      <c r="G687" s="315" t="s">
        <v>634</v>
      </c>
      <c r="H687" s="315" t="s">
        <v>635</v>
      </c>
    </row>
    <row r="688" spans="1:8" x14ac:dyDescent="0.25">
      <c r="A688" s="316">
        <v>507</v>
      </c>
      <c r="B688" s="316">
        <v>64264</v>
      </c>
      <c r="C688" s="315" t="s">
        <v>761</v>
      </c>
      <c r="D688" s="315" t="s">
        <v>762</v>
      </c>
      <c r="E688" s="315" t="s">
        <v>591</v>
      </c>
      <c r="F688" s="315" t="s">
        <v>1441</v>
      </c>
      <c r="G688" s="315" t="s">
        <v>634</v>
      </c>
      <c r="H688" s="315" t="s">
        <v>1442</v>
      </c>
    </row>
    <row r="689" spans="1:8" x14ac:dyDescent="0.25">
      <c r="A689" s="316">
        <v>756</v>
      </c>
      <c r="B689" s="316">
        <v>64873</v>
      </c>
      <c r="C689" s="315" t="s">
        <v>706</v>
      </c>
      <c r="D689" s="315" t="s">
        <v>709</v>
      </c>
      <c r="E689" s="315" t="s">
        <v>576</v>
      </c>
      <c r="F689" s="315" t="s">
        <v>1443</v>
      </c>
      <c r="G689" s="315" t="s">
        <v>634</v>
      </c>
      <c r="H689" s="315" t="s">
        <v>665</v>
      </c>
    </row>
    <row r="690" spans="1:8" x14ac:dyDescent="0.25">
      <c r="A690" s="316">
        <v>951</v>
      </c>
      <c r="B690" s="316">
        <v>13785</v>
      </c>
      <c r="C690" s="315" t="s">
        <v>636</v>
      </c>
      <c r="D690" s="315" t="s">
        <v>653</v>
      </c>
      <c r="E690" s="315" t="s">
        <v>362</v>
      </c>
      <c r="F690" s="315" t="s">
        <v>1444</v>
      </c>
      <c r="G690" s="315" t="s">
        <v>744</v>
      </c>
      <c r="H690" s="315" t="s">
        <v>752</v>
      </c>
    </row>
    <row r="691" spans="1:8" x14ac:dyDescent="0.25">
      <c r="A691" s="316">
        <v>974</v>
      </c>
      <c r="B691" s="316">
        <v>12596</v>
      </c>
      <c r="C691" s="315" t="s">
        <v>706</v>
      </c>
      <c r="D691" s="315" t="s">
        <v>834</v>
      </c>
      <c r="E691" s="315" t="s">
        <v>553</v>
      </c>
      <c r="F691" s="315" t="s">
        <v>1445</v>
      </c>
      <c r="G691" s="315" t="s">
        <v>744</v>
      </c>
      <c r="H691" s="315" t="s">
        <v>752</v>
      </c>
    </row>
    <row r="692" spans="1:8" x14ac:dyDescent="0.25">
      <c r="A692" s="316">
        <v>189</v>
      </c>
      <c r="B692" s="316">
        <v>46558</v>
      </c>
      <c r="C692" s="315" t="s">
        <v>636</v>
      </c>
      <c r="D692" s="315" t="s">
        <v>711</v>
      </c>
      <c r="E692" s="315" t="s">
        <v>502</v>
      </c>
      <c r="F692" s="315" t="s">
        <v>1446</v>
      </c>
      <c r="G692" s="315" t="s">
        <v>634</v>
      </c>
      <c r="H692" s="315" t="s">
        <v>635</v>
      </c>
    </row>
    <row r="693" spans="1:8" x14ac:dyDescent="0.25">
      <c r="A693" s="316">
        <v>76</v>
      </c>
      <c r="B693" s="316">
        <v>48898</v>
      </c>
      <c r="C693" s="315" t="s">
        <v>771</v>
      </c>
      <c r="D693" s="315" t="s">
        <v>776</v>
      </c>
      <c r="E693" s="315" t="s">
        <v>387</v>
      </c>
      <c r="F693" s="315" t="s">
        <v>1447</v>
      </c>
      <c r="G693" s="315" t="s">
        <v>634</v>
      </c>
      <c r="H693" s="315" t="s">
        <v>635</v>
      </c>
    </row>
    <row r="694" spans="1:8" x14ac:dyDescent="0.25">
      <c r="A694" s="316">
        <v>256</v>
      </c>
      <c r="B694" s="316">
        <v>289</v>
      </c>
      <c r="C694" s="315" t="s">
        <v>636</v>
      </c>
      <c r="D694" s="315" t="s">
        <v>816</v>
      </c>
      <c r="E694" s="315" t="s">
        <v>570</v>
      </c>
      <c r="F694" s="315" t="s">
        <v>1448</v>
      </c>
      <c r="G694" s="315" t="s">
        <v>634</v>
      </c>
      <c r="H694" s="315" t="s">
        <v>635</v>
      </c>
    </row>
    <row r="695" spans="1:8" x14ac:dyDescent="0.25">
      <c r="A695" s="316">
        <v>718</v>
      </c>
      <c r="B695" s="316">
        <v>64190</v>
      </c>
      <c r="C695" s="315" t="s">
        <v>640</v>
      </c>
      <c r="D695" s="315" t="s">
        <v>688</v>
      </c>
      <c r="E695" s="315" t="s">
        <v>511</v>
      </c>
      <c r="F695" s="315" t="s">
        <v>1449</v>
      </c>
      <c r="G695" s="315" t="s">
        <v>1038</v>
      </c>
      <c r="H695" s="315" t="s">
        <v>1039</v>
      </c>
    </row>
    <row r="696" spans="1:8" x14ac:dyDescent="0.25">
      <c r="A696" s="316">
        <v>880</v>
      </c>
      <c r="B696" s="316">
        <v>67169</v>
      </c>
      <c r="C696" s="315" t="s">
        <v>640</v>
      </c>
      <c r="D696" s="315" t="s">
        <v>774</v>
      </c>
      <c r="E696" s="315" t="s">
        <v>460</v>
      </c>
      <c r="F696" s="315" t="s">
        <v>1450</v>
      </c>
      <c r="G696" s="315" t="s">
        <v>634</v>
      </c>
      <c r="H696" s="315" t="s">
        <v>665</v>
      </c>
    </row>
    <row r="697" spans="1:8" x14ac:dyDescent="0.25">
      <c r="A697" s="316">
        <v>941</v>
      </c>
      <c r="B697" s="316">
        <v>67875</v>
      </c>
      <c r="C697" s="315" t="s">
        <v>640</v>
      </c>
      <c r="D697" s="315" t="s">
        <v>683</v>
      </c>
      <c r="E697" s="315" t="s">
        <v>324</v>
      </c>
      <c r="F697" s="315" t="s">
        <v>1451</v>
      </c>
      <c r="G697" s="315" t="s">
        <v>1038</v>
      </c>
      <c r="H697" s="315" t="s">
        <v>1039</v>
      </c>
    </row>
    <row r="698" spans="1:8" x14ac:dyDescent="0.25">
      <c r="A698" s="316">
        <v>52</v>
      </c>
      <c r="B698" s="316">
        <v>267</v>
      </c>
      <c r="C698" s="315" t="s">
        <v>636</v>
      </c>
      <c r="D698" s="315" t="s">
        <v>653</v>
      </c>
      <c r="E698" s="315" t="s">
        <v>362</v>
      </c>
      <c r="F698" s="315" t="s">
        <v>1452</v>
      </c>
      <c r="G698" s="315" t="s">
        <v>634</v>
      </c>
      <c r="H698" s="315" t="s">
        <v>635</v>
      </c>
    </row>
    <row r="699" spans="1:8" x14ac:dyDescent="0.25">
      <c r="A699" s="316">
        <v>120</v>
      </c>
      <c r="B699" s="316">
        <v>48916</v>
      </c>
      <c r="C699" s="315" t="s">
        <v>679</v>
      </c>
      <c r="D699" s="315" t="s">
        <v>704</v>
      </c>
      <c r="E699" s="315" t="s">
        <v>429</v>
      </c>
      <c r="F699" s="315" t="s">
        <v>1453</v>
      </c>
      <c r="G699" s="315" t="s">
        <v>634</v>
      </c>
      <c r="H699" s="315" t="s">
        <v>635</v>
      </c>
    </row>
    <row r="700" spans="1:8" x14ac:dyDescent="0.25">
      <c r="A700" s="316">
        <v>198</v>
      </c>
      <c r="B700" s="316">
        <v>24723</v>
      </c>
      <c r="C700" s="315" t="s">
        <v>706</v>
      </c>
      <c r="D700" s="315" t="s">
        <v>799</v>
      </c>
      <c r="E700" s="315" t="s">
        <v>510</v>
      </c>
      <c r="F700" s="315" t="s">
        <v>1454</v>
      </c>
      <c r="G700" s="315" t="s">
        <v>634</v>
      </c>
      <c r="H700" s="315" t="s">
        <v>635</v>
      </c>
    </row>
    <row r="701" spans="1:8" x14ac:dyDescent="0.25">
      <c r="A701" s="316">
        <v>368</v>
      </c>
      <c r="B701" s="316">
        <v>278</v>
      </c>
      <c r="C701" s="315" t="s">
        <v>679</v>
      </c>
      <c r="D701" s="315" t="s">
        <v>704</v>
      </c>
      <c r="E701" s="315" t="s">
        <v>363</v>
      </c>
      <c r="F701" s="315" t="s">
        <v>1455</v>
      </c>
      <c r="G701" s="315" t="s">
        <v>634</v>
      </c>
      <c r="H701" s="315" t="s">
        <v>635</v>
      </c>
    </row>
    <row r="702" spans="1:8" x14ac:dyDescent="0.25">
      <c r="A702" s="316">
        <v>140</v>
      </c>
      <c r="B702" s="316">
        <v>63960</v>
      </c>
      <c r="C702" s="315" t="s">
        <v>640</v>
      </c>
      <c r="D702" s="315" t="s">
        <v>663</v>
      </c>
      <c r="E702" s="315" t="s">
        <v>451</v>
      </c>
      <c r="F702" s="315" t="s">
        <v>1456</v>
      </c>
      <c r="G702" s="315" t="s">
        <v>634</v>
      </c>
      <c r="H702" s="315" t="s">
        <v>635</v>
      </c>
    </row>
    <row r="703" spans="1:8" x14ac:dyDescent="0.25">
      <c r="A703" s="316">
        <v>293</v>
      </c>
      <c r="B703" s="316">
        <v>57726</v>
      </c>
      <c r="C703" s="315" t="s">
        <v>679</v>
      </c>
      <c r="D703" s="315" t="s">
        <v>704</v>
      </c>
      <c r="E703" s="315" t="s">
        <v>605</v>
      </c>
      <c r="F703" s="315" t="s">
        <v>1457</v>
      </c>
      <c r="G703" s="315" t="s">
        <v>634</v>
      </c>
      <c r="H703" s="315" t="s">
        <v>635</v>
      </c>
    </row>
    <row r="704" spans="1:8" x14ac:dyDescent="0.25">
      <c r="A704" s="316">
        <v>906</v>
      </c>
      <c r="B704" s="316">
        <v>51470</v>
      </c>
      <c r="C704" s="315" t="s">
        <v>645</v>
      </c>
      <c r="D704" s="315" t="s">
        <v>659</v>
      </c>
      <c r="E704" s="315" t="s">
        <v>492</v>
      </c>
      <c r="F704" s="315" t="s">
        <v>1458</v>
      </c>
      <c r="G704" s="315" t="s">
        <v>634</v>
      </c>
      <c r="H704" s="315" t="s">
        <v>1192</v>
      </c>
    </row>
    <row r="705" spans="1:8" x14ac:dyDescent="0.25">
      <c r="A705" s="316">
        <v>250</v>
      </c>
      <c r="B705" s="316">
        <v>48926</v>
      </c>
      <c r="C705" s="315" t="s">
        <v>706</v>
      </c>
      <c r="D705" s="315" t="s">
        <v>892</v>
      </c>
      <c r="E705" s="315" t="s">
        <v>564</v>
      </c>
      <c r="F705" s="315" t="s">
        <v>1459</v>
      </c>
      <c r="G705" s="315" t="s">
        <v>634</v>
      </c>
      <c r="H705" s="315" t="s">
        <v>635</v>
      </c>
    </row>
    <row r="706" spans="1:8" x14ac:dyDescent="0.25">
      <c r="A706" s="316">
        <v>244</v>
      </c>
      <c r="B706" s="316">
        <v>1505</v>
      </c>
      <c r="C706" s="315" t="s">
        <v>728</v>
      </c>
      <c r="D706" s="315" t="s">
        <v>729</v>
      </c>
      <c r="E706" s="315" t="s">
        <v>558</v>
      </c>
      <c r="F706" s="315" t="s">
        <v>1460</v>
      </c>
      <c r="G706" s="315" t="s">
        <v>634</v>
      </c>
      <c r="H706" s="315" t="s">
        <v>635</v>
      </c>
    </row>
    <row r="707" spans="1:8" x14ac:dyDescent="0.25">
      <c r="A707" s="316">
        <v>881</v>
      </c>
      <c r="B707" s="316">
        <v>66223</v>
      </c>
      <c r="C707" s="315" t="s">
        <v>728</v>
      </c>
      <c r="D707" s="315" t="s">
        <v>757</v>
      </c>
      <c r="E707" s="315" t="s">
        <v>606</v>
      </c>
      <c r="F707" s="315" t="s">
        <v>1461</v>
      </c>
      <c r="G707" s="315" t="s">
        <v>744</v>
      </c>
      <c r="H707" s="315" t="s">
        <v>745</v>
      </c>
    </row>
    <row r="708" spans="1:8" x14ac:dyDescent="0.25">
      <c r="A708" s="316">
        <v>485</v>
      </c>
      <c r="B708" s="316">
        <v>63848</v>
      </c>
      <c r="C708" s="315" t="s">
        <v>728</v>
      </c>
      <c r="D708" s="315" t="s">
        <v>757</v>
      </c>
      <c r="E708" s="315" t="s">
        <v>351</v>
      </c>
      <c r="F708" s="315" t="s">
        <v>1462</v>
      </c>
      <c r="G708" s="315" t="s">
        <v>634</v>
      </c>
      <c r="H708" s="315" t="s">
        <v>644</v>
      </c>
    </row>
    <row r="709" spans="1:8" x14ac:dyDescent="0.25">
      <c r="A709" s="316">
        <v>641</v>
      </c>
      <c r="B709" s="316">
        <v>63849</v>
      </c>
      <c r="C709" s="315" t="s">
        <v>728</v>
      </c>
      <c r="D709" s="315" t="s">
        <v>757</v>
      </c>
      <c r="E709" s="315" t="s">
        <v>351</v>
      </c>
      <c r="F709" s="315" t="s">
        <v>1463</v>
      </c>
      <c r="G709" s="315" t="s">
        <v>634</v>
      </c>
      <c r="H709" s="315" t="s">
        <v>1464</v>
      </c>
    </row>
    <row r="710" spans="1:8" x14ac:dyDescent="0.25">
      <c r="A710" s="316">
        <v>806</v>
      </c>
      <c r="B710" s="316">
        <v>32</v>
      </c>
      <c r="C710" s="315" t="s">
        <v>706</v>
      </c>
      <c r="D710" s="315" t="s">
        <v>834</v>
      </c>
      <c r="E710" s="315" t="s">
        <v>379</v>
      </c>
      <c r="F710" s="315" t="s">
        <v>1465</v>
      </c>
      <c r="G710" s="315" t="s">
        <v>634</v>
      </c>
      <c r="H710" s="315" t="s">
        <v>905</v>
      </c>
    </row>
    <row r="711" spans="1:8" x14ac:dyDescent="0.25">
      <c r="A711" s="316">
        <v>116</v>
      </c>
      <c r="B711" s="316">
        <v>63944</v>
      </c>
      <c r="C711" s="315" t="s">
        <v>771</v>
      </c>
      <c r="D711" s="315" t="s">
        <v>772</v>
      </c>
      <c r="E711" s="315" t="s">
        <v>425</v>
      </c>
      <c r="F711" s="315" t="s">
        <v>1466</v>
      </c>
      <c r="G711" s="315" t="s">
        <v>634</v>
      </c>
      <c r="H711" s="315" t="s">
        <v>635</v>
      </c>
    </row>
    <row r="712" spans="1:8" x14ac:dyDescent="0.25">
      <c r="A712" s="316">
        <v>323</v>
      </c>
      <c r="B712" s="316">
        <v>64031</v>
      </c>
      <c r="C712" s="315" t="s">
        <v>631</v>
      </c>
      <c r="D712" s="315" t="s">
        <v>632</v>
      </c>
      <c r="E712" s="315" t="s">
        <v>585</v>
      </c>
      <c r="F712" s="315" t="s">
        <v>1467</v>
      </c>
      <c r="G712" s="315" t="s">
        <v>634</v>
      </c>
      <c r="H712" s="315" t="s">
        <v>635</v>
      </c>
    </row>
    <row r="713" spans="1:8" x14ac:dyDescent="0.25">
      <c r="A713" s="316">
        <v>328</v>
      </c>
      <c r="B713" s="316">
        <v>259</v>
      </c>
      <c r="C713" s="315" t="s">
        <v>631</v>
      </c>
      <c r="D713" s="315" t="s">
        <v>632</v>
      </c>
      <c r="E713" s="315" t="s">
        <v>585</v>
      </c>
      <c r="F713" s="315" t="s">
        <v>231</v>
      </c>
      <c r="G713" s="315" t="s">
        <v>634</v>
      </c>
      <c r="H713" s="315" t="s">
        <v>639</v>
      </c>
    </row>
    <row r="714" spans="1:8" x14ac:dyDescent="0.25">
      <c r="A714" s="316">
        <v>353</v>
      </c>
      <c r="B714" s="316">
        <v>64329</v>
      </c>
      <c r="C714" s="315" t="s">
        <v>631</v>
      </c>
      <c r="D714" s="315" t="s">
        <v>632</v>
      </c>
      <c r="E714" s="315" t="s">
        <v>585</v>
      </c>
      <c r="F714" s="315" t="s">
        <v>1468</v>
      </c>
      <c r="G714" s="315" t="s">
        <v>634</v>
      </c>
      <c r="H714" s="315" t="s">
        <v>644</v>
      </c>
    </row>
    <row r="715" spans="1:8" x14ac:dyDescent="0.25">
      <c r="A715" s="316">
        <v>372</v>
      </c>
      <c r="B715" s="316">
        <v>64162</v>
      </c>
      <c r="C715" s="315" t="s">
        <v>631</v>
      </c>
      <c r="D715" s="315" t="s">
        <v>632</v>
      </c>
      <c r="E715" s="315" t="s">
        <v>585</v>
      </c>
      <c r="F715" s="315" t="s">
        <v>1469</v>
      </c>
      <c r="G715" s="315" t="s">
        <v>634</v>
      </c>
      <c r="H715" s="315" t="s">
        <v>635</v>
      </c>
    </row>
    <row r="716" spans="1:8" x14ac:dyDescent="0.25">
      <c r="A716" s="316">
        <v>559</v>
      </c>
      <c r="B716" s="316">
        <v>64727</v>
      </c>
      <c r="C716" s="315" t="s">
        <v>631</v>
      </c>
      <c r="D716" s="315" t="s">
        <v>632</v>
      </c>
      <c r="E716" s="315" t="s">
        <v>585</v>
      </c>
      <c r="F716" s="315" t="s">
        <v>1470</v>
      </c>
      <c r="G716" s="315" t="s">
        <v>634</v>
      </c>
      <c r="H716" s="315" t="s">
        <v>984</v>
      </c>
    </row>
    <row r="717" spans="1:8" x14ac:dyDescent="0.25">
      <c r="A717" s="316">
        <v>629</v>
      </c>
      <c r="B717" s="316">
        <v>291</v>
      </c>
      <c r="C717" s="315" t="s">
        <v>631</v>
      </c>
      <c r="D717" s="315" t="s">
        <v>632</v>
      </c>
      <c r="E717" s="315" t="s">
        <v>585</v>
      </c>
      <c r="F717" s="315" t="s">
        <v>1471</v>
      </c>
      <c r="G717" s="315" t="s">
        <v>634</v>
      </c>
      <c r="H717" s="315" t="s">
        <v>644</v>
      </c>
    </row>
    <row r="718" spans="1:8" x14ac:dyDescent="0.25">
      <c r="A718" s="316">
        <v>741</v>
      </c>
      <c r="B718" s="316">
        <v>54854</v>
      </c>
      <c r="C718" s="315" t="s">
        <v>631</v>
      </c>
      <c r="D718" s="315" t="s">
        <v>632</v>
      </c>
      <c r="E718" s="315" t="s">
        <v>585</v>
      </c>
      <c r="F718" s="315" t="s">
        <v>1472</v>
      </c>
      <c r="G718" s="315" t="s">
        <v>634</v>
      </c>
      <c r="H718" s="315" t="s">
        <v>905</v>
      </c>
    </row>
    <row r="719" spans="1:8" x14ac:dyDescent="0.25">
      <c r="A719" s="316">
        <v>987</v>
      </c>
      <c r="B719" s="316">
        <v>26206</v>
      </c>
      <c r="C719" s="315" t="s">
        <v>631</v>
      </c>
      <c r="D719" s="315" t="s">
        <v>632</v>
      </c>
      <c r="E719" s="315" t="s">
        <v>585</v>
      </c>
      <c r="F719" s="315" t="s">
        <v>1473</v>
      </c>
      <c r="G719" s="315" t="s">
        <v>744</v>
      </c>
      <c r="H719" s="315" t="s">
        <v>1474</v>
      </c>
    </row>
    <row r="720" spans="1:8" x14ac:dyDescent="0.25">
      <c r="A720" s="316">
        <v>988</v>
      </c>
      <c r="B720" s="316">
        <v>68201</v>
      </c>
      <c r="C720" s="315" t="s">
        <v>631</v>
      </c>
      <c r="D720" s="315" t="s">
        <v>632</v>
      </c>
      <c r="E720" s="315" t="s">
        <v>585</v>
      </c>
      <c r="F720" s="315" t="s">
        <v>1475</v>
      </c>
      <c r="G720" s="315" t="s">
        <v>744</v>
      </c>
      <c r="H720" s="315" t="s">
        <v>745</v>
      </c>
    </row>
    <row r="721" spans="1:8" x14ac:dyDescent="0.25">
      <c r="A721" s="316">
        <v>990</v>
      </c>
      <c r="B721" s="316">
        <v>67868</v>
      </c>
      <c r="C721" s="315" t="s">
        <v>631</v>
      </c>
      <c r="D721" s="315" t="s">
        <v>632</v>
      </c>
      <c r="E721" s="315" t="s">
        <v>585</v>
      </c>
      <c r="F721" s="315" t="s">
        <v>1476</v>
      </c>
      <c r="G721" s="315" t="s">
        <v>744</v>
      </c>
      <c r="H721" s="315" t="s">
        <v>745</v>
      </c>
    </row>
    <row r="722" spans="1:8" x14ac:dyDescent="0.25">
      <c r="A722" s="316">
        <v>991</v>
      </c>
      <c r="B722" s="316">
        <v>67880</v>
      </c>
      <c r="C722" s="315" t="s">
        <v>631</v>
      </c>
      <c r="D722" s="315" t="s">
        <v>632</v>
      </c>
      <c r="E722" s="315" t="s">
        <v>585</v>
      </c>
      <c r="F722" s="315" t="s">
        <v>1477</v>
      </c>
      <c r="G722" s="315" t="s">
        <v>744</v>
      </c>
      <c r="H722" s="315" t="s">
        <v>745</v>
      </c>
    </row>
    <row r="723" spans="1:8" x14ac:dyDescent="0.25">
      <c r="A723" s="316">
        <v>995</v>
      </c>
      <c r="B723" s="316">
        <v>67861</v>
      </c>
      <c r="C723" s="315" t="s">
        <v>631</v>
      </c>
      <c r="D723" s="315" t="s">
        <v>632</v>
      </c>
      <c r="E723" s="315" t="s">
        <v>585</v>
      </c>
      <c r="F723" s="315" t="s">
        <v>1478</v>
      </c>
      <c r="G723" s="315" t="s">
        <v>744</v>
      </c>
      <c r="H723" s="315" t="s">
        <v>745</v>
      </c>
    </row>
    <row r="724" spans="1:8" x14ac:dyDescent="0.25">
      <c r="A724" s="316">
        <v>996</v>
      </c>
      <c r="B724" s="316">
        <v>67584</v>
      </c>
      <c r="C724" s="315" t="s">
        <v>631</v>
      </c>
      <c r="D724" s="315" t="s">
        <v>632</v>
      </c>
      <c r="E724" s="315" t="s">
        <v>585</v>
      </c>
      <c r="F724" s="315" t="s">
        <v>1479</v>
      </c>
      <c r="G724" s="315" t="s">
        <v>744</v>
      </c>
      <c r="H724" s="315" t="s">
        <v>1480</v>
      </c>
    </row>
    <row r="725" spans="1:8" x14ac:dyDescent="0.25">
      <c r="A725" s="316">
        <v>253</v>
      </c>
      <c r="B725" s="316">
        <v>147</v>
      </c>
      <c r="C725" s="315" t="s">
        <v>631</v>
      </c>
      <c r="D725" s="315" t="s">
        <v>840</v>
      </c>
      <c r="E725" s="315" t="s">
        <v>567</v>
      </c>
      <c r="F725" s="315" t="s">
        <v>1481</v>
      </c>
      <c r="G725" s="315" t="s">
        <v>634</v>
      </c>
      <c r="H725" s="315" t="s">
        <v>635</v>
      </c>
    </row>
    <row r="726" spans="1:8" x14ac:dyDescent="0.25">
      <c r="A726" s="316">
        <v>421</v>
      </c>
      <c r="B726" s="316">
        <v>64152</v>
      </c>
      <c r="C726" s="315" t="s">
        <v>679</v>
      </c>
      <c r="D726" s="315" t="s">
        <v>859</v>
      </c>
      <c r="E726" s="315" t="s">
        <v>342</v>
      </c>
      <c r="F726" s="315" t="s">
        <v>1482</v>
      </c>
      <c r="G726" s="315" t="s">
        <v>634</v>
      </c>
      <c r="H726" s="315" t="s">
        <v>673</v>
      </c>
    </row>
    <row r="727" spans="1:8" x14ac:dyDescent="0.25">
      <c r="A727" s="316">
        <v>464</v>
      </c>
      <c r="B727" s="316">
        <v>63966</v>
      </c>
      <c r="C727" s="315" t="s">
        <v>679</v>
      </c>
      <c r="D727" s="315" t="s">
        <v>859</v>
      </c>
      <c r="E727" s="315" t="s">
        <v>441</v>
      </c>
      <c r="F727" s="315" t="s">
        <v>1483</v>
      </c>
      <c r="G727" s="315" t="s">
        <v>634</v>
      </c>
      <c r="H727" s="315" t="s">
        <v>726</v>
      </c>
    </row>
    <row r="728" spans="1:8" x14ac:dyDescent="0.25">
      <c r="A728" s="316">
        <v>545</v>
      </c>
      <c r="B728" s="316">
        <v>64027</v>
      </c>
      <c r="C728" s="315" t="s">
        <v>679</v>
      </c>
      <c r="D728" s="315" t="s">
        <v>859</v>
      </c>
      <c r="E728" s="315" t="s">
        <v>441</v>
      </c>
      <c r="F728" s="315" t="s">
        <v>1484</v>
      </c>
      <c r="G728" s="315" t="s">
        <v>744</v>
      </c>
      <c r="H728" s="315" t="s">
        <v>745</v>
      </c>
    </row>
    <row r="729" spans="1:8" x14ac:dyDescent="0.25">
      <c r="A729" s="316">
        <v>625</v>
      </c>
      <c r="B729" s="316">
        <v>182</v>
      </c>
      <c r="C729" s="315" t="s">
        <v>631</v>
      </c>
      <c r="D729" s="315" t="s">
        <v>661</v>
      </c>
      <c r="E729" s="315" t="s">
        <v>334</v>
      </c>
      <c r="F729" s="315" t="s">
        <v>1485</v>
      </c>
      <c r="G729" s="315" t="s">
        <v>634</v>
      </c>
      <c r="H729" s="315" t="s">
        <v>665</v>
      </c>
    </row>
    <row r="730" spans="1:8" x14ac:dyDescent="0.25">
      <c r="A730" s="316">
        <v>667</v>
      </c>
      <c r="B730" s="316">
        <v>63792</v>
      </c>
      <c r="C730" s="315" t="s">
        <v>631</v>
      </c>
      <c r="D730" s="315" t="s">
        <v>840</v>
      </c>
      <c r="E730" s="315" t="s">
        <v>325</v>
      </c>
      <c r="F730" s="315" t="s">
        <v>1486</v>
      </c>
      <c r="G730" s="315" t="s">
        <v>744</v>
      </c>
      <c r="H730" s="315" t="s">
        <v>822</v>
      </c>
    </row>
    <row r="731" spans="1:8" x14ac:dyDescent="0.25">
      <c r="A731" s="316">
        <v>692</v>
      </c>
      <c r="B731" s="316">
        <v>63915</v>
      </c>
      <c r="C731" s="315" t="s">
        <v>631</v>
      </c>
      <c r="D731" s="315" t="s">
        <v>840</v>
      </c>
      <c r="E731" s="315" t="s">
        <v>410</v>
      </c>
      <c r="F731" s="315" t="s">
        <v>1487</v>
      </c>
      <c r="G731" s="315" t="s">
        <v>744</v>
      </c>
      <c r="H731" s="315" t="s">
        <v>745</v>
      </c>
    </row>
    <row r="732" spans="1:8" x14ac:dyDescent="0.25">
      <c r="A732" s="316">
        <v>755</v>
      </c>
      <c r="B732" s="316">
        <v>64334</v>
      </c>
      <c r="C732" s="315" t="s">
        <v>631</v>
      </c>
      <c r="D732" s="315" t="s">
        <v>766</v>
      </c>
      <c r="E732" s="315" t="s">
        <v>575</v>
      </c>
      <c r="F732" s="315" t="s">
        <v>1488</v>
      </c>
      <c r="G732" s="315" t="s">
        <v>744</v>
      </c>
      <c r="H732" s="315" t="s">
        <v>745</v>
      </c>
    </row>
    <row r="733" spans="1:8" x14ac:dyDescent="0.25">
      <c r="A733" s="316">
        <v>860</v>
      </c>
      <c r="B733" s="316">
        <v>66272</v>
      </c>
      <c r="C733" s="315" t="s">
        <v>679</v>
      </c>
      <c r="D733" s="315" t="s">
        <v>859</v>
      </c>
      <c r="E733" s="315" t="s">
        <v>342</v>
      </c>
      <c r="F733" s="315" t="s">
        <v>1489</v>
      </c>
      <c r="G733" s="315" t="s">
        <v>1038</v>
      </c>
      <c r="H733" s="315" t="s">
        <v>1039</v>
      </c>
    </row>
    <row r="734" spans="1:8" x14ac:dyDescent="0.25">
      <c r="A734" s="316">
        <v>874</v>
      </c>
      <c r="B734" s="316">
        <v>66196</v>
      </c>
      <c r="C734" s="315" t="s">
        <v>679</v>
      </c>
      <c r="D734" s="315" t="s">
        <v>902</v>
      </c>
      <c r="E734" s="315" t="s">
        <v>430</v>
      </c>
      <c r="F734" s="315" t="s">
        <v>1490</v>
      </c>
      <c r="G734" s="315" t="s">
        <v>744</v>
      </c>
      <c r="H734" s="315" t="s">
        <v>745</v>
      </c>
    </row>
    <row r="735" spans="1:8" x14ac:dyDescent="0.25">
      <c r="A735" s="316">
        <v>888</v>
      </c>
      <c r="B735" s="316">
        <v>66270</v>
      </c>
      <c r="C735" s="315" t="s">
        <v>679</v>
      </c>
      <c r="D735" s="315" t="s">
        <v>704</v>
      </c>
      <c r="E735" s="315" t="s">
        <v>536</v>
      </c>
      <c r="F735" s="315" t="s">
        <v>1491</v>
      </c>
      <c r="G735" s="315" t="s">
        <v>744</v>
      </c>
      <c r="H735" s="315" t="s">
        <v>822</v>
      </c>
    </row>
    <row r="736" spans="1:8" x14ac:dyDescent="0.25">
      <c r="A736" s="316">
        <v>889</v>
      </c>
      <c r="B736" s="316">
        <v>66269</v>
      </c>
      <c r="C736" s="315" t="s">
        <v>679</v>
      </c>
      <c r="D736" s="315" t="s">
        <v>704</v>
      </c>
      <c r="E736" s="315" t="s">
        <v>536</v>
      </c>
      <c r="F736" s="315" t="s">
        <v>1492</v>
      </c>
      <c r="G736" s="315" t="s">
        <v>634</v>
      </c>
      <c r="H736" s="315" t="s">
        <v>996</v>
      </c>
    </row>
    <row r="737" spans="1:8" x14ac:dyDescent="0.25">
      <c r="A737" s="316">
        <v>922</v>
      </c>
      <c r="B737" s="316">
        <v>67692</v>
      </c>
      <c r="C737" s="315" t="s">
        <v>679</v>
      </c>
      <c r="D737" s="315" t="s">
        <v>859</v>
      </c>
      <c r="E737" s="315" t="s">
        <v>342</v>
      </c>
      <c r="F737" s="315" t="s">
        <v>1493</v>
      </c>
      <c r="G737" s="315" t="s">
        <v>634</v>
      </c>
      <c r="H737" s="315" t="s">
        <v>687</v>
      </c>
    </row>
    <row r="738" spans="1:8" x14ac:dyDescent="0.25">
      <c r="A738" s="316">
        <v>203</v>
      </c>
      <c r="B738" s="316">
        <v>142</v>
      </c>
      <c r="C738" s="315" t="s">
        <v>640</v>
      </c>
      <c r="D738" s="315" t="s">
        <v>657</v>
      </c>
      <c r="E738" s="315" t="s">
        <v>515</v>
      </c>
      <c r="F738" s="315" t="s">
        <v>1494</v>
      </c>
      <c r="G738" s="315" t="s">
        <v>634</v>
      </c>
      <c r="H738" s="315" t="s">
        <v>635</v>
      </c>
    </row>
    <row r="739" spans="1:8" x14ac:dyDescent="0.25">
      <c r="A739" s="316">
        <v>54</v>
      </c>
      <c r="B739" s="316">
        <v>48905</v>
      </c>
      <c r="C739" s="315" t="s">
        <v>728</v>
      </c>
      <c r="D739" s="315" t="s">
        <v>852</v>
      </c>
      <c r="E739" s="315" t="s">
        <v>365</v>
      </c>
      <c r="F739" s="315" t="s">
        <v>1495</v>
      </c>
      <c r="G739" s="315" t="s">
        <v>634</v>
      </c>
      <c r="H739" s="315" t="s">
        <v>635</v>
      </c>
    </row>
    <row r="740" spans="1:8" x14ac:dyDescent="0.25">
      <c r="A740" s="316">
        <v>528</v>
      </c>
      <c r="B740" s="316">
        <v>63863</v>
      </c>
      <c r="C740" s="315" t="s">
        <v>728</v>
      </c>
      <c r="D740" s="315" t="s">
        <v>852</v>
      </c>
      <c r="E740" s="315" t="s">
        <v>365</v>
      </c>
      <c r="F740" s="315" t="s">
        <v>1496</v>
      </c>
      <c r="G740" s="315" t="s">
        <v>634</v>
      </c>
      <c r="H740" s="315" t="s">
        <v>990</v>
      </c>
    </row>
    <row r="741" spans="1:8" x14ac:dyDescent="0.25">
      <c r="A741" s="316">
        <v>584</v>
      </c>
      <c r="B741" s="316">
        <v>63864</v>
      </c>
      <c r="C741" s="315" t="s">
        <v>728</v>
      </c>
      <c r="D741" s="315" t="s">
        <v>852</v>
      </c>
      <c r="E741" s="315" t="s">
        <v>365</v>
      </c>
      <c r="F741" s="315" t="s">
        <v>1497</v>
      </c>
      <c r="G741" s="315" t="s">
        <v>634</v>
      </c>
      <c r="H741" s="315" t="s">
        <v>665</v>
      </c>
    </row>
    <row r="742" spans="1:8" x14ac:dyDescent="0.25">
      <c r="A742" s="316">
        <v>338</v>
      </c>
      <c r="B742" s="316">
        <v>1118</v>
      </c>
      <c r="C742" s="315" t="s">
        <v>645</v>
      </c>
      <c r="D742" s="315" t="s">
        <v>786</v>
      </c>
      <c r="E742" s="315" t="s">
        <v>403</v>
      </c>
      <c r="F742" s="315" t="s">
        <v>1498</v>
      </c>
      <c r="G742" s="315" t="s">
        <v>634</v>
      </c>
      <c r="H742" s="315" t="s">
        <v>1499</v>
      </c>
    </row>
    <row r="743" spans="1:8" x14ac:dyDescent="0.25">
      <c r="A743" s="316">
        <v>592</v>
      </c>
      <c r="B743" s="316">
        <v>63872</v>
      </c>
      <c r="C743" s="315" t="s">
        <v>645</v>
      </c>
      <c r="D743" s="315" t="s">
        <v>1105</v>
      </c>
      <c r="E743" s="315" t="s">
        <v>623</v>
      </c>
      <c r="F743" s="315" t="s">
        <v>1500</v>
      </c>
      <c r="G743" s="315" t="s">
        <v>744</v>
      </c>
      <c r="H743" s="315" t="s">
        <v>745</v>
      </c>
    </row>
    <row r="744" spans="1:8" x14ac:dyDescent="0.25">
      <c r="A744" s="316">
        <v>1002</v>
      </c>
      <c r="B744" s="316">
        <v>67845</v>
      </c>
      <c r="C744" s="315" t="s">
        <v>645</v>
      </c>
      <c r="D744" s="315" t="s">
        <v>846</v>
      </c>
      <c r="E744" s="315" t="s">
        <v>426</v>
      </c>
      <c r="F744" s="315" t="s">
        <v>1501</v>
      </c>
      <c r="G744" s="315" t="s">
        <v>1038</v>
      </c>
      <c r="H744" s="315" t="s">
        <v>1039</v>
      </c>
    </row>
    <row r="745" spans="1:8" x14ac:dyDescent="0.25">
      <c r="A745" s="316">
        <v>162</v>
      </c>
      <c r="B745" s="316">
        <v>54841</v>
      </c>
      <c r="C745" s="315" t="s">
        <v>706</v>
      </c>
      <c r="D745" s="315" t="s">
        <v>831</v>
      </c>
      <c r="E745" s="315" t="s">
        <v>474</v>
      </c>
      <c r="F745" s="315" t="s">
        <v>1502</v>
      </c>
      <c r="G745" s="315" t="s">
        <v>634</v>
      </c>
      <c r="H745" s="315" t="s">
        <v>635</v>
      </c>
    </row>
    <row r="746" spans="1:8" x14ac:dyDescent="0.25">
      <c r="A746" s="316">
        <v>194</v>
      </c>
      <c r="B746" s="316">
        <v>48950</v>
      </c>
      <c r="C746" s="315" t="s">
        <v>636</v>
      </c>
      <c r="D746" s="315" t="s">
        <v>653</v>
      </c>
      <c r="E746" s="315" t="s">
        <v>506</v>
      </c>
      <c r="F746" s="315" t="s">
        <v>1503</v>
      </c>
      <c r="G746" s="315" t="s">
        <v>634</v>
      </c>
      <c r="H746" s="315" t="s">
        <v>635</v>
      </c>
    </row>
    <row r="747" spans="1:8" x14ac:dyDescent="0.25">
      <c r="A747" s="316">
        <v>717</v>
      </c>
      <c r="B747" s="316">
        <v>303</v>
      </c>
      <c r="C747" s="315" t="s">
        <v>636</v>
      </c>
      <c r="D747" s="315" t="s">
        <v>711</v>
      </c>
      <c r="E747" s="315" t="s">
        <v>505</v>
      </c>
      <c r="F747" s="315" t="s">
        <v>1504</v>
      </c>
      <c r="G747" s="315" t="s">
        <v>634</v>
      </c>
      <c r="H747" s="315" t="s">
        <v>665</v>
      </c>
    </row>
    <row r="748" spans="1:8" x14ac:dyDescent="0.25">
      <c r="A748" s="316">
        <v>809</v>
      </c>
      <c r="B748" s="316">
        <v>54887</v>
      </c>
      <c r="C748" s="315" t="s">
        <v>706</v>
      </c>
      <c r="D748" s="315" t="s">
        <v>799</v>
      </c>
      <c r="E748" s="315" t="s">
        <v>510</v>
      </c>
      <c r="F748" s="315" t="s">
        <v>1505</v>
      </c>
      <c r="G748" s="315" t="s">
        <v>634</v>
      </c>
      <c r="H748" s="315" t="s">
        <v>262</v>
      </c>
    </row>
    <row r="749" spans="1:8" x14ac:dyDescent="0.25">
      <c r="A749" s="316">
        <v>969</v>
      </c>
      <c r="B749" s="316">
        <v>67664</v>
      </c>
      <c r="C749" s="315" t="s">
        <v>706</v>
      </c>
      <c r="D749" s="315" t="s">
        <v>799</v>
      </c>
      <c r="E749" s="315" t="s">
        <v>514</v>
      </c>
      <c r="F749" s="315" t="s">
        <v>1506</v>
      </c>
      <c r="G749" s="315" t="s">
        <v>634</v>
      </c>
      <c r="H749" s="315" t="s">
        <v>665</v>
      </c>
    </row>
    <row r="750" spans="1:8" x14ac:dyDescent="0.25">
      <c r="A750" s="316">
        <v>972</v>
      </c>
      <c r="B750" s="316">
        <v>67870</v>
      </c>
      <c r="C750" s="315" t="s">
        <v>706</v>
      </c>
      <c r="D750" s="315" t="s">
        <v>834</v>
      </c>
      <c r="E750" s="315" t="s">
        <v>553</v>
      </c>
      <c r="F750" s="315" t="s">
        <v>1507</v>
      </c>
      <c r="G750" s="315" t="s">
        <v>676</v>
      </c>
      <c r="H750" s="315" t="s">
        <v>677</v>
      </c>
    </row>
    <row r="751" spans="1:8" x14ac:dyDescent="0.25">
      <c r="A751" s="316">
        <v>973</v>
      </c>
      <c r="B751" s="316">
        <v>67654</v>
      </c>
      <c r="C751" s="315" t="s">
        <v>706</v>
      </c>
      <c r="D751" s="315" t="s">
        <v>834</v>
      </c>
      <c r="E751" s="315" t="s">
        <v>553</v>
      </c>
      <c r="F751" s="315" t="s">
        <v>1508</v>
      </c>
      <c r="G751" s="315" t="s">
        <v>744</v>
      </c>
      <c r="H751" s="315" t="s">
        <v>745</v>
      </c>
    </row>
    <row r="752" spans="1:8" x14ac:dyDescent="0.25">
      <c r="A752" s="316">
        <v>975</v>
      </c>
      <c r="B752" s="316">
        <v>67655</v>
      </c>
      <c r="C752" s="315" t="s">
        <v>706</v>
      </c>
      <c r="D752" s="315" t="s">
        <v>834</v>
      </c>
      <c r="E752" s="315" t="s">
        <v>553</v>
      </c>
      <c r="F752" s="315" t="s">
        <v>1509</v>
      </c>
      <c r="G752" s="315" t="s">
        <v>744</v>
      </c>
      <c r="H752" s="315" t="s">
        <v>745</v>
      </c>
    </row>
    <row r="753" spans="1:8" x14ac:dyDescent="0.25">
      <c r="A753" s="316">
        <v>976</v>
      </c>
      <c r="B753" s="316">
        <v>67656</v>
      </c>
      <c r="C753" s="315" t="s">
        <v>706</v>
      </c>
      <c r="D753" s="315" t="s">
        <v>834</v>
      </c>
      <c r="E753" s="315" t="s">
        <v>553</v>
      </c>
      <c r="F753" s="315" t="s">
        <v>1510</v>
      </c>
      <c r="G753" s="315" t="s">
        <v>744</v>
      </c>
      <c r="H753" s="315" t="s">
        <v>745</v>
      </c>
    </row>
    <row r="754" spans="1:8" x14ac:dyDescent="0.25">
      <c r="A754" s="316">
        <v>68</v>
      </c>
      <c r="B754" s="316">
        <v>11784</v>
      </c>
      <c r="C754" s="315" t="s">
        <v>706</v>
      </c>
      <c r="D754" s="315" t="s">
        <v>834</v>
      </c>
      <c r="E754" s="315" t="s">
        <v>379</v>
      </c>
      <c r="F754" s="315" t="s">
        <v>1511</v>
      </c>
      <c r="G754" s="315" t="s">
        <v>634</v>
      </c>
      <c r="H754" s="315" t="s">
        <v>635</v>
      </c>
    </row>
    <row r="755" spans="1:8" x14ac:dyDescent="0.25">
      <c r="A755" s="316">
        <v>409</v>
      </c>
      <c r="B755" s="316">
        <v>63787</v>
      </c>
      <c r="C755" s="315" t="s">
        <v>640</v>
      </c>
      <c r="D755" s="315" t="s">
        <v>650</v>
      </c>
      <c r="E755" s="315" t="s">
        <v>525</v>
      </c>
      <c r="F755" s="315" t="s">
        <v>1512</v>
      </c>
      <c r="G755" s="315" t="s">
        <v>634</v>
      </c>
      <c r="H755" s="315" t="s">
        <v>673</v>
      </c>
    </row>
    <row r="756" spans="1:8" x14ac:dyDescent="0.25">
      <c r="A756" s="316">
        <v>648</v>
      </c>
      <c r="B756" s="316">
        <v>63871</v>
      </c>
      <c r="C756" s="315" t="s">
        <v>640</v>
      </c>
      <c r="D756" s="315" t="s">
        <v>668</v>
      </c>
      <c r="E756" s="315" t="s">
        <v>391</v>
      </c>
      <c r="F756" s="315" t="s">
        <v>1513</v>
      </c>
      <c r="G756" s="315" t="s">
        <v>1038</v>
      </c>
      <c r="H756" s="315" t="s">
        <v>1039</v>
      </c>
    </row>
    <row r="757" spans="1:8" x14ac:dyDescent="0.25">
      <c r="A757" s="316">
        <v>683</v>
      </c>
      <c r="B757" s="316">
        <v>63854</v>
      </c>
      <c r="C757" s="315" t="s">
        <v>640</v>
      </c>
      <c r="D757" s="315" t="s">
        <v>666</v>
      </c>
      <c r="E757" s="315" t="s">
        <v>356</v>
      </c>
      <c r="F757" s="315" t="s">
        <v>1514</v>
      </c>
      <c r="G757" s="315" t="s">
        <v>1038</v>
      </c>
      <c r="H757" s="315" t="s">
        <v>1039</v>
      </c>
    </row>
    <row r="758" spans="1:8" x14ac:dyDescent="0.25">
      <c r="A758" s="316">
        <v>700</v>
      </c>
      <c r="B758" s="316">
        <v>63953</v>
      </c>
      <c r="C758" s="315" t="s">
        <v>640</v>
      </c>
      <c r="D758" s="315" t="s">
        <v>657</v>
      </c>
      <c r="E758" s="315" t="s">
        <v>447</v>
      </c>
      <c r="F758" s="315" t="s">
        <v>1515</v>
      </c>
      <c r="G758" s="315" t="s">
        <v>744</v>
      </c>
      <c r="H758" s="315" t="s">
        <v>745</v>
      </c>
    </row>
    <row r="759" spans="1:8" x14ac:dyDescent="0.25">
      <c r="A759" s="316">
        <v>853</v>
      </c>
      <c r="B759" s="316">
        <v>64851</v>
      </c>
      <c r="C759" s="315" t="s">
        <v>640</v>
      </c>
      <c r="D759" s="315" t="s">
        <v>784</v>
      </c>
      <c r="E759" s="315" t="s">
        <v>323</v>
      </c>
      <c r="F759" s="315" t="s">
        <v>1516</v>
      </c>
      <c r="G759" s="315" t="s">
        <v>744</v>
      </c>
      <c r="H759" s="315" t="s">
        <v>822</v>
      </c>
    </row>
    <row r="760" spans="1:8" x14ac:dyDescent="0.25">
      <c r="A760" s="316">
        <v>872</v>
      </c>
      <c r="B760" s="316">
        <v>67164</v>
      </c>
      <c r="C760" s="315" t="s">
        <v>640</v>
      </c>
      <c r="D760" s="315" t="s">
        <v>666</v>
      </c>
      <c r="E760" s="315" t="s">
        <v>454</v>
      </c>
      <c r="F760" s="315" t="s">
        <v>1517</v>
      </c>
      <c r="G760" s="315" t="s">
        <v>744</v>
      </c>
      <c r="H760" s="315" t="s">
        <v>745</v>
      </c>
    </row>
    <row r="761" spans="1:8" x14ac:dyDescent="0.25">
      <c r="A761" s="316">
        <v>932</v>
      </c>
      <c r="B761" s="316">
        <v>67688</v>
      </c>
      <c r="C761" s="315" t="s">
        <v>640</v>
      </c>
      <c r="D761" s="315" t="s">
        <v>688</v>
      </c>
      <c r="E761" s="315" t="s">
        <v>358</v>
      </c>
      <c r="F761" s="315" t="s">
        <v>1518</v>
      </c>
      <c r="G761" s="315" t="s">
        <v>744</v>
      </c>
      <c r="H761" s="315" t="s">
        <v>745</v>
      </c>
    </row>
    <row r="762" spans="1:8" x14ac:dyDescent="0.25">
      <c r="A762" s="316">
        <v>18</v>
      </c>
      <c r="B762" s="316">
        <v>317</v>
      </c>
      <c r="C762" s="315" t="s">
        <v>718</v>
      </c>
      <c r="D762" s="315" t="s">
        <v>1519</v>
      </c>
      <c r="E762" s="315" t="s">
        <v>328</v>
      </c>
      <c r="F762" s="315" t="s">
        <v>1520</v>
      </c>
      <c r="G762" s="315" t="s">
        <v>634</v>
      </c>
      <c r="H762" s="315" t="s">
        <v>635</v>
      </c>
    </row>
    <row r="763" spans="1:8" x14ac:dyDescent="0.25">
      <c r="A763" s="316">
        <v>29</v>
      </c>
      <c r="B763" s="316">
        <v>48932</v>
      </c>
      <c r="C763" s="315" t="s">
        <v>761</v>
      </c>
      <c r="D763" s="315" t="s">
        <v>762</v>
      </c>
      <c r="E763" s="315" t="s">
        <v>339</v>
      </c>
      <c r="F763" s="315" t="s">
        <v>1521</v>
      </c>
      <c r="G763" s="315" t="s">
        <v>634</v>
      </c>
      <c r="H763" s="315" t="s">
        <v>635</v>
      </c>
    </row>
    <row r="764" spans="1:8" x14ac:dyDescent="0.25">
      <c r="A764" s="316">
        <v>118</v>
      </c>
      <c r="B764" s="316">
        <v>48550</v>
      </c>
      <c r="C764" s="315" t="s">
        <v>761</v>
      </c>
      <c r="D764" s="315" t="s">
        <v>942</v>
      </c>
      <c r="E764" s="315" t="s">
        <v>427</v>
      </c>
      <c r="F764" s="315" t="s">
        <v>1522</v>
      </c>
      <c r="G764" s="315" t="s">
        <v>634</v>
      </c>
      <c r="H764" s="315" t="s">
        <v>635</v>
      </c>
    </row>
    <row r="765" spans="1:8" x14ac:dyDescent="0.25">
      <c r="A765" s="316">
        <v>191</v>
      </c>
      <c r="B765" s="316">
        <v>22452</v>
      </c>
      <c r="C765" s="315" t="s">
        <v>718</v>
      </c>
      <c r="D765" s="315" t="s">
        <v>892</v>
      </c>
      <c r="E765" s="315" t="s">
        <v>1523</v>
      </c>
      <c r="F765" s="315" t="s">
        <v>1524</v>
      </c>
      <c r="G765" s="315" t="s">
        <v>634</v>
      </c>
      <c r="H765" s="315" t="s">
        <v>635</v>
      </c>
    </row>
    <row r="766" spans="1:8" x14ac:dyDescent="0.25">
      <c r="A766" s="316">
        <v>205</v>
      </c>
      <c r="B766" s="316">
        <v>48952</v>
      </c>
      <c r="C766" s="315" t="s">
        <v>718</v>
      </c>
      <c r="D766" s="315" t="s">
        <v>797</v>
      </c>
      <c r="E766" s="315" t="s">
        <v>517</v>
      </c>
      <c r="F766" s="315" t="s">
        <v>1525</v>
      </c>
      <c r="G766" s="315" t="s">
        <v>634</v>
      </c>
      <c r="H766" s="315" t="s">
        <v>635</v>
      </c>
    </row>
    <row r="767" spans="1:8" x14ac:dyDescent="0.25">
      <c r="A767" s="316">
        <v>467</v>
      </c>
      <c r="B767" s="316">
        <v>64381</v>
      </c>
      <c r="C767" s="315" t="s">
        <v>761</v>
      </c>
      <c r="D767" s="315" t="s">
        <v>762</v>
      </c>
      <c r="E767" s="315" t="s">
        <v>591</v>
      </c>
      <c r="F767" s="315" t="s">
        <v>1526</v>
      </c>
      <c r="G767" s="315" t="s">
        <v>1038</v>
      </c>
      <c r="H767" s="315" t="s">
        <v>1039</v>
      </c>
    </row>
    <row r="768" spans="1:8" x14ac:dyDescent="0.25">
      <c r="A768" s="316">
        <v>603</v>
      </c>
      <c r="B768" s="316">
        <v>64266</v>
      </c>
      <c r="C768" s="315" t="s">
        <v>761</v>
      </c>
      <c r="D768" s="315" t="s">
        <v>762</v>
      </c>
      <c r="E768" s="315" t="s">
        <v>591</v>
      </c>
      <c r="F768" s="315" t="s">
        <v>1527</v>
      </c>
      <c r="G768" s="315" t="s">
        <v>634</v>
      </c>
      <c r="H768" s="315" t="s">
        <v>1347</v>
      </c>
    </row>
    <row r="769" spans="1:8" x14ac:dyDescent="0.25">
      <c r="A769" s="316">
        <v>796</v>
      </c>
      <c r="B769" s="316">
        <v>52073</v>
      </c>
      <c r="C769" s="315" t="s">
        <v>771</v>
      </c>
      <c r="D769" s="315" t="s">
        <v>848</v>
      </c>
      <c r="E769" s="315" t="s">
        <v>422</v>
      </c>
      <c r="F769" s="315" t="s">
        <v>1528</v>
      </c>
      <c r="G769" s="315" t="s">
        <v>936</v>
      </c>
      <c r="H769" s="315" t="s">
        <v>936</v>
      </c>
    </row>
    <row r="770" spans="1:8" x14ac:dyDescent="0.25">
      <c r="A770" s="316">
        <v>823</v>
      </c>
      <c r="B770" s="316">
        <v>63947</v>
      </c>
      <c r="C770" s="315" t="s">
        <v>761</v>
      </c>
      <c r="D770" s="315" t="s">
        <v>942</v>
      </c>
      <c r="E770" s="315" t="s">
        <v>427</v>
      </c>
      <c r="F770" s="315" t="s">
        <v>1529</v>
      </c>
      <c r="G770" s="315" t="s">
        <v>634</v>
      </c>
      <c r="H770" s="315" t="s">
        <v>1192</v>
      </c>
    </row>
    <row r="771" spans="1:8" x14ac:dyDescent="0.25">
      <c r="A771" s="316">
        <v>939</v>
      </c>
      <c r="B771" s="316">
        <v>67647</v>
      </c>
      <c r="C771" s="315" t="s">
        <v>718</v>
      </c>
      <c r="D771" s="315" t="s">
        <v>719</v>
      </c>
      <c r="E771" s="315" t="s">
        <v>321</v>
      </c>
      <c r="F771" s="315" t="s">
        <v>1530</v>
      </c>
      <c r="G771" s="315" t="s">
        <v>744</v>
      </c>
      <c r="H771" s="315" t="s">
        <v>745</v>
      </c>
    </row>
    <row r="772" spans="1:8" x14ac:dyDescent="0.25">
      <c r="A772" s="316">
        <v>940</v>
      </c>
      <c r="B772" s="316">
        <v>13850</v>
      </c>
      <c r="C772" s="315" t="s">
        <v>718</v>
      </c>
      <c r="D772" s="315" t="s">
        <v>719</v>
      </c>
      <c r="E772" s="315" t="s">
        <v>321</v>
      </c>
      <c r="F772" s="315" t="s">
        <v>1531</v>
      </c>
      <c r="G772" s="315" t="s">
        <v>744</v>
      </c>
      <c r="H772" s="315" t="s">
        <v>752</v>
      </c>
    </row>
    <row r="773" spans="1:8" x14ac:dyDescent="0.25">
      <c r="A773" s="316">
        <v>227</v>
      </c>
      <c r="B773" s="316">
        <v>48664</v>
      </c>
      <c r="C773" s="315" t="s">
        <v>761</v>
      </c>
      <c r="D773" s="315" t="s">
        <v>762</v>
      </c>
      <c r="E773" s="315" t="s">
        <v>540</v>
      </c>
      <c r="F773" s="315" t="s">
        <v>1532</v>
      </c>
      <c r="G773" s="315" t="s">
        <v>634</v>
      </c>
      <c r="H773" s="315" t="s">
        <v>635</v>
      </c>
    </row>
    <row r="774" spans="1:8" x14ac:dyDescent="0.25">
      <c r="A774" s="316">
        <v>232</v>
      </c>
      <c r="B774" s="316">
        <v>151</v>
      </c>
      <c r="C774" s="315" t="s">
        <v>718</v>
      </c>
      <c r="D774" s="315" t="s">
        <v>963</v>
      </c>
      <c r="E774" s="315" t="s">
        <v>545</v>
      </c>
      <c r="F774" s="315" t="s">
        <v>1533</v>
      </c>
      <c r="G774" s="315" t="s">
        <v>634</v>
      </c>
      <c r="H774" s="315" t="s">
        <v>635</v>
      </c>
    </row>
    <row r="775" spans="1:8" x14ac:dyDescent="0.25">
      <c r="A775" s="316">
        <v>374</v>
      </c>
      <c r="B775" s="316">
        <v>49652</v>
      </c>
      <c r="C775" s="315" t="s">
        <v>718</v>
      </c>
      <c r="D775" s="315" t="s">
        <v>963</v>
      </c>
      <c r="E775" s="315" t="s">
        <v>402</v>
      </c>
      <c r="F775" s="315" t="s">
        <v>1534</v>
      </c>
      <c r="G775" s="315" t="s">
        <v>634</v>
      </c>
      <c r="H775" s="315" t="s">
        <v>665</v>
      </c>
    </row>
    <row r="776" spans="1:8" x14ac:dyDescent="0.25">
      <c r="A776" s="316">
        <v>601</v>
      </c>
      <c r="B776" s="316">
        <v>64161</v>
      </c>
      <c r="C776" s="315" t="s">
        <v>718</v>
      </c>
      <c r="D776" s="315" t="s">
        <v>963</v>
      </c>
      <c r="E776" s="315" t="s">
        <v>545</v>
      </c>
      <c r="F776" s="315" t="s">
        <v>1535</v>
      </c>
      <c r="G776" s="315" t="s">
        <v>634</v>
      </c>
      <c r="H776" s="315" t="s">
        <v>644</v>
      </c>
    </row>
    <row r="777" spans="1:8" x14ac:dyDescent="0.25">
      <c r="A777" s="316">
        <v>623</v>
      </c>
      <c r="B777" s="316">
        <v>24476</v>
      </c>
      <c r="C777" s="315" t="s">
        <v>761</v>
      </c>
      <c r="D777" s="315" t="s">
        <v>828</v>
      </c>
      <c r="E777" s="315" t="s">
        <v>550</v>
      </c>
      <c r="F777" s="315" t="s">
        <v>1536</v>
      </c>
      <c r="G777" s="315" t="s">
        <v>634</v>
      </c>
      <c r="H777" s="315" t="s">
        <v>673</v>
      </c>
    </row>
    <row r="778" spans="1:8" x14ac:dyDescent="0.25">
      <c r="A778" s="316">
        <v>917</v>
      </c>
      <c r="B778" s="316">
        <v>64161</v>
      </c>
      <c r="C778" s="315" t="s">
        <v>718</v>
      </c>
      <c r="D778" s="315" t="s">
        <v>963</v>
      </c>
      <c r="E778" s="315" t="s">
        <v>545</v>
      </c>
      <c r="F778" s="315" t="s">
        <v>1537</v>
      </c>
      <c r="G778" s="315" t="s">
        <v>634</v>
      </c>
      <c r="H778" s="315" t="s">
        <v>262</v>
      </c>
    </row>
    <row r="779" spans="1:8" x14ac:dyDescent="0.25">
      <c r="A779" s="316">
        <v>1066</v>
      </c>
      <c r="B779" s="316"/>
      <c r="F779" s="315" t="s">
        <v>1538</v>
      </c>
    </row>
    <row r="780" spans="1:8" x14ac:dyDescent="0.25">
      <c r="A780" s="315" t="s">
        <v>1539</v>
      </c>
    </row>
  </sheetData>
  <pageMargins left="0" right="0" top="0" bottom="0" header="0.31496062992125984" footer="0.31496062992125984"/>
  <pageSetup paperSize="9" scale="10" orientation="portrait" verticalDpi="599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5a0eb21-4c73-484f-900e-07f062c08868">
      <Terms xmlns="http://schemas.microsoft.com/office/infopath/2007/PartnerControls"/>
    </lcf76f155ced4ddcb4097134ff3c332f>
    <TaxCatchAll xmlns="6b7c8730-a88d-4646-adae-a7acf4fe76d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AACC2809D345E438F7C4FB66EF27D73" ma:contentTypeVersion="13" ma:contentTypeDescription="Crie um novo documento." ma:contentTypeScope="" ma:versionID="1b96e4344559a399fe5cfbddf86f0eea">
  <xsd:schema xmlns:xsd="http://www.w3.org/2001/XMLSchema" xmlns:xs="http://www.w3.org/2001/XMLSchema" xmlns:p="http://schemas.microsoft.com/office/2006/metadata/properties" xmlns:ns2="25a0eb21-4c73-484f-900e-07f062c08868" xmlns:ns3="6b7c8730-a88d-4646-adae-a7acf4fe76de" targetNamespace="http://schemas.microsoft.com/office/2006/metadata/properties" ma:root="true" ma:fieldsID="5643aa7fbf5040a22bcf3d64ff115ceb" ns2:_="" ns3:_="">
    <xsd:import namespace="25a0eb21-4c73-484f-900e-07f062c08868"/>
    <xsd:import namespace="6b7c8730-a88d-4646-adae-a7acf4fe76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a0eb21-4c73-484f-900e-07f062c088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c8730-a88d-4646-adae-a7acf4fe76d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896a5edd-9332-4b5c-beec-eba54cffc4a1}" ma:internalName="TaxCatchAll" ma:showField="CatchAllData" ma:web="6b7c8730-a88d-4646-adae-a7acf4fe76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B62809-DE77-4456-83D1-76372CBF2D58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F41877D3-443A-44B7-9455-6EFE234A84FF}">
  <ds:schemaRefs>
    <ds:schemaRef ds:uri="http://schemas.microsoft.com/office/2006/metadata/properties"/>
    <ds:schemaRef ds:uri="http://schemas.microsoft.com/office/infopath/2007/PartnerControls"/>
    <ds:schemaRef ds:uri="25a0eb21-4c73-484f-900e-07f062c08868"/>
    <ds:schemaRef ds:uri="6b7c8730-a88d-4646-adae-a7acf4fe76de"/>
  </ds:schemaRefs>
</ds:datastoreItem>
</file>

<file path=customXml/itemProps3.xml><?xml version="1.0" encoding="utf-8"?>
<ds:datastoreItem xmlns:ds="http://schemas.openxmlformats.org/officeDocument/2006/customXml" ds:itemID="{2F63AAEB-2292-43A4-8AF5-E218330EB9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a0eb21-4c73-484f-900e-07f062c08868"/>
    <ds:schemaRef ds:uri="6b7c8730-a88d-4646-adae-a7acf4fe76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7BB24C4-9B22-4F96-9A6D-EDE529FBF5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9</vt:i4>
      </vt:variant>
    </vt:vector>
  </HeadingPairs>
  <TitlesOfParts>
    <vt:vector size="18" baseType="lpstr">
      <vt:lpstr>Home</vt:lpstr>
      <vt:lpstr>Dados Cadastrais</vt:lpstr>
      <vt:lpstr>Indicadores Financeiros</vt:lpstr>
      <vt:lpstr>Relatório Custo</vt:lpstr>
      <vt:lpstr>Custo  Resumido</vt:lpstr>
      <vt:lpstr>Custo  Resumido por local</vt:lpstr>
      <vt:lpstr>Custo por Função</vt:lpstr>
      <vt:lpstr>Tabela de Códigos e Valores</vt:lpstr>
      <vt:lpstr>BIP</vt:lpstr>
      <vt:lpstr>'Custo  Resumido'!Area_de_impressao</vt:lpstr>
      <vt:lpstr>'Custo  Resumido por local'!Area_de_impressao</vt:lpstr>
      <vt:lpstr>'Custo por Função'!Area_de_impressao</vt:lpstr>
      <vt:lpstr>'Dados Cadastrais'!Area_de_impressao</vt:lpstr>
      <vt:lpstr>'Indicadores Financeiros'!Area_de_impressao</vt:lpstr>
      <vt:lpstr>'Relatório Custo'!Area_de_impressao</vt:lpstr>
      <vt:lpstr>'Tabela de Códigos e Valores'!Area_de_impressao</vt:lpstr>
      <vt:lpstr>'Relatório Custo'!Titulos_de_impressao</vt:lpstr>
      <vt:lpstr>'Tabela de Códigos e Valores'!Titulos_de_impressao</vt:lpstr>
    </vt:vector>
  </TitlesOfParts>
  <Manager/>
  <Company>Tribunal de Justiça do Estado de São Paulo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imgaem</dc:creator>
  <cp:keywords/>
  <dc:description/>
  <cp:lastModifiedBy>LILIAN DE CASSIA VERGA</cp:lastModifiedBy>
  <cp:revision/>
  <dcterms:created xsi:type="dcterms:W3CDTF">2016-04-25T14:08:48Z</dcterms:created>
  <dcterms:modified xsi:type="dcterms:W3CDTF">2025-12-10T21:16:32Z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0x0101006AACC2809D345E438F7C4FB66EF27D73</vt:lpwstr>
  </property>
  <property fmtid="{D5CDD505-2E9C-101B-9397-08002B2CF9AE}" pid="3" name="WorkbookGuid">
    <vt:lpwstr>2271443d-021a-4059-a5f4-c381df56440e</vt:lpwstr>
  </property>
  <property fmtid="{D5CDD505-2E9C-101B-9397-08002B2CF9AE}" pid="4" name="MediaServiceImageTags">
    <vt:lpwstr/>
  </property>
</Properties>
</file>

<file path=userCustomization/customUI.xml><?xml version="1.0" encoding="utf-8"?>
<mso:customUI xmlns:mso="http://schemas.microsoft.com/office/2006/01/customui">
  <mso:ribbon>
    <mso:qat>
      <mso:documentControls>
        <mso:control idQ="mso:FileLinksToFiles" visible="true"/>
      </mso:documentControls>
    </mso:qat>
  </mso:ribbon>
</mso:customUI>
</file>