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8" Type="http://schemas.openxmlformats.org/officeDocument/2006/relationships/custom-properties" Target="docProps/custom.xml"/><Relationship Id="rId7" Type="http://schemas.openxmlformats.org/officeDocument/2006/relationships/extended-properties" Target="docProps/app.xml"/><Relationship Id="rId1" Type="http://schemas.openxmlformats.org/officeDocument/2006/relationships/officeDocument" Target="xl/workbook.xml"/><Relationship Id="rId6" Type="http://schemas.openxmlformats.org/package/2006/relationships/metadata/core-properties" Target="docProps/core.xml"/><Relationship Id="rId5" Type="http://schemas.microsoft.com/office/2006/relationships/ui/userCustomization" Target="userCustomization/customUI.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InkAnnotation="0" defaultThemeVersion="124226"/>
  <mc:AlternateContent xmlns:mc="http://schemas.openxmlformats.org/markup-compatibility/2006">
    <mc:Choice Requires="x15">
      <x15ac:absPath xmlns:x15ac="http://schemas.microsoft.com/office/spreadsheetml/2010/11/ac" url="https://tjsp.sharepoint.com/teams/GRP_DiretoriadeLicitaeseSuprimentos/Documentos Compartilhados/002 - Licitações/Licitações/2022/p60192.26-PE/Minuta/"/>
    </mc:Choice>
  </mc:AlternateContent>
  <xr:revisionPtr revIDLastSave="19" documentId="13_ncr:1_{947DBF65-FC49-4E0F-B326-4253014588BD}" xr6:coauthVersionLast="47" xr6:coauthVersionMax="47" xr10:uidLastSave="{45E9CB1C-4E51-49EA-823C-B8FD5D4C398C}"/>
  <bookViews>
    <workbookView xWindow="1170" yWindow="1170" windowWidth="14055" windowHeight="14685" tabRatio="746" xr2:uid="{00000000-000D-0000-FFFF-FFFF00000000}"/>
  </bookViews>
  <sheets>
    <sheet name="Home" sheetId="28" r:id="rId1"/>
    <sheet name="Dados Cadastrais" sheetId="14" r:id="rId2"/>
    <sheet name="Indicadores Financeiros" sheetId="20" r:id="rId3"/>
    <sheet name="Relatório Custo" sheetId="7" r:id="rId4"/>
    <sheet name="Cronograma Físico Financeiro" sheetId="18" r:id="rId5"/>
    <sheet name="Resumo por Localidade" sheetId="22" r:id="rId6"/>
    <sheet name="Dúvidas" sheetId="29" r:id="rId7"/>
    <sheet name="Tabelas Estudo" sheetId="24" state="hidden" r:id="rId8"/>
  </sheets>
  <definedNames>
    <definedName name="_xlnm._FilterDatabase" localSheetId="3" hidden="1">'Relatório Custo'!$A$2:$MJ$3</definedName>
    <definedName name="_Toc150858584" localSheetId="7">'Tabelas Estudo'!$B$7</definedName>
    <definedName name="_Toc150858588" localSheetId="7">'Tabelas Estudo'!$B$18</definedName>
    <definedName name="_Toc150858590" localSheetId="7">'Tabelas Estudo'!$B$27</definedName>
    <definedName name="_Toc150858599" localSheetId="7">'Tabelas Estudo'!$B$33</definedName>
    <definedName name="_Toc150858605" localSheetId="7">'Tabelas Estudo'!$B$45</definedName>
    <definedName name="_Toc150858606" localSheetId="7">'Tabelas Estudo'!$B$51</definedName>
    <definedName name="_Toc150858607" localSheetId="7">'Tabelas Estudo'!$B$85</definedName>
    <definedName name="_Toc150858612" localSheetId="7">'Tabelas Estudo'!#REF!</definedName>
    <definedName name="_xlnm.Print_Area" localSheetId="4">'Cronograma Físico Financeiro'!$A$1:$D$27</definedName>
    <definedName name="_xlnm.Print_Area" localSheetId="1">'Dados Cadastrais'!$A$1:$H$20</definedName>
    <definedName name="_xlnm.Print_Area" localSheetId="2">'Indicadores Financeiros'!$A$1:$J$124</definedName>
    <definedName name="_xlnm.Print_Area" localSheetId="3">'Relatório Custo'!$A$1:$AE$13</definedName>
    <definedName name="_xlnm.Print_Area" localSheetId="5">'Resumo por Localidade'!$A$1:$D$61</definedName>
    <definedName name="_xlnm.Print_Titles" localSheetId="3">'Relatório Custo'!$1:$2</definedName>
    <definedName name="_xlnm.Print_Titles" localSheetId="5">'Resumo por Localidade'!$1:$8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 i="7" l="1"/>
  <c r="I3" i="7"/>
  <c r="D6" i="7"/>
  <c r="E6" i="7"/>
  <c r="F6" i="7"/>
  <c r="G6" i="7"/>
  <c r="Z6" i="7" s="1"/>
  <c r="H6" i="7"/>
  <c r="I6" i="7"/>
  <c r="L6" i="7"/>
  <c r="P6" i="7"/>
  <c r="D7" i="7"/>
  <c r="E7" i="7"/>
  <c r="K7" i="7" s="1"/>
  <c r="F7" i="7"/>
  <c r="G7" i="7"/>
  <c r="H7" i="7"/>
  <c r="I7" i="7"/>
  <c r="L7" i="7"/>
  <c r="P7" i="7"/>
  <c r="D8" i="7"/>
  <c r="E8" i="7"/>
  <c r="K8" i="7" s="1"/>
  <c r="F8" i="7"/>
  <c r="G8" i="7"/>
  <c r="H8" i="7"/>
  <c r="I8" i="7"/>
  <c r="L8" i="7"/>
  <c r="P8" i="7"/>
  <c r="D9" i="7"/>
  <c r="E9" i="7"/>
  <c r="F9" i="7"/>
  <c r="G9" i="7"/>
  <c r="H9" i="7"/>
  <c r="I9" i="7"/>
  <c r="L9" i="7"/>
  <c r="P9" i="7"/>
  <c r="D10" i="7"/>
  <c r="E10" i="7"/>
  <c r="F10" i="7"/>
  <c r="G10" i="7"/>
  <c r="H10" i="7"/>
  <c r="I10" i="7"/>
  <c r="L10" i="7"/>
  <c r="P10" i="7"/>
  <c r="D11" i="7"/>
  <c r="E11" i="7"/>
  <c r="F11" i="7"/>
  <c r="G11" i="7"/>
  <c r="H11" i="7"/>
  <c r="I11" i="7"/>
  <c r="L11" i="7"/>
  <c r="P11" i="7"/>
  <c r="D12" i="7"/>
  <c r="E12" i="7"/>
  <c r="F12" i="7"/>
  <c r="G12" i="7"/>
  <c r="H12" i="7"/>
  <c r="I12" i="7"/>
  <c r="L12" i="7"/>
  <c r="P12" i="7"/>
  <c r="B6" i="7"/>
  <c r="B7" i="7"/>
  <c r="B8" i="7"/>
  <c r="B9" i="7"/>
  <c r="B10" i="7"/>
  <c r="B11" i="7"/>
  <c r="B12" i="7"/>
  <c r="K6" i="7" l="1"/>
  <c r="M11" i="7"/>
  <c r="M9" i="7"/>
  <c r="M12" i="7"/>
  <c r="M10" i="7"/>
  <c r="M6" i="7"/>
  <c r="Z7" i="7"/>
  <c r="M7" i="7"/>
  <c r="Z8" i="7"/>
  <c r="M8" i="7"/>
  <c r="K11" i="7"/>
  <c r="K12" i="7"/>
  <c r="Z10" i="7"/>
  <c r="Z11" i="7"/>
  <c r="K10" i="7"/>
  <c r="Z12" i="7"/>
  <c r="K9" i="7"/>
  <c r="Z9" i="7"/>
  <c r="H102" i="20"/>
  <c r="H103" i="20"/>
  <c r="U6" i="7" s="1"/>
  <c r="H104" i="20"/>
  <c r="U7" i="7" s="1"/>
  <c r="H105" i="20"/>
  <c r="U8" i="7" s="1"/>
  <c r="H106" i="20"/>
  <c r="U9" i="7" s="1"/>
  <c r="H107" i="20"/>
  <c r="U10" i="7" s="1"/>
  <c r="H108" i="20"/>
  <c r="U11" i="7" s="1"/>
  <c r="H109" i="20"/>
  <c r="U12" i="7" s="1"/>
  <c r="J78" i="20" l="1"/>
  <c r="J77" i="20"/>
  <c r="J58" i="20"/>
  <c r="J57" i="20"/>
  <c r="J56" i="20"/>
  <c r="J55" i="20"/>
  <c r="J43" i="20"/>
  <c r="J40" i="20"/>
  <c r="J37" i="20"/>
  <c r="J38" i="20" s="1"/>
  <c r="J39" i="20" s="1"/>
  <c r="J33" i="20"/>
  <c r="J42" i="20" l="1"/>
  <c r="J92" i="20"/>
  <c r="A32" i="22" l="1"/>
  <c r="J34" i="20"/>
  <c r="H101" i="20" l="1"/>
  <c r="J16" i="20" l="1"/>
  <c r="E43" i="24" l="1"/>
  <c r="E42" i="24"/>
  <c r="F37" i="24"/>
  <c r="F36" i="24"/>
  <c r="E21" i="24" l="1"/>
  <c r="H15" i="24"/>
  <c r="E15" i="24"/>
  <c r="F43" i="24" l="1"/>
  <c r="F42" i="24"/>
  <c r="Q3" i="24"/>
  <c r="R3" i="24"/>
  <c r="Q8" i="24"/>
  <c r="Q5" i="24" l="1"/>
  <c r="Q6" i="24" s="1"/>
  <c r="R5" i="24" l="1"/>
  <c r="R6" i="24" s="1"/>
  <c r="R58" i="24" l="1"/>
  <c r="R59" i="24"/>
  <c r="R60" i="24"/>
  <c r="R61" i="24"/>
  <c r="R62" i="24"/>
  <c r="R63" i="24"/>
  <c r="R64" i="24"/>
  <c r="E37" i="24"/>
  <c r="G37" i="24" s="1"/>
  <c r="E36" i="24"/>
  <c r="G36" i="24" s="1"/>
  <c r="E102" i="24" l="1"/>
  <c r="F102" i="24" s="1"/>
  <c r="C103" i="24"/>
  <c r="C100" i="24"/>
  <c r="D90" i="24"/>
  <c r="D89" i="24"/>
  <c r="C90" i="24"/>
  <c r="C89" i="24"/>
  <c r="J91" i="20"/>
  <c r="O57" i="24"/>
  <c r="R57" i="24" s="1"/>
  <c r="O56" i="24"/>
  <c r="R56" i="24" s="1"/>
  <c r="O55" i="24"/>
  <c r="R55" i="24" s="1"/>
  <c r="E64" i="24"/>
  <c r="F64" i="24" s="1"/>
  <c r="H64" i="24" s="1"/>
  <c r="E63" i="24"/>
  <c r="F63" i="24" s="1"/>
  <c r="H63" i="24" s="1"/>
  <c r="E62" i="24"/>
  <c r="F62" i="24" s="1"/>
  <c r="H62" i="24" s="1"/>
  <c r="E61" i="24"/>
  <c r="F61" i="24" s="1"/>
  <c r="H61" i="24" s="1"/>
  <c r="E60" i="24"/>
  <c r="F60" i="24" s="1"/>
  <c r="H60" i="24" s="1"/>
  <c r="E59" i="24"/>
  <c r="F59" i="24" s="1"/>
  <c r="H59" i="24" s="1"/>
  <c r="E58" i="24"/>
  <c r="F58" i="24" s="1"/>
  <c r="H58" i="24" s="1"/>
  <c r="E57" i="24"/>
  <c r="F57" i="24" s="1"/>
  <c r="H57" i="24" s="1"/>
  <c r="E56" i="24"/>
  <c r="F56" i="24" s="1"/>
  <c r="H56" i="24" s="1"/>
  <c r="E55" i="24"/>
  <c r="F55" i="24" s="1"/>
  <c r="H55" i="24" s="1"/>
  <c r="D48" i="24"/>
  <c r="H65" i="24" l="1"/>
  <c r="P4" i="7"/>
  <c r="L4" i="7"/>
  <c r="I4" i="7"/>
  <c r="H4" i="7"/>
  <c r="G4" i="7"/>
  <c r="F4" i="7"/>
  <c r="E4" i="7"/>
  <c r="D4" i="7"/>
  <c r="B4" i="7"/>
  <c r="M4" i="7" l="1"/>
  <c r="Z4" i="7"/>
  <c r="K4" i="7"/>
  <c r="P5" i="7"/>
  <c r="P3" i="7"/>
  <c r="I5" i="7"/>
  <c r="L5" i="7"/>
  <c r="M5" i="7" s="1"/>
  <c r="H5" i="7"/>
  <c r="G5" i="7"/>
  <c r="F5" i="7"/>
  <c r="E5" i="7"/>
  <c r="D5" i="7"/>
  <c r="B5" i="7"/>
  <c r="U4" i="7"/>
  <c r="U5" i="7" l="1"/>
  <c r="K5" i="7"/>
  <c r="Z5" i="7"/>
  <c r="C11" i="22"/>
  <c r="B11" i="22"/>
  <c r="E96" i="20" l="1"/>
  <c r="C10" i="22"/>
  <c r="C9" i="22"/>
  <c r="C8" i="22"/>
  <c r="G3" i="7"/>
  <c r="F3" i="7"/>
  <c r="L3" i="7"/>
  <c r="E97" i="20"/>
  <c r="Z3" i="7" l="1"/>
  <c r="M3" i="7"/>
  <c r="E30" i="24" s="1"/>
  <c r="B10" i="22" l="1"/>
  <c r="B9" i="22"/>
  <c r="B8" i="22"/>
  <c r="E3" i="7"/>
  <c r="D3" i="7"/>
  <c r="J84" i="20" l="1"/>
  <c r="A5" i="22" l="1"/>
  <c r="J86" i="20" l="1"/>
  <c r="O4" i="7" l="1"/>
  <c r="O9" i="7"/>
  <c r="O5" i="7"/>
  <c r="O7" i="7"/>
  <c r="O12" i="7"/>
  <c r="O10" i="7"/>
  <c r="O11" i="7"/>
  <c r="O6" i="7"/>
  <c r="O8" i="7"/>
  <c r="O3" i="7"/>
  <c r="K3" i="7"/>
  <c r="B3" i="7"/>
  <c r="C14" i="22" l="1"/>
  <c r="J23" i="20"/>
  <c r="J22" i="20"/>
  <c r="J20" i="20"/>
  <c r="J19" i="20"/>
  <c r="J18" i="20"/>
  <c r="J17" i="20"/>
  <c r="F3" i="20"/>
  <c r="F2" i="20"/>
  <c r="C12" i="22" l="1"/>
  <c r="B12" i="22"/>
  <c r="C13" i="22"/>
  <c r="C11" i="18"/>
  <c r="C17" i="18"/>
  <c r="C13" i="18"/>
  <c r="C18" i="18"/>
  <c r="C14" i="18"/>
  <c r="C10" i="18"/>
  <c r="C22" i="18"/>
  <c r="C20" i="18"/>
  <c r="C19" i="18"/>
  <c r="C21" i="18"/>
  <c r="C8" i="18"/>
  <c r="C6" i="18"/>
  <c r="C4" i="18"/>
  <c r="C16" i="18"/>
  <c r="C12" i="18"/>
  <c r="C7" i="18"/>
  <c r="C9" i="18"/>
  <c r="C3" i="18"/>
  <c r="C5" i="18"/>
  <c r="C15" i="18"/>
  <c r="U3" i="7"/>
  <c r="B13" i="22"/>
  <c r="B14" i="22"/>
  <c r="J48" i="20"/>
  <c r="J27" i="20"/>
  <c r="J24" i="20"/>
  <c r="I68" i="20" l="1"/>
  <c r="J41" i="20"/>
  <c r="J54" i="20"/>
  <c r="J59" i="20" s="1"/>
  <c r="C15" i="22"/>
  <c r="C35" i="22"/>
  <c r="C32" i="22"/>
  <c r="C31" i="22"/>
  <c r="C30" i="22"/>
  <c r="C29" i="22"/>
  <c r="C28" i="22"/>
  <c r="C27" i="22"/>
  <c r="C26" i="22"/>
  <c r="C33" i="22"/>
  <c r="B35" i="22"/>
  <c r="B32" i="22"/>
  <c r="B31" i="22"/>
  <c r="B30" i="22"/>
  <c r="B29" i="22"/>
  <c r="B28" i="22"/>
  <c r="B27" i="22"/>
  <c r="B26" i="22"/>
  <c r="B33" i="22"/>
  <c r="J65" i="20"/>
  <c r="B15" i="22"/>
  <c r="C39" i="22"/>
  <c r="B39" i="22"/>
  <c r="C48" i="22"/>
  <c r="C18" i="22"/>
  <c r="C34" i="22" s="1"/>
  <c r="B48" i="22"/>
  <c r="B18" i="22"/>
  <c r="B34" i="22" s="1"/>
  <c r="J28" i="20"/>
  <c r="J67" i="20" s="1"/>
  <c r="J50" i="20"/>
  <c r="J66" i="20"/>
  <c r="B36" i="22" l="1"/>
  <c r="J44" i="20"/>
  <c r="C36" i="22"/>
  <c r="J45" i="20"/>
  <c r="J68" i="20"/>
  <c r="C40" i="22"/>
  <c r="C19" i="22"/>
  <c r="C20" i="22" s="1"/>
  <c r="B19" i="22"/>
  <c r="B20" i="22" s="1"/>
  <c r="E27" i="22"/>
  <c r="B40" i="22"/>
  <c r="J29" i="20"/>
  <c r="J30" i="20" s="1"/>
  <c r="J49" i="20"/>
  <c r="J51" i="20" s="1"/>
  <c r="J69" i="20" s="1"/>
  <c r="J60" i="20"/>
  <c r="AD4" i="7" l="1"/>
  <c r="AD8" i="7"/>
  <c r="AD9" i="7"/>
  <c r="AD12" i="7"/>
  <c r="AD7" i="7"/>
  <c r="AD11" i="7"/>
  <c r="AD6" i="7"/>
  <c r="AD10" i="7"/>
  <c r="AD5" i="7"/>
  <c r="AD3" i="7"/>
  <c r="J70" i="20"/>
  <c r="J62" i="20"/>
  <c r="N9" i="7" l="1"/>
  <c r="N7" i="7"/>
  <c r="N10" i="7"/>
  <c r="N8" i="7"/>
  <c r="N12" i="7"/>
  <c r="N6" i="7"/>
  <c r="N11" i="7"/>
  <c r="AA4" i="7"/>
  <c r="AB4" i="7" s="1"/>
  <c r="AA9" i="7"/>
  <c r="AB9" i="7" s="1"/>
  <c r="AA8" i="7"/>
  <c r="AB8" i="7" s="1"/>
  <c r="AA12" i="7"/>
  <c r="AB12" i="7" s="1"/>
  <c r="AA6" i="7"/>
  <c r="AB6" i="7" s="1"/>
  <c r="AA10" i="7"/>
  <c r="AB10" i="7" s="1"/>
  <c r="AA11" i="7"/>
  <c r="AB11" i="7" s="1"/>
  <c r="AA7" i="7"/>
  <c r="AB7" i="7" s="1"/>
  <c r="N5" i="7"/>
  <c r="G21" i="24"/>
  <c r="N4" i="7"/>
  <c r="N3" i="7"/>
  <c r="G23" i="24" s="1"/>
  <c r="C21" i="22"/>
  <c r="C22" i="22" s="1"/>
  <c r="C42" i="22" s="1"/>
  <c r="C44" i="22" s="1"/>
  <c r="AA5" i="7"/>
  <c r="AB5" i="7" s="1"/>
  <c r="AA3" i="7"/>
  <c r="AB3" i="7" s="1"/>
  <c r="B58" i="22"/>
  <c r="C58" i="22"/>
  <c r="B21" i="22"/>
  <c r="B22" i="22" s="1"/>
  <c r="B42" i="22" s="1"/>
  <c r="B44" i="22" s="1"/>
  <c r="Q11" i="7" l="1"/>
  <c r="S11" i="7" s="1"/>
  <c r="T11" i="7" s="1"/>
  <c r="V11" i="7" s="1"/>
  <c r="Q10" i="7"/>
  <c r="S10" i="7" s="1"/>
  <c r="T10" i="7" s="1"/>
  <c r="V10" i="7" s="1"/>
  <c r="Q8" i="7"/>
  <c r="R8" i="7" s="1"/>
  <c r="Q7" i="7"/>
  <c r="R7" i="7" s="1"/>
  <c r="Q6" i="7"/>
  <c r="S6" i="7" s="1"/>
  <c r="T6" i="7" s="1"/>
  <c r="V6" i="7" s="1"/>
  <c r="Q12" i="7"/>
  <c r="R12" i="7" s="1"/>
  <c r="Q9" i="7"/>
  <c r="R9" i="7" s="1"/>
  <c r="Q3" i="7"/>
  <c r="S3" i="7" s="1"/>
  <c r="T3" i="7" s="1"/>
  <c r="V3" i="7" s="1"/>
  <c r="Q4" i="7"/>
  <c r="S4" i="7" s="1"/>
  <c r="C23" i="22"/>
  <c r="C46" i="22" s="1"/>
  <c r="Q5" i="7"/>
  <c r="B23" i="22"/>
  <c r="S8" i="7" l="1"/>
  <c r="T8" i="7" s="1"/>
  <c r="V8" i="7" s="1"/>
  <c r="W8" i="7" s="1"/>
  <c r="X8" i="7" s="1"/>
  <c r="S9" i="7"/>
  <c r="T9" i="7" s="1"/>
  <c r="V9" i="7" s="1"/>
  <c r="AE9" i="7" s="1"/>
  <c r="S7" i="7"/>
  <c r="T7" i="7" s="1"/>
  <c r="V7" i="7" s="1"/>
  <c r="AE7" i="7" s="1"/>
  <c r="S12" i="7"/>
  <c r="T12" i="7" s="1"/>
  <c r="V12" i="7" s="1"/>
  <c r="W12" i="7" s="1"/>
  <c r="X12" i="7" s="1"/>
  <c r="R11" i="7"/>
  <c r="R6" i="7"/>
  <c r="AE10" i="7"/>
  <c r="W10" i="7"/>
  <c r="X10" i="7" s="1"/>
  <c r="AE8" i="7"/>
  <c r="R10" i="7"/>
  <c r="W6" i="7"/>
  <c r="X6" i="7" s="1"/>
  <c r="AE6" i="7"/>
  <c r="AE11" i="7"/>
  <c r="W11" i="7"/>
  <c r="X11" i="7" s="1"/>
  <c r="T4" i="7"/>
  <c r="V4" i="7" s="1"/>
  <c r="C50" i="22"/>
  <c r="C52" i="22"/>
  <c r="C54" i="22" s="1"/>
  <c r="C56" i="22" s="1"/>
  <c r="R3" i="7"/>
  <c r="H23" i="24"/>
  <c r="H21" i="24"/>
  <c r="R4" i="7"/>
  <c r="R5" i="7"/>
  <c r="S5" i="7"/>
  <c r="B46" i="22"/>
  <c r="A23" i="18"/>
  <c r="C23" i="18" s="1"/>
  <c r="W7" i="7" l="1"/>
  <c r="X7" i="7" s="1"/>
  <c r="W9" i="7"/>
  <c r="X9" i="7" s="1"/>
  <c r="AE12" i="7"/>
  <c r="W4" i="7"/>
  <c r="X4" i="7" s="1"/>
  <c r="AE4" i="7"/>
  <c r="T5" i="7"/>
  <c r="V5" i="7" s="1"/>
  <c r="B52" i="22"/>
  <c r="B54" i="22" s="1"/>
  <c r="B50" i="22"/>
  <c r="C60" i="22"/>
  <c r="F9" i="24"/>
  <c r="A24" i="18"/>
  <c r="B60" i="22" l="1"/>
  <c r="AE5" i="7"/>
  <c r="W5" i="7"/>
  <c r="X5" i="7" s="1"/>
  <c r="F10" i="24"/>
  <c r="D110" i="24"/>
  <c r="D114" i="24"/>
  <c r="F114" i="24" s="1"/>
  <c r="D109" i="24"/>
  <c r="D115" i="24"/>
  <c r="F115" i="24" s="1"/>
  <c r="AE3" i="7"/>
  <c r="W3" i="7"/>
  <c r="B56" i="22"/>
  <c r="C24" i="18"/>
  <c r="A25" i="18"/>
  <c r="AB13" i="7"/>
  <c r="W13" i="7" l="1"/>
  <c r="X3" i="7"/>
  <c r="X13" i="7" s="1"/>
  <c r="B10" i="18"/>
  <c r="B7" i="18"/>
  <c r="B6" i="18"/>
  <c r="B18" i="18"/>
  <c r="B14" i="18"/>
  <c r="B8" i="18"/>
  <c r="B24" i="18"/>
  <c r="B17" i="18"/>
  <c r="B11" i="18"/>
  <c r="B4" i="18"/>
  <c r="B16" i="18"/>
  <c r="B23" i="18"/>
  <c r="B3" i="18"/>
  <c r="B9" i="18"/>
  <c r="B19" i="18"/>
  <c r="B22" i="18"/>
  <c r="B12" i="18"/>
  <c r="B15" i="18"/>
  <c r="B13" i="18"/>
  <c r="B20" i="18"/>
  <c r="B5" i="18"/>
  <c r="B21" i="18"/>
  <c r="C25" i="18"/>
  <c r="A26" i="18"/>
  <c r="B25" i="18"/>
  <c r="C26" i="18" l="1"/>
  <c r="B26" i="18"/>
  <c r="D22" i="18"/>
  <c r="D6" i="18"/>
  <c r="D24" i="18"/>
  <c r="D8" i="18"/>
  <c r="D13" i="18"/>
  <c r="D23" i="18"/>
  <c r="D7" i="18"/>
  <c r="D26" i="18"/>
  <c r="D10" i="18"/>
  <c r="D12" i="18"/>
  <c r="D17" i="18"/>
  <c r="D11" i="18"/>
  <c r="D14" i="18"/>
  <c r="D16" i="18"/>
  <c r="D21" i="18"/>
  <c r="D5" i="18"/>
  <c r="D15" i="18"/>
  <c r="D18" i="18"/>
  <c r="D20" i="18"/>
  <c r="D4" i="18"/>
  <c r="D25" i="18"/>
  <c r="D9" i="18"/>
  <c r="D19" i="18"/>
  <c r="D3" i="18"/>
  <c r="D28" i="18" s="1"/>
  <c r="C27" i="18" l="1"/>
  <c r="B27" i="18"/>
  <c r="B28" i="18" s="1"/>
  <c r="D27" i="18" l="1"/>
</calcChain>
</file>

<file path=xl/sharedStrings.xml><?xml version="1.0" encoding="utf-8"?>
<sst xmlns="http://schemas.openxmlformats.org/spreadsheetml/2006/main" count="430" uniqueCount="313">
  <si>
    <t>FICHA CADASTRAL DA EMPRESA</t>
  </si>
  <si>
    <t>Pregão Nº</t>
  </si>
  <si>
    <t>Processo nº</t>
  </si>
  <si>
    <t>Sim</t>
  </si>
  <si>
    <t>DADOS CADASTRAIS</t>
  </si>
  <si>
    <t>Não</t>
  </si>
  <si>
    <t>CNPJ</t>
  </si>
  <si>
    <t>Razão Social</t>
  </si>
  <si>
    <t>Endereço</t>
  </si>
  <si>
    <t>Bairro</t>
  </si>
  <si>
    <t>Cidade</t>
  </si>
  <si>
    <t>UF</t>
  </si>
  <si>
    <t>CEP</t>
  </si>
  <si>
    <t>Telefone</t>
  </si>
  <si>
    <t>e-mail</t>
  </si>
  <si>
    <t>REPRESENTANTE(S) DA EMPRESA</t>
  </si>
  <si>
    <t>CPF</t>
  </si>
  <si>
    <t>Nome</t>
  </si>
  <si>
    <t>Sócio Administrador?</t>
  </si>
  <si>
    <t>Signatário do Contrato?</t>
  </si>
  <si>
    <t>(sim/não)</t>
  </si>
  <si>
    <t>Local</t>
  </si>
  <si>
    <t>Data</t>
  </si>
  <si>
    <t>Assinatura</t>
  </si>
  <si>
    <t>DADOS DA EMPRESA</t>
  </si>
  <si>
    <t>Incidência cumulativa de PIS e de COFINS</t>
  </si>
  <si>
    <t>Incidência não-cumulativa de PIS e de COFINS</t>
  </si>
  <si>
    <t>Sindicato da Categoria</t>
  </si>
  <si>
    <t>Data Base</t>
  </si>
  <si>
    <t>Fornecimento de cesta básica aos funcionários? (sim/não)</t>
  </si>
  <si>
    <t>Regime Tributário</t>
  </si>
  <si>
    <t>SAT (RATxFAP) (%)</t>
  </si>
  <si>
    <t>Despesas Administrativas(%)</t>
  </si>
  <si>
    <t>Lucro Bruto (%)</t>
  </si>
  <si>
    <t>COFINS</t>
  </si>
  <si>
    <t>PIS</t>
  </si>
  <si>
    <t>Desoneração da folha (%)</t>
  </si>
  <si>
    <t>Vigência Contratual</t>
  </si>
  <si>
    <t>meses</t>
  </si>
  <si>
    <t>Módulo I - Encargos previdenciários e FGTS</t>
  </si>
  <si>
    <t>Percentual</t>
  </si>
  <si>
    <t>Previdência Social</t>
  </si>
  <si>
    <t>SESI/SESC</t>
  </si>
  <si>
    <t>SENAI/SENAC</t>
  </si>
  <si>
    <t>INCRA</t>
  </si>
  <si>
    <t>Salário Educação</t>
  </si>
  <si>
    <t>FGTS</t>
  </si>
  <si>
    <t>SAT (RAT X FAP)</t>
  </si>
  <si>
    <t>SEBRAE</t>
  </si>
  <si>
    <t>Total Módulo I</t>
  </si>
  <si>
    <t>Módulo II - 13º Salário e Adicional de Férias</t>
  </si>
  <si>
    <t>13º  salário</t>
  </si>
  <si>
    <t>Abono de férias</t>
  </si>
  <si>
    <t>Encargos sociais incidentes</t>
  </si>
  <si>
    <t>Total Módulo II</t>
  </si>
  <si>
    <t>Módulo III - Afastamento Maternidade</t>
  </si>
  <si>
    <t>Encargos sociais incidentes sobre Afastamento Maternidade</t>
  </si>
  <si>
    <t>Total Módulo III</t>
  </si>
  <si>
    <t>Módulo IV - Provisão para Rescisão</t>
  </si>
  <si>
    <t>Aviso prévio indenizado</t>
  </si>
  <si>
    <t>Incidência FGTS sobre o aviso prévio indenizado</t>
  </si>
  <si>
    <t>Multa FGTS sobre o aviso prévio indenizado</t>
  </si>
  <si>
    <t>Aviso prévio trabalhado</t>
  </si>
  <si>
    <t>Encargos sociais incidentes sobre aviso prévio trabalhado</t>
  </si>
  <si>
    <t>Multa FGTS sobre o aviso prévio trabalhado</t>
  </si>
  <si>
    <t>Indenização Adicional</t>
  </si>
  <si>
    <t>Multa FGTS sobre depósitos de FGTS</t>
  </si>
  <si>
    <t>Total Módulo IV</t>
  </si>
  <si>
    <t>Módulo V - Multa de FGTS</t>
  </si>
  <si>
    <t>Remuneração</t>
  </si>
  <si>
    <t>Férias + Adicional de Férias</t>
  </si>
  <si>
    <t>13º Salário</t>
  </si>
  <si>
    <t>Total Módulo V</t>
  </si>
  <si>
    <t>Módulo VI - Custo de Reposição do Profissional Ausente</t>
  </si>
  <si>
    <t>Férias</t>
  </si>
  <si>
    <t>Auxílio doença</t>
  </si>
  <si>
    <t>Licença paternidade</t>
  </si>
  <si>
    <t>Faltas legais</t>
  </si>
  <si>
    <t>Acidente de trabalho</t>
  </si>
  <si>
    <t>Total Módulo VI</t>
  </si>
  <si>
    <t>Total dos Encargos Sociais e Trabalhistas</t>
  </si>
  <si>
    <t>PERCENTUAIS DE CONTIGENCIAMENTO MENSAL DE ENCARGOS TRABALHISTAS</t>
  </si>
  <si>
    <t>Abono de Férias</t>
  </si>
  <si>
    <t>Incidência de encargos trabalhistas: percentual total do Módulo I s/ os itens 1, 2 e 3</t>
  </si>
  <si>
    <t>Multa FGTS</t>
  </si>
  <si>
    <t>Percentual a ser contingenciado - Resolução CNJ nº 651/2025</t>
  </si>
  <si>
    <t>PARÂMETROS DE CÁLCULO</t>
  </si>
  <si>
    <t>Dias estimados - posto de 8 horas segunda-feira a domingo</t>
  </si>
  <si>
    <t>Dias úteis estimados - posto de 44 horas semanais segunda-feira a sexta-feira</t>
  </si>
  <si>
    <t>Dias estimados - posto de 8 horas segunda-feira a domingo - cálculo do posto/dia</t>
  </si>
  <si>
    <t>Dias úteis estimados - posto de 44 horas semanais segunda-feira a sexta-feira - cálculo posto/dia</t>
  </si>
  <si>
    <t>Base de cálculo mensal para o repositor - posto de 8 horas segunda-feira a domingo</t>
  </si>
  <si>
    <t>Base de cálculo mensal para o repositor - posto de 44 horas semanais segunda-feira a sexta</t>
  </si>
  <si>
    <t>VALORES REFERENCIAIS - CONVENÇÃO COLETIVA DA CATEGORIA - R$</t>
  </si>
  <si>
    <t>Salário base Mensal</t>
  </si>
  <si>
    <t>Benefícios</t>
  </si>
  <si>
    <t>Assistência médica</t>
  </si>
  <si>
    <t>Valor Mensal</t>
  </si>
  <si>
    <t>Parte do Empregado</t>
  </si>
  <si>
    <t>Auxílio Creche</t>
  </si>
  <si>
    <t xml:space="preserve">Cesta básica </t>
  </si>
  <si>
    <t>Benefício Social Familiar</t>
  </si>
  <si>
    <t>Dia do Trabalhador</t>
  </si>
  <si>
    <t>Norma Regulamentadora Nº 07</t>
  </si>
  <si>
    <t>Outros (especificar)</t>
  </si>
  <si>
    <t>Vale refeição /ticket refeição</t>
  </si>
  <si>
    <t>Valor diário</t>
  </si>
  <si>
    <t>Cesta básica II</t>
  </si>
  <si>
    <t>Coeficiente de Assiduidade</t>
  </si>
  <si>
    <t>RELAÇÃO DE POSTOS DE PORTARIA</t>
  </si>
  <si>
    <t>Código</t>
  </si>
  <si>
    <t>Função</t>
  </si>
  <si>
    <t>Unidade</t>
  </si>
  <si>
    <t>Cobertura intervalo intrajornada (repositor)</t>
  </si>
  <si>
    <t>Qtde de Funcionários por posto</t>
  </si>
  <si>
    <t xml:space="preserve"> Equipamentos  - Valor mensal por funcionário</t>
  </si>
  <si>
    <t>Uniformes - Valor mensal por funcionário</t>
  </si>
  <si>
    <t>Porteiro/Controlador de Acesso - com almocista (repositor) - 08 horas diárias - diurno - segunda a domingo</t>
  </si>
  <si>
    <t>Posto/Dia</t>
  </si>
  <si>
    <t>Porteiro/Controlador de Acesso - com almocista (repositor) - 44 horas semanais - diurno - segunda a sexta</t>
  </si>
  <si>
    <t>MUNICÍPIOS DE PRESTAÇÃO DE SERVIÇOS</t>
  </si>
  <si>
    <t>ISSQN</t>
  </si>
  <si>
    <t>BDI *</t>
  </si>
  <si>
    <t>Vale Transporte - (Ida e Volta)</t>
  </si>
  <si>
    <t>Mês de inicio da Prestação do Serviço</t>
  </si>
  <si>
    <t>*Fórmula BDI sem desoneração = (1+taxa_adm) x (1+taxa_lucro) / (1-%PIS-%COFINS-%ISS) -1</t>
  </si>
  <si>
    <t>Fórmula BDI com desoneração = (1+taxa_adm) x (1+taxa_lucro) / (1-%PIS-%COFINS-%ISS-%Desoneração) -1</t>
  </si>
  <si>
    <t>Localidade</t>
  </si>
  <si>
    <t>Mês de início</t>
  </si>
  <si>
    <t>Qtde de Funcionários por Posto</t>
  </si>
  <si>
    <t>Dias estimados por mês</t>
  </si>
  <si>
    <t xml:space="preserve">Dias estimados por mês - cálculo posto/dia 
</t>
  </si>
  <si>
    <t xml:space="preserve">Qtde de Postos 
</t>
  </si>
  <si>
    <t>Qtde de dias por mês</t>
  </si>
  <si>
    <t>Valor mensal por funcionário</t>
  </si>
  <si>
    <t>Valor unitário posto</t>
  </si>
  <si>
    <t xml:space="preserve">Valor unitário posto/dia </t>
  </si>
  <si>
    <t xml:space="preserve">BDI
</t>
  </si>
  <si>
    <t>Valor unit. mensal do posto/dia</t>
  </si>
  <si>
    <t xml:space="preserve">Valor Total Mensal
</t>
  </si>
  <si>
    <t xml:space="preserve">Valor Total período contratual
</t>
  </si>
  <si>
    <t>Remuneração Total</t>
  </si>
  <si>
    <t>Percentual 
Resol. CNJ nº 651/25</t>
  </si>
  <si>
    <t>Valor Mensal a Contigenciar</t>
  </si>
  <si>
    <t xml:space="preserve">Desconto - recesso forense
</t>
  </si>
  <si>
    <t>Desconto de atraso por minuto (R$)</t>
  </si>
  <si>
    <t>Folguista</t>
  </si>
  <si>
    <t>Encargos</t>
  </si>
  <si>
    <t>Equipamentos, Complementos e Uniformes</t>
  </si>
  <si>
    <t>Cobertura do Intervalo intrajornada</t>
  </si>
  <si>
    <t xml:space="preserve">Valor Mensal </t>
  </si>
  <si>
    <t>Total</t>
  </si>
  <si>
    <t>CRONOGRAMA FÍSICO FINANCEIRO</t>
  </si>
  <si>
    <t>Mês</t>
  </si>
  <si>
    <t>Valor mensal</t>
  </si>
  <si>
    <t>Valor Total da Remuneração</t>
  </si>
  <si>
    <t>Valor a ser contingenciado</t>
  </si>
  <si>
    <t>PLANILHA DE FORMAÇÃO DE PREÇOS - PORTARIA</t>
  </si>
  <si>
    <t>Qtde Meses Contrato</t>
  </si>
  <si>
    <t>Código da função</t>
  </si>
  <si>
    <t>Descrição</t>
  </si>
  <si>
    <t>Quantidades de funcionários por posto</t>
  </si>
  <si>
    <t xml:space="preserve">Dias estimados por mês </t>
  </si>
  <si>
    <t>Dias estimados para o cálculo mensal do posto</t>
  </si>
  <si>
    <t>QUANTIDADE DE POSTOS ou HORAS</t>
  </si>
  <si>
    <t>Qtde total de dias x posto ou Qtde de Horas</t>
  </si>
  <si>
    <t>Mês de início da vigência contratual</t>
  </si>
  <si>
    <t>Mão de obra (remuneração)</t>
  </si>
  <si>
    <t>Subtotal</t>
  </si>
  <si>
    <t>Encargos previdenciários e trabalhistas</t>
  </si>
  <si>
    <t>Total - remuneração + encargos</t>
  </si>
  <si>
    <t>Benefícios - Convenção Coletiva da Categoria</t>
  </si>
  <si>
    <t>NR nº 7</t>
  </si>
  <si>
    <t>Vale Refeição</t>
  </si>
  <si>
    <t>Vale Transporte</t>
  </si>
  <si>
    <t>Cesta Básica II</t>
  </si>
  <si>
    <t>Materiais, cursos e uniformes</t>
  </si>
  <si>
    <t>Equipamentos Complementos e Uniformes</t>
  </si>
  <si>
    <t>Valor total p/ funcionário s/ cobertura intrajornada</t>
  </si>
  <si>
    <t>Cobertura do intervalo intrajornada</t>
  </si>
  <si>
    <t>Valor total do posto sem BDI</t>
  </si>
  <si>
    <t>Benefício e Despesas Indiretas (BDI)</t>
  </si>
  <si>
    <t>Valor total do posto com BDI</t>
  </si>
  <si>
    <t>Valor total posto/dia com BDI</t>
  </si>
  <si>
    <t>Valor Total Mensal</t>
  </si>
  <si>
    <t>Valor Total do Contrato</t>
  </si>
  <si>
    <t>Valor Mensal a Contigenciar (Resol. 651/2025)</t>
  </si>
  <si>
    <t>Desconto de atraso por minuto</t>
  </si>
  <si>
    <t>TRIBUNAL DE JUSTIÇA DE SÃO PAULO</t>
  </si>
  <si>
    <t>Secretaria de Administração e Abastecimento</t>
  </si>
  <si>
    <t>Dúvidas frequentes</t>
  </si>
  <si>
    <t xml:space="preserve">
1. A planilha fornecida é de uso obrigatório?</t>
  </si>
  <si>
    <t>O uso da planilha disponibilizada no edital é orientativa e de uso opcional, no entanto, a licitante deverá apresentar o cálculo  quando solicitado pelo/pela pregoeiro/pregoeira.</t>
  </si>
  <si>
    <t xml:space="preserve">A licitante deverá validar e inserir a informação das alíquotas de cada localidade de acordo com a legislação municipal em vigor. </t>
  </si>
  <si>
    <t>Parâmetros de cálculo</t>
  </si>
  <si>
    <t>IPC FIPE (01/03/2023 a 29/02/2024)</t>
  </si>
  <si>
    <t>Posto 8h (2ª a dom): trabalha 6 dias na semana (6 x 7,33)</t>
  </si>
  <si>
    <t>Quantidade de dias no ano</t>
  </si>
  <si>
    <t>Geral</t>
  </si>
  <si>
    <t>Quantidade de dias por mês</t>
  </si>
  <si>
    <t>Vestuário</t>
  </si>
  <si>
    <t>Total de feriados no ano corrente</t>
  </si>
  <si>
    <t>Saúde</t>
  </si>
  <si>
    <t>Média de feriados por mês</t>
  </si>
  <si>
    <t>Dias Efetivamente Trabalhados/Mês do Posto</t>
  </si>
  <si>
    <t>Posto 8h (2ª a dom)</t>
  </si>
  <si>
    <r>
      <t>1.</t>
    </r>
    <r>
      <rPr>
        <b/>
        <sz val="7"/>
        <color theme="1"/>
        <rFont val="Times New Roman"/>
        <family val="1"/>
      </rPr>
      <t xml:space="preserve">    </t>
    </r>
    <r>
      <rPr>
        <b/>
        <sz val="12"/>
        <color rgb="FF000000"/>
        <rFont val="Calibri"/>
        <family val="2"/>
        <scheme val="minor"/>
      </rPr>
      <t>Tabela de Valores Referenciais – março 2024</t>
    </r>
  </si>
  <si>
    <t>Posto 44h (2ª a 6ª)</t>
  </si>
  <si>
    <t>Periodicidade</t>
  </si>
  <si>
    <t>Valor Unitário</t>
  </si>
  <si>
    <t>Dias Efetivamente Trabalhados / Mês por funcionário - Posto 8h seg a dom</t>
  </si>
  <si>
    <t>Mensal</t>
  </si>
  <si>
    <t>2023 CADTERC</t>
  </si>
  <si>
    <t>4. Folguista</t>
  </si>
  <si>
    <t>Posto</t>
  </si>
  <si>
    <t>Qtde Horas / Dia do Posto</t>
  </si>
  <si>
    <t>Qtde Dias Efetivamente Trabalhados / Mês do Posto</t>
  </si>
  <si>
    <t>Carga Horária Mensal do Posto</t>
  </si>
  <si>
    <t>Qtde Horas Efetivamente Trabalhadas / Dia por Funcionário</t>
  </si>
  <si>
    <t>Qtde Dias Efetivamente Trabalhados / Mês por funcionário</t>
  </si>
  <si>
    <t>Carga Horária Efetivamente Trabalhada / Mês por Funcionário</t>
  </si>
  <si>
    <t>Qtde Porteiros por posto</t>
  </si>
  <si>
    <t>Qtde de Folguista do Posto</t>
  </si>
  <si>
    <r>
      <t xml:space="preserve">Para o presente estudo, a quantidade de dias úteis estimados por mês foi de </t>
    </r>
    <r>
      <rPr>
        <b/>
        <sz val="12"/>
        <color theme="1"/>
        <rFont val="Calibri"/>
        <family val="2"/>
        <scheme val="minor"/>
      </rPr>
      <t>21 (vinte e um) dias/mês</t>
    </r>
    <r>
      <rPr>
        <sz val="12"/>
        <color theme="1"/>
        <rFont val="Calibri"/>
        <family val="2"/>
        <scheme val="minor"/>
      </rPr>
      <t xml:space="preserve"> para as funções que exercem trabalho de segunda-feira a sexta-feira. Conforme CADTERC, para o posto de 8 horas diárias segunda a domingo a quantidade de dias adotada foi de 29,03 dias por mês. A quantidade de dias úteis por funcionário desta função é de 24,68 dias por mês. </t>
    </r>
  </si>
  <si>
    <t>44 horas semanais (2ª a 6ª feira)</t>
  </si>
  <si>
    <t>8 horas diárias – diurno 
(2ª feira a domingo)</t>
  </si>
  <si>
    <t>'</t>
  </si>
  <si>
    <r>
      <t>5.</t>
    </r>
    <r>
      <rPr>
        <b/>
        <sz val="7"/>
        <color theme="1"/>
        <rFont val="Times New Roman"/>
        <family val="1"/>
      </rPr>
      <t xml:space="preserve">    </t>
    </r>
    <r>
      <rPr>
        <b/>
        <sz val="12"/>
        <color rgb="FF000000"/>
        <rFont val="Calibri"/>
        <family val="2"/>
        <scheme val="minor"/>
      </rPr>
      <t>Cobertura Intrajornada</t>
    </r>
  </si>
  <si>
    <t>Custo mensal do intervalo para alimentação e repouso (intrajornada) por posto de trabalho</t>
  </si>
  <si>
    <t>Jornada</t>
  </si>
  <si>
    <t>Nº empregados do posto de trabalho</t>
  </si>
  <si>
    <t>Carga horária efetivamente trabalhada</t>
  </si>
  <si>
    <t>Dias Efetivamente Trabalhados por mês por Funcionário</t>
  </si>
  <si>
    <t>Remuneração + Benefícios + Insumos + Encargos</t>
  </si>
  <si>
    <t>Valor cobertura intrajornada</t>
  </si>
  <si>
    <t xml:space="preserve">44 horas semanais </t>
  </si>
  <si>
    <t xml:space="preserve">2ª a 6ª feira </t>
  </si>
  <si>
    <t xml:space="preserve">8 horas diárias – diurno </t>
  </si>
  <si>
    <t xml:space="preserve">2ª feira a domingo </t>
  </si>
  <si>
    <r>
      <t>7.</t>
    </r>
    <r>
      <rPr>
        <b/>
        <sz val="7"/>
        <color theme="1"/>
        <rFont val="Times New Roman"/>
        <family val="1"/>
      </rPr>
      <t xml:space="preserve">    </t>
    </r>
    <r>
      <rPr>
        <b/>
        <sz val="12"/>
        <color rgb="FF000000"/>
        <rFont val="Calibri"/>
        <family val="2"/>
        <scheme val="minor"/>
      </rPr>
      <t>Remuneração* (Salário + Adicionais)</t>
    </r>
  </si>
  <si>
    <t>Remuneração - Salário Base + Adicionais- R$</t>
  </si>
  <si>
    <t>Salário</t>
  </si>
  <si>
    <t>-</t>
  </si>
  <si>
    <r>
      <t>9.1</t>
    </r>
    <r>
      <rPr>
        <b/>
        <sz val="7"/>
        <color theme="1"/>
        <rFont val="Times New Roman"/>
        <family val="1"/>
      </rPr>
      <t xml:space="preserve">  </t>
    </r>
    <r>
      <rPr>
        <b/>
        <sz val="12"/>
        <color rgb="FF000000"/>
        <rFont val="Calibri"/>
        <family val="2"/>
        <scheme val="minor"/>
      </rPr>
      <t>Vale Refeição</t>
    </r>
  </si>
  <si>
    <t>Valor Vale Refeição - R$</t>
  </si>
  <si>
    <t>Valor Diário</t>
  </si>
  <si>
    <t>Desconto</t>
  </si>
  <si>
    <t>Valor Diário Final</t>
  </si>
  <si>
    <t xml:space="preserve">Dias Úteis por Mês </t>
  </si>
  <si>
    <t xml:space="preserve">Total Valor VR </t>
  </si>
  <si>
    <t>9.2	Vale Transporte</t>
  </si>
  <si>
    <t>Valor Vale Transporte - R$</t>
  </si>
  <si>
    <t>Período</t>
  </si>
  <si>
    <t>Valor da Passagem Unitária</t>
  </si>
  <si>
    <t>Quantidade/Dia</t>
  </si>
  <si>
    <t>Dias Úteis por Mês</t>
  </si>
  <si>
    <t>Valor Bruto Vale Transporte*</t>
  </si>
  <si>
    <t>Segunda a Sexta</t>
  </si>
  <si>
    <t>Segunda a Domingo</t>
  </si>
  <si>
    <r>
      <t>9.1</t>
    </r>
    <r>
      <rPr>
        <b/>
        <sz val="7"/>
        <color theme="1"/>
        <rFont val="Times New Roman"/>
        <family val="1"/>
      </rPr>
      <t xml:space="preserve">             </t>
    </r>
    <r>
      <rPr>
        <b/>
        <sz val="12"/>
        <color rgb="FF000000"/>
        <rFont val="Calibri"/>
        <family val="2"/>
        <scheme val="minor"/>
      </rPr>
      <t>Norma Regulamentadora Nº 07</t>
    </r>
  </si>
  <si>
    <t>NR7 Cadterc</t>
  </si>
  <si>
    <t>NR7 FIPE IPCE Saúde</t>
  </si>
  <si>
    <r>
      <t>9.8</t>
    </r>
    <r>
      <rPr>
        <b/>
        <sz val="7"/>
        <color theme="1"/>
        <rFont val="Times New Roman"/>
        <family val="1"/>
      </rPr>
      <t xml:space="preserve">           </t>
    </r>
    <r>
      <rPr>
        <b/>
        <sz val="12"/>
        <color rgb="FF000000"/>
        <rFont val="Calibri"/>
        <family val="2"/>
        <scheme val="minor"/>
      </rPr>
      <t>Uniformes, Equipamentos e Complementos</t>
    </r>
  </si>
  <si>
    <t>Porteiro - R$</t>
  </si>
  <si>
    <t>Composição</t>
  </si>
  <si>
    <t>Tipo</t>
  </si>
  <si>
    <t>Qtde</t>
  </si>
  <si>
    <t>Valor Unit</t>
  </si>
  <si>
    <t>Valor Total</t>
  </si>
  <si>
    <t>Vida útil (meses)</t>
  </si>
  <si>
    <t>Valor Unit CADTERC</t>
  </si>
  <si>
    <t>Calça</t>
  </si>
  <si>
    <t>Uniforme</t>
  </si>
  <si>
    <t>Camisa Manga Longa</t>
  </si>
  <si>
    <t>Camisa Manga Curta</t>
  </si>
  <si>
    <t>Sapatos</t>
  </si>
  <si>
    <t>Meia</t>
  </si>
  <si>
    <t>Cinto</t>
  </si>
  <si>
    <t>Jaqueta</t>
  </si>
  <si>
    <t>Crachá</t>
  </si>
  <si>
    <t>Rádio Transceptores</t>
  </si>
  <si>
    <t>Equipamento</t>
  </si>
  <si>
    <t>Fones Auriculares</t>
  </si>
  <si>
    <t>VALOR MENSAL</t>
  </si>
  <si>
    <r>
      <t>9.9</t>
    </r>
    <r>
      <rPr>
        <b/>
        <sz val="7"/>
        <color theme="1"/>
        <rFont val="Times New Roman"/>
        <family val="1"/>
      </rPr>
      <t xml:space="preserve">             </t>
    </r>
    <r>
      <rPr>
        <b/>
        <sz val="12"/>
        <color rgb="FF000000"/>
        <rFont val="Calibri"/>
        <family val="2"/>
        <scheme val="minor"/>
      </rPr>
      <t xml:space="preserve">Dia do Trabalhador </t>
    </r>
  </si>
  <si>
    <t>Vale refeição</t>
  </si>
  <si>
    <t>Auxílio Creche (Indicadores Financeiros)</t>
  </si>
  <si>
    <t>Cadterc</t>
  </si>
  <si>
    <t>Proporção de mulheres na categoria profissional em Análise</t>
  </si>
  <si>
    <t>Percentual de participação por gênero feminino na CNAE (RAIS 2018) multiplicado pelo percentual de mães em potencial (18 a 49 anos na CNAE – RAIS 2018) multiplicado pelo percentual de fecundidade multiplicado pelo tempo de recebimento do benefício, que é o tempo de permanência do empregado na empresa, se esse for inferior ao tempo de concessão estipulado em convenção coletiva. Caso o tempo de permanência seja maior que o tempo estipulado, prevalece o tempo definido em convenção. O resultado é dividido pelo tempo de permanência do funcionário na empresa.</t>
  </si>
  <si>
    <t>Proporção de mulheres aptas a procriar (idade entre 18 e 49 anos) na categoria profissional em análise</t>
  </si>
  <si>
    <t>Percentual de fecundidade</t>
  </si>
  <si>
    <t>Tempo de permanência do funcionário no emprego, em meses</t>
  </si>
  <si>
    <t>Salário mínimo</t>
  </si>
  <si>
    <r>
      <t>1.</t>
    </r>
    <r>
      <rPr>
        <b/>
        <sz val="7"/>
        <color theme="1"/>
        <rFont val="Times New Roman"/>
        <family val="1"/>
      </rPr>
      <t xml:space="preserve">    </t>
    </r>
    <r>
      <rPr>
        <b/>
        <sz val="12"/>
        <color rgb="FF000000"/>
        <rFont val="Calibri"/>
        <family val="2"/>
        <scheme val="minor"/>
      </rPr>
      <t>Desconto por falta sem reposição e desconto por atraso</t>
    </r>
  </si>
  <si>
    <t>Desconto Falta sem Reposição</t>
  </si>
  <si>
    <t>TR 2024/00022179</t>
  </si>
  <si>
    <t>Valor do Posto/Dia</t>
  </si>
  <si>
    <t>Quantida de Minutos/Dia</t>
  </si>
  <si>
    <t>Valor do Desconto por Atraso por minuto</t>
  </si>
  <si>
    <t>Fórum Regional do Butantã</t>
  </si>
  <si>
    <t>Fórum Criminal Complexo Judiciário Ministro Mário Guimarães</t>
  </si>
  <si>
    <t>Fórum Regional do Ipiranga</t>
  </si>
  <si>
    <t>Fórum Regional do Jabaquara</t>
  </si>
  <si>
    <t>Fórum Regional da Lapa</t>
  </si>
  <si>
    <t>Fórum Regional de Santo Amaro - Adolfo Pinheiro</t>
  </si>
  <si>
    <t>Fórum Regional de Santo Amaro - Alexandre Dumas</t>
  </si>
  <si>
    <t>Fórum Regional de Santo Amaro - Nações Unidas</t>
  </si>
  <si>
    <t>Agrupador</t>
  </si>
  <si>
    <t>Fórum Regional de Pinheiros</t>
  </si>
  <si>
    <t xml:space="preserve">2. Qual é a alíquota de ISS considerada? </t>
  </si>
  <si>
    <t xml:space="preserve">3. Qual tarifa de transporte público deve ser considerada? </t>
  </si>
  <si>
    <t>A empresa deverá estimar o vale-transporte seguindo a realidade de seus custos, de acordo com os normativos vigentes e da sua gestão de recursos humanos. Para fins estimativos da contratação, adotou-se o valor unitário da passagem na cidade de São Paulo de R$ 5,82 multiplicado por 2 (ida e volta).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</si>
</sst>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_(&quot;R$ &quot;* #,##0.00_);_(&quot;R$ &quot;* \(#,##0.00\);_(&quot;R$ &quot;* &quot;-&quot;??_);_(@_)"/>
    <numFmt numFmtId="165" formatCode="_(* #,##0.00_);_(* \(#,##0.00\);_(* &quot;-&quot;??_);_(@_)"/>
    <numFmt numFmtId="166" formatCode="00\-0000"/>
    <numFmt numFmtId="167" formatCode="_-* #,##0_-;\-* #,##0_-;_-* &quot;-&quot;??_-;_-@_-"/>
    <numFmt numFmtId="168" formatCode="0_ ;\-0\ "/>
    <numFmt numFmtId="169" formatCode="0.000%"/>
    <numFmt numFmtId="170" formatCode="0.0000%"/>
    <numFmt numFmtId="171" formatCode="_-* #,##0.0000_-;\-* #,##0.0000_-;_-* &quot;-&quot;????_-;_-@_-"/>
    <numFmt numFmtId="172" formatCode="_-* #,##0.000_-;\-* #,##0.000_-;_-* &quot;-&quot;??_-;_-@_-"/>
    <numFmt numFmtId="173" formatCode="0.0000"/>
    <numFmt numFmtId="174" formatCode="0.000"/>
  </numFmts>
  <fonts count="41" x14ac:knownFonts="1">
    <font>
      <sz val="11"/>
      <color theme="1"/>
      <name val="Calibri"/>
      <family val="2"/>
      <scheme val="minor"/>
    </font>
    <font>
      <sz val="11"/>
      <color theme="1"/>
      <name val="Calibri"/>
      <family val="2"/>
      <scheme val="minor"/>
    </font>
    <font>
      <sz val="10"/>
      <name val="Arial"/>
      <family val="2"/>
    </font>
    <font>
      <sz val="10"/>
      <color indexed="8"/>
      <name val="Arial"/>
      <family val="2"/>
    </font>
    <font>
      <b/>
      <sz val="9"/>
      <color theme="1"/>
      <name val="Calibri"/>
      <family val="2"/>
      <scheme val="minor"/>
    </font>
    <font>
      <sz val="9"/>
      <color theme="1"/>
      <name val="Calibri"/>
      <family val="2"/>
      <scheme val="minor"/>
    </font>
    <font>
      <b/>
      <sz val="9"/>
      <name val="Calibri"/>
      <family val="2"/>
      <scheme val="minor"/>
    </font>
    <font>
      <sz val="9"/>
      <color theme="0"/>
      <name val="Calibri"/>
      <family val="2"/>
      <scheme val="minor"/>
    </font>
    <font>
      <sz val="9"/>
      <name val="Calibri"/>
      <family val="2"/>
      <scheme val="minor"/>
    </font>
    <font>
      <b/>
      <sz val="9"/>
      <color theme="1"/>
      <name val="Calibri"/>
      <family val="2"/>
    </font>
    <font>
      <sz val="9"/>
      <color theme="1"/>
      <name val="Calibri"/>
      <family val="2"/>
    </font>
    <font>
      <sz val="9"/>
      <color rgb="FFFF0000"/>
      <name val="Calibri"/>
      <family val="2"/>
      <scheme val="minor"/>
    </font>
    <font>
      <sz val="10"/>
      <color theme="1"/>
      <name val="Calibri"/>
      <family val="2"/>
      <scheme val="minor"/>
    </font>
    <font>
      <b/>
      <sz val="10"/>
      <color theme="1"/>
      <name val="Calibri"/>
      <family val="2"/>
      <scheme val="minor"/>
    </font>
    <font>
      <b/>
      <sz val="11"/>
      <color rgb="FFFF0000"/>
      <name val="Calibri"/>
      <family val="2"/>
      <scheme val="minor"/>
    </font>
    <font>
      <b/>
      <sz val="10"/>
      <name val="Calibri"/>
      <family val="2"/>
      <scheme val="minor"/>
    </font>
    <font>
      <u/>
      <sz val="11"/>
      <color theme="10"/>
      <name val="Calibri"/>
      <family val="2"/>
      <scheme val="minor"/>
    </font>
    <font>
      <b/>
      <sz val="10"/>
      <color rgb="FF000000"/>
      <name val="Calibri"/>
      <family val="2"/>
      <scheme val="minor"/>
    </font>
    <font>
      <sz val="10"/>
      <color rgb="FF000000"/>
      <name val="Calibri"/>
      <family val="2"/>
      <scheme val="minor"/>
    </font>
    <font>
      <b/>
      <sz val="9"/>
      <color theme="4"/>
      <name val="Calibri"/>
      <family val="2"/>
      <scheme val="minor"/>
    </font>
    <font>
      <sz val="11"/>
      <name val="Calibri"/>
      <family val="2"/>
      <scheme val="minor"/>
    </font>
    <font>
      <b/>
      <sz val="12"/>
      <color theme="1"/>
      <name val="Calibri"/>
      <family val="2"/>
      <scheme val="minor"/>
    </font>
    <font>
      <b/>
      <sz val="10"/>
      <color rgb="FFFFFFFF"/>
      <name val="Calibri"/>
      <family val="2"/>
      <scheme val="minor"/>
    </font>
    <font>
      <b/>
      <sz val="7"/>
      <color theme="1"/>
      <name val="Times New Roman"/>
      <family val="1"/>
    </font>
    <font>
      <b/>
      <sz val="12"/>
      <color rgb="FF000000"/>
      <name val="Calibri"/>
      <family val="2"/>
      <scheme val="minor"/>
    </font>
    <font>
      <sz val="9"/>
      <color rgb="FF000000"/>
      <name val="Calibri"/>
      <family val="2"/>
      <scheme val="minor"/>
    </font>
    <font>
      <sz val="9"/>
      <color rgb="FF000000"/>
      <name val="Calibri"/>
      <family val="2"/>
    </font>
    <font>
      <sz val="11"/>
      <color rgb="FF000000"/>
      <name val="Calibri"/>
      <family val="2"/>
      <scheme val="minor"/>
    </font>
    <font>
      <sz val="11"/>
      <color rgb="FFFF0000"/>
      <name val="Calibri"/>
      <family val="2"/>
      <scheme val="minor"/>
    </font>
    <font>
      <sz val="10"/>
      <color rgb="FFFF0000"/>
      <name val="Calibri"/>
      <family val="2"/>
      <scheme val="minor"/>
    </font>
    <font>
      <b/>
      <sz val="9"/>
      <color rgb="FFFFFFFF"/>
      <name val="Calibri"/>
      <family val="2"/>
      <scheme val="minor"/>
    </font>
    <font>
      <b/>
      <sz val="11"/>
      <color theme="1"/>
      <name val="Calibri"/>
      <family val="2"/>
      <scheme val="minor"/>
    </font>
    <font>
      <sz val="11"/>
      <color theme="0"/>
      <name val="Calibri"/>
      <family val="2"/>
      <scheme val="minor"/>
    </font>
    <font>
      <b/>
      <sz val="18"/>
      <name val="Calibri"/>
      <family val="2"/>
      <scheme val="minor"/>
    </font>
    <font>
      <sz val="18"/>
      <name val="Calibri"/>
      <family val="2"/>
      <scheme val="minor"/>
    </font>
    <font>
      <b/>
      <sz val="14"/>
      <color theme="1"/>
      <name val="Calibri"/>
      <family val="2"/>
      <scheme val="minor"/>
    </font>
    <font>
      <sz val="10"/>
      <name val="Calibri"/>
      <family val="2"/>
      <scheme val="minor"/>
    </font>
    <font>
      <sz val="12"/>
      <color theme="1"/>
      <name val="Calibri"/>
      <family val="2"/>
      <scheme val="minor"/>
    </font>
    <font>
      <sz val="16"/>
      <name val="Calibri"/>
      <family val="2"/>
      <scheme val="minor"/>
    </font>
    <font>
      <b/>
      <sz val="16"/>
      <name val="Calibri"/>
      <family val="2"/>
      <scheme val="minor"/>
    </font>
    <font>
      <b/>
      <sz val="9"/>
      <color rgb="FF000000"/>
      <name val="Calibri"/>
      <family val="2"/>
      <scheme val="minor"/>
    </font>
  </fonts>
  <fills count="1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D9D9D9"/>
        <bgColor indexed="64"/>
      </patternFill>
    </fill>
    <fill>
      <patternFill patternType="solid">
        <fgColor rgb="FFF2F2F2"/>
        <bgColor indexed="64"/>
      </patternFill>
    </fill>
    <fill>
      <patternFill patternType="solid">
        <fgColor rgb="FFFFFFFF"/>
        <bgColor indexed="64"/>
      </patternFill>
    </fill>
    <fill>
      <patternFill patternType="solid">
        <fgColor theme="0" tint="-0.14999847407452621"/>
        <bgColor theme="4"/>
      </patternFill>
    </fill>
    <fill>
      <patternFill patternType="solid">
        <fgColor theme="0" tint="-0.249977111117893"/>
        <bgColor theme="4"/>
      </patternFill>
    </fill>
    <fill>
      <patternFill patternType="solid">
        <fgColor theme="6" tint="0.39997558519241921"/>
        <bgColor indexed="64"/>
      </patternFill>
    </fill>
    <fill>
      <patternFill patternType="solid">
        <fgColor theme="5" tint="0.79998168889431442"/>
        <bgColor indexed="64"/>
      </patternFill>
    </fill>
    <fill>
      <patternFill patternType="solid">
        <fgColor rgb="FFED7D31"/>
        <bgColor indexed="64"/>
      </patternFill>
    </fill>
    <fill>
      <patternFill patternType="solid">
        <fgColor rgb="FFFBE4D5"/>
        <bgColor indexed="64"/>
      </patternFill>
    </fill>
    <fill>
      <patternFill patternType="solid">
        <fgColor rgb="FFFFFF00"/>
        <bgColor indexed="64"/>
      </patternFill>
    </fill>
    <fill>
      <patternFill patternType="solid">
        <fgColor theme="9" tint="-0.249977111117893"/>
        <bgColor indexed="64"/>
      </patternFill>
    </fill>
    <fill>
      <patternFill patternType="solid">
        <fgColor theme="6" tint="0.59999389629810485"/>
        <bgColor indexed="64"/>
      </patternFill>
    </fill>
  </fills>
  <borders count="6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style="thin">
        <color theme="0"/>
      </right>
      <top style="thin">
        <color theme="0"/>
      </top>
      <bottom/>
      <diagonal/>
    </border>
    <border>
      <left style="thin">
        <color rgb="FF8DB4E2"/>
      </left>
      <right style="thin">
        <color rgb="FF8DB4E2"/>
      </right>
      <top style="thin">
        <color rgb="FF8DB4E2"/>
      </top>
      <bottom style="thin">
        <color rgb="FF8DB4E2"/>
      </bottom>
      <diagonal/>
    </border>
    <border>
      <left style="thin">
        <color rgb="FF8DB4E2"/>
      </left>
      <right/>
      <top style="thin">
        <color rgb="FF8DB4E2"/>
      </top>
      <bottom style="thin">
        <color rgb="FF8DB4E2"/>
      </bottom>
      <diagonal/>
    </border>
    <border>
      <left/>
      <right style="thin">
        <color theme="0"/>
      </right>
      <top style="thin">
        <color rgb="FF8DB4E2"/>
      </top>
      <bottom style="thin">
        <color rgb="FF8DB4E2"/>
      </bottom>
      <diagonal/>
    </border>
    <border>
      <left style="thin">
        <color theme="0"/>
      </left>
      <right style="thin">
        <color theme="0"/>
      </right>
      <top style="thin">
        <color rgb="FF8DB4E2"/>
      </top>
      <bottom style="thin">
        <color rgb="FF8DB4E2"/>
      </bottom>
      <diagonal/>
    </border>
    <border>
      <left/>
      <right/>
      <top/>
      <bottom style="thin">
        <color rgb="FF8DB4E2"/>
      </bottom>
      <diagonal/>
    </border>
    <border>
      <left/>
      <right/>
      <top style="thin">
        <color theme="3" tint="0.59996337778862885"/>
      </top>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right style="thin">
        <color theme="0"/>
      </right>
      <top/>
      <bottom style="thin">
        <color theme="0"/>
      </bottom>
      <diagonal/>
    </border>
    <border>
      <left style="thin">
        <color theme="3" tint="0.59996337778862885"/>
      </left>
      <right/>
      <top style="thin">
        <color theme="3" tint="0.59996337778862885"/>
      </top>
      <bottom style="thin">
        <color theme="3" tint="0.59996337778862885"/>
      </bottom>
      <diagonal/>
    </border>
    <border>
      <left/>
      <right/>
      <top style="thin">
        <color theme="3" tint="0.59996337778862885"/>
      </top>
      <bottom style="thin">
        <color theme="3" tint="0.59996337778862885"/>
      </bottom>
      <diagonal/>
    </border>
    <border>
      <left/>
      <right/>
      <top style="thin">
        <color rgb="FF8DB4E2"/>
      </top>
      <bottom style="thin">
        <color rgb="FF8DB4E2"/>
      </bottom>
      <diagonal/>
    </border>
    <border>
      <left style="medium">
        <color rgb="FFED7D31"/>
      </left>
      <right/>
      <top style="medium">
        <color rgb="FFED7D31"/>
      </top>
      <bottom style="medium">
        <color rgb="FFED7D31"/>
      </bottom>
      <diagonal/>
    </border>
    <border>
      <left/>
      <right/>
      <top style="medium">
        <color rgb="FFED7D31"/>
      </top>
      <bottom style="medium">
        <color rgb="FFED7D31"/>
      </bottom>
      <diagonal/>
    </border>
    <border>
      <left/>
      <right style="medium">
        <color rgb="FFED7D31"/>
      </right>
      <top style="medium">
        <color rgb="FFED7D31"/>
      </top>
      <bottom style="medium">
        <color rgb="FFED7D31"/>
      </bottom>
      <diagonal/>
    </border>
    <border>
      <left style="medium">
        <color rgb="FFF4B083"/>
      </left>
      <right style="medium">
        <color rgb="FFF4B083"/>
      </right>
      <top/>
      <bottom style="medium">
        <color rgb="FFF4B083"/>
      </bottom>
      <diagonal/>
    </border>
    <border>
      <left/>
      <right style="medium">
        <color rgb="FFF4B083"/>
      </right>
      <top/>
      <bottom style="medium">
        <color rgb="FFF4B083"/>
      </bottom>
      <diagonal/>
    </border>
    <border>
      <left style="medium">
        <color rgb="FFF4B083"/>
      </left>
      <right style="medium">
        <color rgb="FFF4B083"/>
      </right>
      <top/>
      <bottom/>
      <diagonal/>
    </border>
    <border>
      <left style="medium">
        <color rgb="FFF4B083"/>
      </left>
      <right style="medium">
        <color rgb="FFF4B083"/>
      </right>
      <top style="medium">
        <color rgb="FFF4B083"/>
      </top>
      <bottom/>
      <diagonal/>
    </border>
    <border>
      <left style="medium">
        <color rgb="FFF4B083"/>
      </left>
      <right/>
      <top style="medium">
        <color rgb="FFF4B083"/>
      </top>
      <bottom style="medium">
        <color rgb="FFF4B083"/>
      </bottom>
      <diagonal/>
    </border>
    <border>
      <left/>
      <right/>
      <top style="medium">
        <color rgb="FFF4B083"/>
      </top>
      <bottom style="medium">
        <color rgb="FFF4B083"/>
      </bottom>
      <diagonal/>
    </border>
    <border>
      <left/>
      <right style="medium">
        <color rgb="FFF4B083"/>
      </right>
      <top style="medium">
        <color rgb="FFF4B083"/>
      </top>
      <bottom style="medium">
        <color rgb="FFF4B083"/>
      </bottom>
      <diagonal/>
    </border>
    <border>
      <left style="medium">
        <color rgb="FFED7D31"/>
      </left>
      <right/>
      <top style="medium">
        <color rgb="FFED7D31"/>
      </top>
      <bottom/>
      <diagonal/>
    </border>
    <border>
      <left style="medium">
        <color rgb="FFED7D31"/>
      </left>
      <right/>
      <top/>
      <bottom style="medium">
        <color rgb="FFED7D31"/>
      </bottom>
      <diagonal/>
    </border>
    <border>
      <left/>
      <right/>
      <top style="medium">
        <color rgb="FFED7D31"/>
      </top>
      <bottom/>
      <diagonal/>
    </border>
    <border>
      <left/>
      <right/>
      <top/>
      <bottom style="medium">
        <color rgb="FFED7D31"/>
      </bottom>
      <diagonal/>
    </border>
    <border>
      <left/>
      <right style="medium">
        <color rgb="FFED7D31"/>
      </right>
      <top style="medium">
        <color rgb="FFED7D31"/>
      </top>
      <bottom/>
      <diagonal/>
    </border>
    <border>
      <left/>
      <right style="medium">
        <color rgb="FFED7D31"/>
      </right>
      <top/>
      <bottom style="medium">
        <color rgb="FFED7D3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D7D31"/>
      </left>
      <right/>
      <top/>
      <bottom/>
      <diagonal/>
    </border>
    <border>
      <left/>
      <right style="medium">
        <color rgb="FFF4B083"/>
      </right>
      <top style="medium">
        <color rgb="FFED7D31"/>
      </top>
      <bottom style="medium">
        <color rgb="FFF4B083"/>
      </bottom>
      <diagonal/>
    </border>
    <border>
      <left style="medium">
        <color rgb="FFF4B083"/>
      </left>
      <right/>
      <top style="medium">
        <color rgb="FFED7D31"/>
      </top>
      <bottom style="medium">
        <color rgb="FFF4B083"/>
      </bottom>
      <diagonal/>
    </border>
    <border>
      <left/>
      <right/>
      <top style="medium">
        <color rgb="FFF4B083"/>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F4B083"/>
      </left>
      <right style="medium">
        <color rgb="FFF4B083"/>
      </right>
      <top style="medium">
        <color rgb="FFF4B083"/>
      </top>
      <bottom style="medium">
        <color theme="9" tint="0.39997558519241921"/>
      </bottom>
      <diagonal/>
    </border>
    <border>
      <left style="medium">
        <color rgb="FFF4B083"/>
      </left>
      <right style="medium">
        <color rgb="FFF4B083"/>
      </right>
      <top style="medium">
        <color theme="9" tint="0.39997558519241921"/>
      </top>
      <bottom style="medium">
        <color rgb="FFF4B083"/>
      </bottom>
      <diagonal/>
    </border>
    <border>
      <left style="thin">
        <color rgb="FF808080"/>
      </left>
      <right style="thin">
        <color rgb="FF808080"/>
      </right>
      <top style="thin">
        <color rgb="FF808080"/>
      </top>
      <bottom style="thin">
        <color rgb="FF808080"/>
      </bottom>
      <diagonal/>
    </border>
    <border>
      <left style="thin">
        <color rgb="FF808080"/>
      </left>
      <right style="thin">
        <color rgb="FF808080"/>
      </right>
      <top/>
      <bottom style="thin">
        <color rgb="FF808080"/>
      </bottom>
      <diagonal/>
    </border>
  </borders>
  <cellStyleXfs count="9">
    <xf numFmtId="0" fontId="0" fillId="0" borderId="0"/>
    <xf numFmtId="43" fontId="1"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165" fontId="2" fillId="0" borderId="0" applyFont="0" applyFill="0" applyBorder="0" applyAlignment="0" applyProtection="0"/>
    <xf numFmtId="0" fontId="3" fillId="0" borderId="0"/>
    <xf numFmtId="0" fontId="16" fillId="0" borderId="0" applyNumberFormat="0" applyFill="0" applyBorder="0" applyAlignment="0" applyProtection="0"/>
  </cellStyleXfs>
  <cellXfs count="414">
    <xf numFmtId="0" fontId="0" fillId="0" borderId="0" xfId="0"/>
    <xf numFmtId="0" fontId="0" fillId="0" borderId="1" xfId="0" applyBorder="1"/>
    <xf numFmtId="0" fontId="0" fillId="0" borderId="3" xfId="0" applyBorder="1"/>
    <xf numFmtId="10" fontId="5" fillId="0" borderId="4" xfId="2" applyNumberFormat="1" applyFont="1" applyBorder="1" applyAlignment="1" applyProtection="1">
      <alignment vertical="center"/>
    </xf>
    <xf numFmtId="0" fontId="5" fillId="0" borderId="4" xfId="0" applyFont="1" applyBorder="1" applyAlignment="1">
      <alignment horizontal="center" vertical="center" wrapText="1"/>
    </xf>
    <xf numFmtId="166" fontId="6" fillId="9" borderId="4" xfId="0" applyNumberFormat="1" applyFont="1" applyFill="1" applyBorder="1" applyAlignment="1">
      <alignment horizontal="center" vertical="center" wrapText="1"/>
    </xf>
    <xf numFmtId="0" fontId="5" fillId="0" borderId="0" xfId="0" applyFont="1" applyAlignment="1">
      <alignment vertical="center"/>
    </xf>
    <xf numFmtId="0" fontId="5" fillId="0" borderId="4" xfId="0" applyFont="1" applyBorder="1" applyAlignment="1">
      <alignment horizontal="left" vertical="center" wrapText="1"/>
    </xf>
    <xf numFmtId="0" fontId="5" fillId="0" borderId="3" xfId="0" applyFont="1" applyBorder="1"/>
    <xf numFmtId="0" fontId="5" fillId="0" borderId="1" xfId="0" applyFont="1" applyBorder="1"/>
    <xf numFmtId="0" fontId="9" fillId="0" borderId="7" xfId="0" applyFont="1" applyBorder="1" applyAlignment="1">
      <alignment horizontal="left" vertical="center" wrapText="1"/>
    </xf>
    <xf numFmtId="0" fontId="7" fillId="0" borderId="1" xfId="0" applyFont="1" applyBorder="1"/>
    <xf numFmtId="0" fontId="9" fillId="2" borderId="4" xfId="0" applyFont="1" applyFill="1" applyBorder="1" applyAlignment="1">
      <alignment horizontal="left" vertical="center" wrapText="1"/>
    </xf>
    <xf numFmtId="0" fontId="9" fillId="2" borderId="7"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10" fillId="8" borderId="4" xfId="0" applyFont="1" applyFill="1" applyBorder="1" applyAlignment="1" applyProtection="1">
      <alignment horizontal="left" vertical="center" wrapText="1"/>
      <protection locked="0"/>
    </xf>
    <xf numFmtId="0" fontId="9" fillId="8" borderId="4" xfId="0" applyFont="1" applyFill="1" applyBorder="1" applyAlignment="1">
      <alignment horizontal="center" vertical="center" wrapText="1"/>
    </xf>
    <xf numFmtId="0" fontId="10" fillId="8" borderId="4" xfId="0" applyFont="1" applyFill="1" applyBorder="1" applyAlignment="1" applyProtection="1">
      <alignment horizontal="center" vertical="center" wrapText="1"/>
      <protection locked="0"/>
    </xf>
    <xf numFmtId="14" fontId="10" fillId="8" borderId="4" xfId="0" applyNumberFormat="1" applyFont="1" applyFill="1" applyBorder="1" applyAlignment="1" applyProtection="1">
      <alignment horizontal="center" vertical="center" wrapText="1"/>
      <protection locked="0"/>
    </xf>
    <xf numFmtId="0" fontId="5" fillId="0" borderId="2" xfId="0" applyFont="1" applyBorder="1"/>
    <xf numFmtId="0" fontId="5" fillId="0" borderId="3" xfId="0" applyFont="1" applyBorder="1" applyAlignment="1">
      <alignment vertical="center" wrapText="1"/>
    </xf>
    <xf numFmtId="0" fontId="8" fillId="0" borderId="4" xfId="0" applyFont="1" applyBorder="1" applyAlignment="1">
      <alignment horizontal="center" vertical="center" wrapText="1"/>
    </xf>
    <xf numFmtId="0" fontId="8" fillId="0" borderId="4" xfId="0" applyFont="1" applyBorder="1" applyAlignment="1">
      <alignment vertical="center" wrapText="1"/>
    </xf>
    <xf numFmtId="43" fontId="8" fillId="0" borderId="4" xfId="1" applyFont="1" applyFill="1" applyBorder="1" applyAlignment="1" applyProtection="1">
      <alignment vertical="center"/>
    </xf>
    <xf numFmtId="43" fontId="6" fillId="0" borderId="4" xfId="1" applyFont="1" applyFill="1" applyBorder="1" applyAlignment="1" applyProtection="1">
      <alignment vertical="center"/>
    </xf>
    <xf numFmtId="0" fontId="5" fillId="0" borderId="1" xfId="0" applyFont="1" applyBorder="1" applyAlignment="1">
      <alignment vertical="center" wrapText="1"/>
    </xf>
    <xf numFmtId="0" fontId="5" fillId="0" borderId="0" xfId="0" applyFont="1" applyAlignment="1">
      <alignment horizontal="center" vertical="center" wrapText="1"/>
    </xf>
    <xf numFmtId="0" fontId="5" fillId="0" borderId="1" xfId="1" applyNumberFormat="1" applyFont="1" applyBorder="1" applyAlignment="1" applyProtection="1">
      <alignment vertical="center" wrapText="1"/>
    </xf>
    <xf numFmtId="0" fontId="5" fillId="0" borderId="0" xfId="0" applyFont="1" applyAlignment="1">
      <alignment vertical="center" wrapText="1"/>
    </xf>
    <xf numFmtId="0" fontId="5" fillId="0" borderId="0" xfId="1" applyNumberFormat="1" applyFont="1" applyAlignment="1" applyProtection="1">
      <alignment vertical="center"/>
    </xf>
    <xf numFmtId="43" fontId="5" fillId="0" borderId="0" xfId="1" applyFont="1" applyAlignment="1" applyProtection="1">
      <alignment vertical="center"/>
    </xf>
    <xf numFmtId="43" fontId="5" fillId="0" borderId="1" xfId="0" applyNumberFormat="1" applyFont="1" applyBorder="1" applyAlignment="1">
      <alignment vertical="center" wrapText="1"/>
    </xf>
    <xf numFmtId="0" fontId="4" fillId="0" borderId="3" xfId="0" applyFont="1" applyBorder="1" applyAlignment="1">
      <alignment vertical="center" wrapText="1"/>
    </xf>
    <xf numFmtId="43" fontId="5" fillId="0" borderId="3" xfId="0" applyNumberFormat="1" applyFont="1" applyBorder="1" applyAlignment="1">
      <alignment vertical="center" wrapText="1"/>
    </xf>
    <xf numFmtId="0" fontId="0" fillId="0" borderId="2" xfId="0" applyBorder="1"/>
    <xf numFmtId="43" fontId="5" fillId="0" borderId="4" xfId="0" applyNumberFormat="1" applyFont="1" applyBorder="1" applyAlignment="1">
      <alignment vertical="center" wrapText="1"/>
    </xf>
    <xf numFmtId="43" fontId="4" fillId="4" borderId="4" xfId="0" applyNumberFormat="1" applyFont="1" applyFill="1" applyBorder="1"/>
    <xf numFmtId="0" fontId="4" fillId="4" borderId="4" xfId="0" applyFont="1" applyFill="1" applyBorder="1" applyAlignment="1">
      <alignment horizontal="right"/>
    </xf>
    <xf numFmtId="0" fontId="4" fillId="4" borderId="4" xfId="0" applyFont="1" applyFill="1" applyBorder="1" applyAlignment="1">
      <alignment horizontal="center" vertical="center" wrapText="1"/>
    </xf>
    <xf numFmtId="169" fontId="5" fillId="0" borderId="1" xfId="0" applyNumberFormat="1" applyFont="1" applyBorder="1" applyAlignment="1">
      <alignment vertical="center" wrapText="1"/>
    </xf>
    <xf numFmtId="169" fontId="5" fillId="0" borderId="0" xfId="1" applyNumberFormat="1" applyFont="1" applyAlignment="1" applyProtection="1">
      <alignment vertical="center"/>
    </xf>
    <xf numFmtId="43" fontId="4" fillId="0" borderId="9" xfId="1" applyFont="1" applyBorder="1" applyAlignment="1" applyProtection="1">
      <alignment vertical="center"/>
    </xf>
    <xf numFmtId="10" fontId="5" fillId="0" borderId="4" xfId="2" applyNumberFormat="1" applyFont="1" applyBorder="1" applyAlignment="1" applyProtection="1">
      <alignment horizontal="right" vertical="center" wrapText="1"/>
    </xf>
    <xf numFmtId="10" fontId="8" fillId="0" borderId="4" xfId="2" applyNumberFormat="1" applyFont="1" applyFill="1" applyBorder="1" applyAlignment="1" applyProtection="1">
      <alignment vertical="center"/>
    </xf>
    <xf numFmtId="0" fontId="6" fillId="3" borderId="4" xfId="0" applyFont="1" applyFill="1" applyBorder="1" applyAlignment="1">
      <alignment horizontal="center" vertical="center" wrapText="1"/>
    </xf>
    <xf numFmtId="10" fontId="8" fillId="0" borderId="4" xfId="2" applyNumberFormat="1" applyFont="1" applyFill="1" applyBorder="1" applyAlignment="1" applyProtection="1">
      <alignment vertical="center" wrapText="1"/>
    </xf>
    <xf numFmtId="43" fontId="8" fillId="0" borderId="4" xfId="1" applyFont="1" applyFill="1" applyBorder="1" applyAlignment="1" applyProtection="1">
      <alignment vertical="center" wrapText="1"/>
    </xf>
    <xf numFmtId="0" fontId="4" fillId="3" borderId="4" xfId="0" applyFont="1" applyFill="1" applyBorder="1" applyAlignment="1">
      <alignment horizontal="center" vertical="center" wrapText="1"/>
    </xf>
    <xf numFmtId="166" fontId="5" fillId="0" borderId="4" xfId="0" applyNumberFormat="1" applyFont="1" applyBorder="1" applyAlignment="1">
      <alignment horizontal="center" vertical="center" wrapText="1"/>
    </xf>
    <xf numFmtId="0" fontId="5" fillId="0" borderId="4" xfId="0" applyFont="1" applyBorder="1" applyAlignment="1">
      <alignment vertical="center" wrapText="1"/>
    </xf>
    <xf numFmtId="0" fontId="7" fillId="2" borderId="10" xfId="0" applyFont="1" applyFill="1" applyBorder="1"/>
    <xf numFmtId="43" fontId="5" fillId="0" borderId="3" xfId="0" applyNumberFormat="1" applyFont="1" applyBorder="1"/>
    <xf numFmtId="0" fontId="8" fillId="0" borderId="1" xfId="0" applyFont="1" applyBorder="1"/>
    <xf numFmtId="0" fontId="5" fillId="0" borderId="8" xfId="0" applyFont="1" applyBorder="1" applyAlignment="1">
      <alignment vertical="center"/>
    </xf>
    <xf numFmtId="0" fontId="4" fillId="4" borderId="4" xfId="0" applyFont="1" applyFill="1" applyBorder="1" applyAlignment="1">
      <alignment horizontal="center" vertical="center"/>
    </xf>
    <xf numFmtId="0" fontId="5" fillId="0" borderId="4" xfId="0" applyFont="1" applyBorder="1" applyAlignment="1">
      <alignment horizontal="center" vertical="center"/>
    </xf>
    <xf numFmtId="10" fontId="4" fillId="4" borderId="4" xfId="0" applyNumberFormat="1" applyFont="1" applyFill="1" applyBorder="1" applyAlignment="1">
      <alignment vertical="center"/>
    </xf>
    <xf numFmtId="0" fontId="8" fillId="0" borderId="0" xfId="0" applyFont="1" applyAlignment="1">
      <alignment vertical="center"/>
    </xf>
    <xf numFmtId="10" fontId="8" fillId="0" borderId="1" xfId="0" applyNumberFormat="1" applyFont="1" applyBorder="1"/>
    <xf numFmtId="10" fontId="5" fillId="0" borderId="3" xfId="0" applyNumberFormat="1" applyFont="1" applyBorder="1"/>
    <xf numFmtId="9" fontId="8" fillId="0" borderId="1" xfId="0" applyNumberFormat="1" applyFont="1" applyBorder="1"/>
    <xf numFmtId="10" fontId="4" fillId="3" borderId="4" xfId="0" applyNumberFormat="1" applyFont="1" applyFill="1" applyBorder="1" applyAlignment="1">
      <alignment vertical="center"/>
    </xf>
    <xf numFmtId="0" fontId="8" fillId="0" borderId="3" xfId="0" applyFont="1" applyBorder="1"/>
    <xf numFmtId="10" fontId="5" fillId="0" borderId="4" xfId="2" applyNumberFormat="1" applyFont="1" applyBorder="1" applyAlignment="1" applyProtection="1">
      <alignment horizontal="center" vertical="center"/>
    </xf>
    <xf numFmtId="43" fontId="5" fillId="0" borderId="4" xfId="1" applyFont="1" applyBorder="1" applyAlignment="1" applyProtection="1">
      <alignment vertical="center"/>
    </xf>
    <xf numFmtId="2" fontId="8" fillId="0" borderId="3" xfId="0" applyNumberFormat="1" applyFont="1" applyBorder="1"/>
    <xf numFmtId="43" fontId="8" fillId="0" borderId="3" xfId="0" applyNumberFormat="1" applyFont="1" applyBorder="1"/>
    <xf numFmtId="166" fontId="8" fillId="0" borderId="4" xfId="0" applyNumberFormat="1" applyFont="1" applyBorder="1" applyAlignment="1">
      <alignment horizontal="center" vertical="center"/>
    </xf>
    <xf numFmtId="0" fontId="5" fillId="0" borderId="1" xfId="0" applyFont="1" applyBorder="1" applyProtection="1">
      <protection locked="0"/>
    </xf>
    <xf numFmtId="0" fontId="5" fillId="0" borderId="0" xfId="0" applyFont="1"/>
    <xf numFmtId="167" fontId="5" fillId="0" borderId="4" xfId="1" applyNumberFormat="1" applyFont="1" applyBorder="1" applyAlignment="1" applyProtection="1">
      <alignment vertical="center" wrapText="1"/>
    </xf>
    <xf numFmtId="43" fontId="8" fillId="0" borderId="4" xfId="1" applyFont="1" applyFill="1" applyBorder="1" applyAlignment="1" applyProtection="1">
      <alignment horizontal="center" vertical="center" wrapText="1"/>
    </xf>
    <xf numFmtId="0" fontId="5" fillId="0" borderId="4" xfId="0" applyFont="1" applyBorder="1" applyAlignment="1">
      <alignment vertical="center"/>
    </xf>
    <xf numFmtId="43" fontId="6" fillId="0" borderId="4" xfId="1" applyFont="1" applyFill="1" applyBorder="1" applyAlignment="1" applyProtection="1">
      <alignment vertical="center" wrapText="1"/>
    </xf>
    <xf numFmtId="43" fontId="5" fillId="0" borderId="4" xfId="1" applyFont="1" applyBorder="1" applyAlignment="1" applyProtection="1">
      <alignment horizontal="left" vertical="center" wrapText="1"/>
    </xf>
    <xf numFmtId="43" fontId="6" fillId="4" borderId="4" xfId="1" applyFont="1" applyFill="1" applyBorder="1" applyAlignment="1" applyProtection="1">
      <alignment vertical="center"/>
    </xf>
    <xf numFmtId="43" fontId="5" fillId="0" borderId="1" xfId="1" applyFont="1" applyBorder="1" applyAlignment="1" applyProtection="1">
      <alignment vertical="center" wrapText="1"/>
    </xf>
    <xf numFmtId="0" fontId="5" fillId="0" borderId="12" xfId="0" applyFont="1" applyBorder="1"/>
    <xf numFmtId="0" fontId="5" fillId="0" borderId="12" xfId="0" applyFont="1" applyBorder="1" applyProtection="1">
      <protection locked="0"/>
    </xf>
    <xf numFmtId="0" fontId="5" fillId="0" borderId="2" xfId="0" applyFont="1" applyBorder="1" applyProtection="1">
      <protection locked="0"/>
    </xf>
    <xf numFmtId="0" fontId="11" fillId="0" borderId="1" xfId="0" applyFont="1" applyBorder="1"/>
    <xf numFmtId="43" fontId="11" fillId="0" borderId="1" xfId="0" applyNumberFormat="1" applyFont="1" applyBorder="1"/>
    <xf numFmtId="0" fontId="12" fillId="0" borderId="0" xfId="0" applyFont="1"/>
    <xf numFmtId="43" fontId="5" fillId="0" borderId="1" xfId="0" applyNumberFormat="1" applyFont="1" applyBorder="1"/>
    <xf numFmtId="43" fontId="4" fillId="0" borderId="4" xfId="1" applyFont="1" applyBorder="1" applyAlignment="1" applyProtection="1">
      <alignment vertical="center"/>
    </xf>
    <xf numFmtId="0" fontId="12" fillId="0" borderId="1" xfId="0" applyFont="1" applyBorder="1"/>
    <xf numFmtId="0" fontId="12" fillId="0" borderId="12" xfId="0" applyFont="1" applyBorder="1"/>
    <xf numFmtId="0" fontId="12" fillId="0" borderId="2" xfId="0" applyFont="1" applyBorder="1"/>
    <xf numFmtId="43" fontId="12" fillId="0" borderId="1" xfId="0" applyNumberFormat="1" applyFont="1" applyBorder="1"/>
    <xf numFmtId="0" fontId="12" fillId="0" borderId="15" xfId="0" applyFont="1" applyBorder="1"/>
    <xf numFmtId="0" fontId="12" fillId="0" borderId="16" xfId="0" applyFont="1" applyBorder="1"/>
    <xf numFmtId="43" fontId="12" fillId="0" borderId="16" xfId="0" applyNumberFormat="1" applyFont="1" applyBorder="1"/>
    <xf numFmtId="0" fontId="13" fillId="0" borderId="1" xfId="0" applyFont="1" applyBorder="1"/>
    <xf numFmtId="0" fontId="13" fillId="0" borderId="0" xfId="0" applyFont="1"/>
    <xf numFmtId="43" fontId="0" fillId="0" borderId="2" xfId="0" applyNumberFormat="1" applyBorder="1"/>
    <xf numFmtId="43" fontId="8" fillId="0" borderId="3" xfId="1" applyFont="1" applyBorder="1" applyProtection="1"/>
    <xf numFmtId="168" fontId="5" fillId="11" borderId="4" xfId="1" applyNumberFormat="1" applyFont="1" applyFill="1" applyBorder="1" applyAlignment="1" applyProtection="1">
      <alignment horizontal="left" vertical="center"/>
    </xf>
    <xf numFmtId="43" fontId="5" fillId="11" borderId="4" xfId="1" applyFont="1" applyFill="1" applyBorder="1" applyAlignment="1" applyProtection="1">
      <alignment vertical="center"/>
      <protection locked="0"/>
    </xf>
    <xf numFmtId="10" fontId="5" fillId="11" borderId="4" xfId="2" applyNumberFormat="1" applyFont="1" applyFill="1" applyBorder="1" applyAlignment="1" applyProtection="1">
      <alignment vertical="center"/>
      <protection locked="0"/>
    </xf>
    <xf numFmtId="0" fontId="8" fillId="0" borderId="12" xfId="0" applyFont="1" applyBorder="1"/>
    <xf numFmtId="0" fontId="8" fillId="0" borderId="2" xfId="0" applyFont="1" applyBorder="1"/>
    <xf numFmtId="0" fontId="0" fillId="0" borderId="0" xfId="0" applyAlignment="1">
      <alignment vertical="center" wrapText="1"/>
    </xf>
    <xf numFmtId="0" fontId="8" fillId="0" borderId="0" xfId="0" applyFont="1"/>
    <xf numFmtId="0" fontId="5" fillId="0" borderId="0" xfId="0" applyFont="1" applyProtection="1">
      <protection locked="0"/>
    </xf>
    <xf numFmtId="43" fontId="12" fillId="0" borderId="1" xfId="1" applyFont="1" applyBorder="1"/>
    <xf numFmtId="43" fontId="5" fillId="0" borderId="4" xfId="1" applyFont="1" applyFill="1" applyBorder="1" applyAlignment="1" applyProtection="1">
      <alignment horizontal="center" vertical="center" wrapText="1"/>
    </xf>
    <xf numFmtId="0" fontId="10" fillId="8" borderId="7" xfId="0" applyFont="1" applyFill="1" applyBorder="1" applyAlignment="1" applyProtection="1">
      <alignment horizontal="left" vertical="center" wrapText="1"/>
      <protection locked="0"/>
    </xf>
    <xf numFmtId="0" fontId="9" fillId="7" borderId="6" xfId="0" applyFont="1" applyFill="1" applyBorder="1" applyAlignment="1">
      <alignment horizontal="center" vertical="center" wrapText="1"/>
    </xf>
    <xf numFmtId="0" fontId="9" fillId="7" borderId="4" xfId="0" applyFont="1" applyFill="1" applyBorder="1" applyAlignment="1">
      <alignment horizontal="center" vertical="center" wrapText="1"/>
    </xf>
    <xf numFmtId="0" fontId="10" fillId="8" borderId="4" xfId="0" applyFont="1" applyFill="1" applyBorder="1" applyAlignment="1" applyProtection="1">
      <alignment horizontal="justify" vertical="center" wrapText="1"/>
      <protection locked="0"/>
    </xf>
    <xf numFmtId="0" fontId="9" fillId="7" borderId="5" xfId="0" applyFont="1" applyFill="1" applyBorder="1" applyAlignment="1">
      <alignment horizontal="center" vertical="center" wrapText="1"/>
    </xf>
    <xf numFmtId="0" fontId="4" fillId="2" borderId="4" xfId="0" applyFont="1" applyFill="1" applyBorder="1" applyAlignment="1">
      <alignment horizontal="left" vertical="center"/>
    </xf>
    <xf numFmtId="0" fontId="6" fillId="3" borderId="4" xfId="1" applyNumberFormat="1" applyFont="1" applyFill="1" applyBorder="1" applyAlignment="1" applyProtection="1">
      <alignment horizontal="center" vertical="center" wrapText="1"/>
    </xf>
    <xf numFmtId="10" fontId="5" fillId="0" borderId="1" xfId="2" applyNumberFormat="1" applyFont="1" applyFill="1" applyBorder="1" applyAlignment="1" applyProtection="1">
      <alignment vertical="center" wrapText="1"/>
    </xf>
    <xf numFmtId="43" fontId="5" fillId="0" borderId="1" xfId="1" applyFont="1" applyFill="1" applyBorder="1" applyAlignment="1" applyProtection="1">
      <alignment vertical="center" wrapText="1"/>
    </xf>
    <xf numFmtId="0" fontId="17" fillId="0" borderId="13" xfId="0" applyFont="1" applyBorder="1" applyAlignment="1">
      <alignment horizontal="center" vertical="center"/>
    </xf>
    <xf numFmtId="0" fontId="17" fillId="7" borderId="13" xfId="0" applyFont="1" applyFill="1" applyBorder="1" applyAlignment="1">
      <alignment vertical="center"/>
    </xf>
    <xf numFmtId="0" fontId="17" fillId="7" borderId="13" xfId="0" applyFont="1" applyFill="1" applyBorder="1" applyAlignment="1">
      <alignment horizontal="center" vertical="center" wrapText="1"/>
    </xf>
    <xf numFmtId="0" fontId="18" fillId="8" borderId="13" xfId="0" applyFont="1" applyFill="1" applyBorder="1" applyAlignment="1">
      <alignment horizontal="left" vertical="center" wrapText="1"/>
    </xf>
    <xf numFmtId="0" fontId="18" fillId="0" borderId="13" xfId="0" applyFont="1" applyBorder="1" applyAlignment="1">
      <alignment vertical="center"/>
    </xf>
    <xf numFmtId="0" fontId="18" fillId="0" borderId="13" xfId="0" applyFont="1" applyBorder="1" applyAlignment="1">
      <alignment horizontal="center" vertical="center"/>
    </xf>
    <xf numFmtId="0" fontId="17" fillId="12" borderId="13" xfId="0" applyFont="1" applyFill="1" applyBorder="1" applyAlignment="1">
      <alignment vertical="center"/>
    </xf>
    <xf numFmtId="0" fontId="17" fillId="12" borderId="13" xfId="0" applyFont="1" applyFill="1" applyBorder="1" applyAlignment="1">
      <alignment horizontal="center" vertical="center"/>
    </xf>
    <xf numFmtId="0" fontId="17" fillId="7" borderId="13" xfId="0" applyFont="1" applyFill="1" applyBorder="1" applyAlignment="1">
      <alignment horizontal="center" vertical="center"/>
    </xf>
    <xf numFmtId="43" fontId="18" fillId="0" borderId="13" xfId="1" applyFont="1" applyBorder="1" applyAlignment="1">
      <alignment horizontal="right" vertical="center"/>
    </xf>
    <xf numFmtId="0" fontId="17" fillId="7" borderId="13" xfId="0" applyFont="1" applyFill="1" applyBorder="1" applyAlignment="1">
      <alignment horizontal="right" vertical="center"/>
    </xf>
    <xf numFmtId="4" fontId="17" fillId="7" borderId="13" xfId="0" applyNumberFormat="1" applyFont="1" applyFill="1" applyBorder="1" applyAlignment="1">
      <alignment horizontal="right" vertical="center"/>
    </xf>
    <xf numFmtId="10" fontId="18" fillId="0" borderId="13" xfId="0" applyNumberFormat="1" applyFont="1" applyBorder="1" applyAlignment="1">
      <alignment horizontal="right" vertical="center"/>
    </xf>
    <xf numFmtId="0" fontId="17" fillId="7" borderId="13" xfId="0" applyFont="1" applyFill="1" applyBorder="1" applyAlignment="1">
      <alignment vertical="center" wrapText="1"/>
    </xf>
    <xf numFmtId="0" fontId="12" fillId="0" borderId="13" xfId="0" applyFont="1" applyBorder="1" applyAlignment="1">
      <alignment vertical="center"/>
    </xf>
    <xf numFmtId="43" fontId="17" fillId="7" borderId="13" xfId="0" applyNumberFormat="1" applyFont="1" applyFill="1" applyBorder="1" applyAlignment="1">
      <alignment horizontal="right" vertical="center"/>
    </xf>
    <xf numFmtId="43" fontId="17" fillId="7" borderId="13" xfId="1" applyFont="1" applyFill="1" applyBorder="1" applyAlignment="1">
      <alignment vertical="center"/>
    </xf>
    <xf numFmtId="43" fontId="17" fillId="7" borderId="13" xfId="1" applyFont="1" applyFill="1" applyBorder="1" applyAlignment="1">
      <alignment horizontal="right" vertical="center"/>
    </xf>
    <xf numFmtId="10" fontId="17" fillId="7" borderId="13" xfId="2" applyNumberFormat="1" applyFont="1" applyFill="1" applyBorder="1" applyAlignment="1">
      <alignment horizontal="right" vertical="center"/>
    </xf>
    <xf numFmtId="0" fontId="17" fillId="3" borderId="13" xfId="0" applyFont="1" applyFill="1" applyBorder="1" applyAlignment="1">
      <alignment horizontal="right" vertical="center"/>
    </xf>
    <xf numFmtId="43" fontId="17" fillId="3" borderId="14" xfId="1" applyFont="1" applyFill="1" applyBorder="1" applyAlignment="1">
      <alignment horizontal="right" vertical="center"/>
    </xf>
    <xf numFmtId="43" fontId="17" fillId="3" borderId="13" xfId="1" applyFont="1" applyFill="1" applyBorder="1" applyAlignment="1">
      <alignment horizontal="right" vertical="center"/>
    </xf>
    <xf numFmtId="0" fontId="12" fillId="0" borderId="18" xfId="0" applyFont="1" applyBorder="1"/>
    <xf numFmtId="0" fontId="12" fillId="0" borderId="17" xfId="0" applyFont="1" applyBorder="1"/>
    <xf numFmtId="0" fontId="17" fillId="7" borderId="19" xfId="0" applyFont="1" applyFill="1" applyBorder="1" applyAlignment="1">
      <alignment vertical="center"/>
    </xf>
    <xf numFmtId="0" fontId="14" fillId="4" borderId="19" xfId="0" applyFont="1" applyFill="1" applyBorder="1" applyAlignment="1" applyProtection="1">
      <alignment vertical="center" wrapText="1"/>
      <protection locked="0"/>
    </xf>
    <xf numFmtId="0" fontId="13" fillId="0" borderId="19" xfId="0" applyFont="1" applyBorder="1"/>
    <xf numFmtId="0" fontId="17" fillId="0" borderId="17" xfId="0" applyFont="1" applyBorder="1" applyAlignment="1">
      <alignment horizontal="left" vertical="center"/>
    </xf>
    <xf numFmtId="0" fontId="12" fillId="0" borderId="11" xfId="0" applyFont="1" applyBorder="1"/>
    <xf numFmtId="0" fontId="17" fillId="0" borderId="19" xfId="0" applyFont="1" applyBorder="1" applyAlignment="1">
      <alignment horizontal="left" vertical="center"/>
    </xf>
    <xf numFmtId="43" fontId="6" fillId="3" borderId="4" xfId="1" applyFont="1" applyFill="1" applyBorder="1" applyAlignment="1" applyProtection="1">
      <alignment horizontal="center" vertical="center" wrapText="1"/>
    </xf>
    <xf numFmtId="43" fontId="8" fillId="0" borderId="1" xfId="0" applyNumberFormat="1" applyFont="1" applyBorder="1"/>
    <xf numFmtId="0" fontId="5" fillId="0" borderId="21" xfId="0" applyFont="1" applyBorder="1" applyAlignment="1">
      <alignment vertical="center"/>
    </xf>
    <xf numFmtId="0" fontId="5" fillId="11" borderId="4" xfId="1" applyNumberFormat="1" applyFont="1" applyFill="1" applyBorder="1" applyAlignment="1" applyProtection="1">
      <alignment vertical="center"/>
      <protection locked="0"/>
    </xf>
    <xf numFmtId="43" fontId="15" fillId="4" borderId="6" xfId="1" applyFont="1" applyFill="1" applyBorder="1" applyAlignment="1" applyProtection="1">
      <alignment vertical="center"/>
    </xf>
    <xf numFmtId="0" fontId="12" fillId="0" borderId="23" xfId="0" applyFont="1" applyBorder="1" applyAlignment="1">
      <alignment vertical="center" wrapText="1"/>
    </xf>
    <xf numFmtId="0" fontId="12" fillId="0" borderId="2" xfId="0" applyFont="1" applyBorder="1" applyAlignment="1">
      <alignment vertical="center" wrapText="1"/>
    </xf>
    <xf numFmtId="43" fontId="5" fillId="0" borderId="4" xfId="1" applyFont="1" applyBorder="1" applyAlignment="1">
      <alignment horizontal="center" vertical="center" wrapText="1"/>
    </xf>
    <xf numFmtId="171" fontId="8" fillId="0" borderId="3" xfId="0" applyNumberFormat="1" applyFont="1" applyBorder="1"/>
    <xf numFmtId="43" fontId="5" fillId="0" borderId="4" xfId="0" applyNumberFormat="1" applyFont="1" applyBorder="1" applyAlignment="1">
      <alignment horizontal="center" vertical="center" wrapText="1"/>
    </xf>
    <xf numFmtId="170" fontId="5" fillId="0" borderId="4" xfId="0" applyNumberFormat="1" applyFont="1" applyBorder="1" applyAlignment="1">
      <alignment vertical="center" wrapText="1"/>
    </xf>
    <xf numFmtId="2" fontId="18" fillId="0" borderId="13" xfId="0" applyNumberFormat="1" applyFont="1" applyBorder="1" applyAlignment="1">
      <alignment horizontal="center" vertical="center"/>
    </xf>
    <xf numFmtId="0" fontId="12" fillId="0" borderId="3" xfId="0" applyFont="1" applyBorder="1"/>
    <xf numFmtId="43" fontId="5" fillId="0" borderId="4" xfId="1" applyFont="1" applyFill="1" applyBorder="1" applyAlignment="1" applyProtection="1">
      <alignment vertical="center" wrapText="1"/>
    </xf>
    <xf numFmtId="0" fontId="13" fillId="3" borderId="0" xfId="0" applyFont="1" applyFill="1" applyAlignment="1">
      <alignment horizontal="center" vertical="center"/>
    </xf>
    <xf numFmtId="0" fontId="12" fillId="0" borderId="26" xfId="0" applyFont="1" applyBorder="1"/>
    <xf numFmtId="167" fontId="19" fillId="0" borderId="4" xfId="1" applyNumberFormat="1" applyFont="1" applyBorder="1" applyAlignment="1" applyProtection="1">
      <alignment vertical="center" wrapText="1"/>
    </xf>
    <xf numFmtId="10" fontId="0" fillId="0" borderId="0" xfId="2" applyNumberFormat="1" applyFont="1"/>
    <xf numFmtId="10" fontId="0" fillId="0" borderId="0" xfId="0" applyNumberFormat="1"/>
    <xf numFmtId="0" fontId="20" fillId="0" borderId="0" xfId="0" applyFont="1"/>
    <xf numFmtId="0" fontId="0" fillId="0" borderId="0" xfId="0" applyAlignment="1">
      <alignment horizontal="center"/>
    </xf>
    <xf numFmtId="0" fontId="22" fillId="13" borderId="27" xfId="0" applyFont="1" applyFill="1" applyBorder="1" applyAlignment="1">
      <alignment horizontal="center" vertical="center" wrapText="1"/>
    </xf>
    <xf numFmtId="0" fontId="22" fillId="13" borderId="28" xfId="0" applyFont="1" applyFill="1" applyBorder="1" applyAlignment="1">
      <alignment horizontal="center" vertical="center" wrapText="1"/>
    </xf>
    <xf numFmtId="0" fontId="22" fillId="13" borderId="29" xfId="0" applyFont="1" applyFill="1" applyBorder="1" applyAlignment="1">
      <alignment horizontal="center" vertical="center" wrapText="1"/>
    </xf>
    <xf numFmtId="0" fontId="18" fillId="14" borderId="30" xfId="0" applyFont="1" applyFill="1" applyBorder="1" applyAlignment="1">
      <alignment horizontal="center" vertical="center" wrapText="1"/>
    </xf>
    <xf numFmtId="0" fontId="18" fillId="14" borderId="31" xfId="0" applyFont="1" applyFill="1" applyBorder="1" applyAlignment="1">
      <alignment vertical="center" wrapText="1"/>
    </xf>
    <xf numFmtId="0" fontId="18" fillId="14" borderId="31" xfId="0" applyFont="1" applyFill="1" applyBorder="1" applyAlignment="1">
      <alignment horizontal="center" vertical="center" wrapText="1"/>
    </xf>
    <xf numFmtId="0" fontId="18" fillId="0" borderId="30" xfId="0" applyFont="1" applyBorder="1" applyAlignment="1">
      <alignment horizontal="center" vertical="center" wrapText="1"/>
    </xf>
    <xf numFmtId="0" fontId="12" fillId="0" borderId="31" xfId="0" applyFont="1" applyBorder="1" applyAlignment="1">
      <alignment vertical="center" wrapText="1"/>
    </xf>
    <xf numFmtId="0" fontId="18" fillId="0" borderId="31" xfId="0" applyFont="1" applyBorder="1" applyAlignment="1">
      <alignment horizontal="center" vertical="center" wrapText="1"/>
    </xf>
    <xf numFmtId="0" fontId="21" fillId="0" borderId="0" xfId="0" applyFont="1" applyAlignment="1">
      <alignment horizontal="left" vertical="center"/>
    </xf>
    <xf numFmtId="0" fontId="25" fillId="14" borderId="31" xfId="0" applyFont="1" applyFill="1" applyBorder="1" applyAlignment="1">
      <alignment horizontal="center" vertical="center" wrapText="1"/>
    </xf>
    <xf numFmtId="0" fontId="26" fillId="0" borderId="32" xfId="0" applyFont="1" applyBorder="1" applyAlignment="1">
      <alignment horizontal="center" vertical="center" wrapText="1"/>
    </xf>
    <xf numFmtId="0" fontId="5" fillId="0" borderId="30" xfId="0" applyFont="1" applyBorder="1" applyAlignment="1">
      <alignment horizontal="center" vertical="center" wrapText="1"/>
    </xf>
    <xf numFmtId="0" fontId="25" fillId="14" borderId="30" xfId="0" applyFont="1" applyFill="1" applyBorder="1" applyAlignment="1">
      <alignment horizontal="center" vertical="center" wrapText="1"/>
    </xf>
    <xf numFmtId="0" fontId="27" fillId="0" borderId="0" xfId="0" applyFont="1"/>
    <xf numFmtId="43" fontId="0" fillId="0" borderId="1" xfId="1" applyFont="1" applyBorder="1" applyAlignment="1">
      <alignment vertical="center"/>
    </xf>
    <xf numFmtId="14" fontId="0" fillId="0" borderId="1" xfId="0" applyNumberFormat="1" applyBorder="1" applyAlignment="1">
      <alignment vertical="center"/>
    </xf>
    <xf numFmtId="167" fontId="0" fillId="0" borderId="1" xfId="1" applyNumberFormat="1" applyFont="1" applyBorder="1" applyAlignment="1">
      <alignment vertical="center"/>
    </xf>
    <xf numFmtId="14" fontId="0" fillId="0" borderId="10" xfId="0" applyNumberFormat="1" applyBorder="1" applyAlignment="1">
      <alignment vertical="center"/>
    </xf>
    <xf numFmtId="0" fontId="0" fillId="0" borderId="10" xfId="0" applyBorder="1" applyAlignment="1">
      <alignment vertical="center"/>
    </xf>
    <xf numFmtId="43" fontId="0" fillId="0" borderId="1" xfId="0" applyNumberFormat="1" applyBorder="1" applyAlignment="1">
      <alignment vertical="center"/>
    </xf>
    <xf numFmtId="0" fontId="0" fillId="0" borderId="1" xfId="0" applyBorder="1" applyAlignment="1">
      <alignment vertical="center"/>
    </xf>
    <xf numFmtId="43" fontId="0" fillId="0" borderId="2" xfId="0" applyNumberFormat="1" applyBorder="1" applyAlignment="1">
      <alignment vertical="center"/>
    </xf>
    <xf numFmtId="2" fontId="0" fillId="0" borderId="0" xfId="0" applyNumberFormat="1"/>
    <xf numFmtId="2" fontId="28" fillId="0" borderId="0" xfId="0" applyNumberFormat="1" applyFont="1"/>
    <xf numFmtId="0" fontId="5" fillId="0" borderId="0" xfId="0" applyFont="1" applyAlignment="1">
      <alignment wrapText="1"/>
    </xf>
    <xf numFmtId="0" fontId="5" fillId="0" borderId="30" xfId="0" applyFont="1" applyBorder="1" applyAlignment="1">
      <alignment vertical="center" wrapText="1"/>
    </xf>
    <xf numFmtId="0" fontId="5" fillId="0" borderId="31" xfId="0" applyFont="1" applyBorder="1" applyAlignment="1">
      <alignment horizontal="center" vertical="center" wrapText="1"/>
    </xf>
    <xf numFmtId="0" fontId="5" fillId="0" borderId="31" xfId="0" applyFont="1" applyBorder="1" applyAlignment="1">
      <alignment vertical="center" wrapText="1"/>
    </xf>
    <xf numFmtId="4" fontId="5" fillId="0" borderId="31" xfId="0" applyNumberFormat="1" applyFont="1" applyBorder="1" applyAlignment="1">
      <alignment horizontal="center" vertical="center" wrapText="1"/>
    </xf>
    <xf numFmtId="0" fontId="25" fillId="14" borderId="31" xfId="0" applyFont="1" applyFill="1" applyBorder="1" applyAlignment="1">
      <alignment vertical="center" wrapText="1"/>
    </xf>
    <xf numFmtId="4" fontId="25" fillId="14" borderId="31" xfId="0" applyNumberFormat="1" applyFont="1" applyFill="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25" fillId="14" borderId="30" xfId="0" applyFont="1" applyFill="1" applyBorder="1" applyAlignment="1">
      <alignment vertical="center" wrapText="1"/>
    </xf>
    <xf numFmtId="0" fontId="13" fillId="0" borderId="31" xfId="0" applyFont="1" applyBorder="1" applyAlignment="1">
      <alignment horizontal="center" vertical="center" wrapText="1"/>
    </xf>
    <xf numFmtId="2" fontId="12" fillId="0" borderId="31" xfId="0" applyNumberFormat="1" applyFont="1" applyBorder="1" applyAlignment="1">
      <alignment horizontal="center" vertical="center" wrapText="1"/>
    </xf>
    <xf numFmtId="2" fontId="18" fillId="14" borderId="31" xfId="0" applyNumberFormat="1" applyFont="1" applyFill="1" applyBorder="1" applyAlignment="1">
      <alignment horizontal="center" vertical="center" wrapText="1"/>
    </xf>
    <xf numFmtId="0" fontId="11" fillId="14" borderId="31" xfId="0" applyFont="1" applyFill="1" applyBorder="1" applyAlignment="1">
      <alignment horizontal="center" vertical="center" wrapText="1"/>
    </xf>
    <xf numFmtId="0" fontId="29" fillId="14" borderId="31" xfId="0" applyFont="1" applyFill="1" applyBorder="1" applyAlignment="1">
      <alignment horizontal="center" vertical="center" wrapText="1"/>
    </xf>
    <xf numFmtId="0" fontId="11" fillId="0" borderId="31" xfId="0" applyFont="1" applyBorder="1" applyAlignment="1">
      <alignment horizontal="center" vertical="center" wrapText="1"/>
    </xf>
    <xf numFmtId="0" fontId="29" fillId="0" borderId="31" xfId="0" applyFont="1" applyBorder="1" applyAlignment="1">
      <alignment horizontal="center" vertical="center" wrapText="1"/>
    </xf>
    <xf numFmtId="0" fontId="30" fillId="13" borderId="27" xfId="0" applyFont="1" applyFill="1" applyBorder="1" applyAlignment="1">
      <alignment horizontal="center" vertical="center" wrapText="1"/>
    </xf>
    <xf numFmtId="0" fontId="30" fillId="13" borderId="28" xfId="0" applyFont="1" applyFill="1" applyBorder="1" applyAlignment="1">
      <alignment horizontal="center" vertical="center" wrapText="1"/>
    </xf>
    <xf numFmtId="0" fontId="30" fillId="13" borderId="29" xfId="0" applyFont="1" applyFill="1" applyBorder="1" applyAlignment="1">
      <alignment horizontal="center" vertical="center" wrapText="1"/>
    </xf>
    <xf numFmtId="0" fontId="21" fillId="0" borderId="0" xfId="0" applyFont="1"/>
    <xf numFmtId="2" fontId="0" fillId="0" borderId="0" xfId="0" applyNumberFormat="1" applyAlignment="1">
      <alignment horizontal="center"/>
    </xf>
    <xf numFmtId="2" fontId="0" fillId="15" borderId="0" xfId="0" applyNumberFormat="1" applyFill="1"/>
    <xf numFmtId="172" fontId="8" fillId="0" borderId="1" xfId="0" applyNumberFormat="1" applyFont="1" applyBorder="1"/>
    <xf numFmtId="2" fontId="25" fillId="14" borderId="31" xfId="0" applyNumberFormat="1" applyFont="1" applyFill="1" applyBorder="1" applyAlignment="1">
      <alignment horizontal="center" vertical="center" wrapText="1"/>
    </xf>
    <xf numFmtId="2" fontId="5" fillId="0" borderId="31" xfId="0" applyNumberFormat="1" applyFont="1" applyBorder="1" applyAlignment="1">
      <alignment horizontal="center" vertical="center" wrapText="1"/>
    </xf>
    <xf numFmtId="2" fontId="0" fillId="0" borderId="0" xfId="0" applyNumberFormat="1" applyAlignment="1">
      <alignment vertical="center" wrapText="1"/>
    </xf>
    <xf numFmtId="2" fontId="13" fillId="0" borderId="31" xfId="0" applyNumberFormat="1" applyFont="1" applyBorder="1" applyAlignment="1">
      <alignment horizontal="center" vertical="center" wrapText="1"/>
    </xf>
    <xf numFmtId="0" fontId="0" fillId="0" borderId="43" xfId="0" applyBorder="1"/>
    <xf numFmtId="0" fontId="0" fillId="0" borderId="44" xfId="0" applyBorder="1"/>
    <xf numFmtId="0" fontId="0" fillId="0" borderId="45" xfId="0" applyBorder="1"/>
    <xf numFmtId="0" fontId="0" fillId="0" borderId="46" xfId="0" applyBorder="1"/>
    <xf numFmtId="0" fontId="0" fillId="0" borderId="47" xfId="0" applyBorder="1"/>
    <xf numFmtId="0" fontId="35" fillId="0" borderId="0" xfId="0" applyFont="1"/>
    <xf numFmtId="0" fontId="0" fillId="0" borderId="48" xfId="0" applyBorder="1"/>
    <xf numFmtId="0" fontId="0" fillId="0" borderId="49" xfId="0" applyBorder="1"/>
    <xf numFmtId="0" fontId="0" fillId="0" borderId="50" xfId="0" applyBorder="1"/>
    <xf numFmtId="0" fontId="31" fillId="0" borderId="0" xfId="0" applyFont="1"/>
    <xf numFmtId="0" fontId="0" fillId="0" borderId="0" xfId="0" applyAlignment="1">
      <alignment wrapText="1"/>
    </xf>
    <xf numFmtId="43" fontId="36" fillId="14" borderId="31" xfId="0" applyNumberFormat="1" applyFont="1" applyFill="1" applyBorder="1" applyAlignment="1">
      <alignment horizontal="center" vertical="center" wrapText="1"/>
    </xf>
    <xf numFmtId="43" fontId="36" fillId="0" borderId="31" xfId="0" applyNumberFormat="1" applyFont="1" applyBorder="1" applyAlignment="1">
      <alignment horizontal="center" vertical="center" wrapText="1"/>
    </xf>
    <xf numFmtId="2" fontId="25" fillId="14" borderId="30" xfId="0" applyNumberFormat="1" applyFont="1" applyFill="1" applyBorder="1" applyAlignment="1">
      <alignment horizontal="center" vertical="center" wrapText="1"/>
    </xf>
    <xf numFmtId="173" fontId="5" fillId="0" borderId="30" xfId="0" applyNumberFormat="1" applyFont="1" applyBorder="1" applyAlignment="1">
      <alignment horizontal="center" vertical="center" wrapText="1"/>
    </xf>
    <xf numFmtId="173" fontId="5" fillId="0" borderId="31" xfId="0" applyNumberFormat="1" applyFont="1" applyBorder="1" applyAlignment="1">
      <alignment horizontal="center" vertical="center" wrapText="1"/>
    </xf>
    <xf numFmtId="2" fontId="5" fillId="0" borderId="30" xfId="0" applyNumberFormat="1" applyFont="1" applyBorder="1" applyAlignment="1">
      <alignment horizontal="center" vertical="center" wrapText="1"/>
    </xf>
    <xf numFmtId="43" fontId="8" fillId="14" borderId="31" xfId="0" applyNumberFormat="1" applyFont="1" applyFill="1" applyBorder="1" applyAlignment="1">
      <alignment horizontal="center" vertical="center" wrapText="1"/>
    </xf>
    <xf numFmtId="43" fontId="8" fillId="0" borderId="31" xfId="0" applyNumberFormat="1" applyFont="1" applyBorder="1" applyAlignment="1">
      <alignment horizontal="center" vertical="center" wrapText="1"/>
    </xf>
    <xf numFmtId="0" fontId="25" fillId="0" borderId="31" xfId="0" applyFont="1" applyBorder="1" applyAlignment="1">
      <alignment horizontal="center" vertical="center" wrapText="1"/>
    </xf>
    <xf numFmtId="2" fontId="25" fillId="0" borderId="30" xfId="0" applyNumberFormat="1" applyFont="1" applyBorder="1" applyAlignment="1">
      <alignment horizontal="center" vertical="center" wrapText="1"/>
    </xf>
    <xf numFmtId="2" fontId="25" fillId="0" borderId="31" xfId="0" applyNumberFormat="1" applyFont="1" applyBorder="1" applyAlignment="1">
      <alignment horizontal="center" vertical="center" wrapText="1"/>
    </xf>
    <xf numFmtId="2" fontId="25" fillId="15" borderId="30" xfId="0" applyNumberFormat="1" applyFont="1" applyFill="1" applyBorder="1" applyAlignment="1">
      <alignment horizontal="center" vertical="center" wrapText="1"/>
    </xf>
    <xf numFmtId="0" fontId="5" fillId="15" borderId="31" xfId="0" applyFont="1" applyFill="1" applyBorder="1" applyAlignment="1">
      <alignment horizontal="center" vertical="center" wrapText="1"/>
    </xf>
    <xf numFmtId="2" fontId="25" fillId="15" borderId="31" xfId="0" applyNumberFormat="1" applyFont="1" applyFill="1" applyBorder="1" applyAlignment="1">
      <alignment horizontal="center" vertical="center" wrapText="1"/>
    </xf>
    <xf numFmtId="174" fontId="0" fillId="0" borderId="0" xfId="0" applyNumberFormat="1"/>
    <xf numFmtId="0" fontId="0" fillId="0" borderId="0" xfId="0" quotePrefix="1"/>
    <xf numFmtId="0" fontId="8" fillId="14" borderId="31" xfId="0" applyFont="1" applyFill="1" applyBorder="1" applyAlignment="1">
      <alignment horizontal="center" vertical="center" wrapText="1"/>
    </xf>
    <xf numFmtId="0" fontId="18" fillId="0" borderId="0" xfId="0" applyFont="1"/>
    <xf numFmtId="0" fontId="18" fillId="0" borderId="47" xfId="0" applyFont="1" applyBorder="1"/>
    <xf numFmtId="0" fontId="18" fillId="0" borderId="0" xfId="0" applyFont="1" applyAlignment="1">
      <alignment wrapText="1"/>
    </xf>
    <xf numFmtId="0" fontId="18" fillId="0" borderId="47" xfId="0" applyFont="1" applyBorder="1" applyAlignment="1">
      <alignment wrapText="1"/>
    </xf>
    <xf numFmtId="0" fontId="18" fillId="0" borderId="0" xfId="0" applyFont="1" applyAlignment="1">
      <alignment vertical="top" wrapText="1"/>
    </xf>
    <xf numFmtId="0" fontId="18" fillId="0" borderId="47" xfId="0" applyFont="1" applyBorder="1" applyAlignment="1">
      <alignment vertical="top" wrapText="1"/>
    </xf>
    <xf numFmtId="0" fontId="31" fillId="0" borderId="47" xfId="0" applyFont="1" applyBorder="1"/>
    <xf numFmtId="0" fontId="35" fillId="0" borderId="47" xfId="0" applyFont="1" applyBorder="1"/>
    <xf numFmtId="0" fontId="38" fillId="0" borderId="0" xfId="0" applyFont="1" applyAlignment="1">
      <alignment vertical="center"/>
    </xf>
    <xf numFmtId="0" fontId="39" fillId="0" borderId="0" xfId="0" applyFont="1" applyAlignment="1">
      <alignment vertical="center"/>
    </xf>
    <xf numFmtId="0" fontId="25" fillId="14" borderId="30" xfId="0" applyFont="1" applyFill="1" applyBorder="1" applyAlignment="1">
      <alignment horizontal="left" vertical="center" wrapText="1"/>
    </xf>
    <xf numFmtId="0" fontId="5" fillId="0" borderId="33" xfId="0" applyFont="1" applyBorder="1" applyAlignment="1">
      <alignment horizontal="center" vertical="center" wrapText="1"/>
    </xf>
    <xf numFmtId="10" fontId="5" fillId="0" borderId="31" xfId="2" applyNumberFormat="1" applyFont="1" applyBorder="1" applyAlignment="1">
      <alignment horizontal="center" vertical="center" wrapText="1"/>
    </xf>
    <xf numFmtId="0" fontId="5" fillId="0" borderId="61" xfId="0" applyFont="1" applyBorder="1" applyAlignment="1">
      <alignment horizontal="center" vertical="center" wrapText="1"/>
    </xf>
    <xf numFmtId="0" fontId="25" fillId="14" borderId="62" xfId="0" applyFont="1" applyFill="1" applyBorder="1" applyAlignment="1">
      <alignment horizontal="center" vertical="center" wrapText="1"/>
    </xf>
    <xf numFmtId="0" fontId="26" fillId="14" borderId="61" xfId="0" applyFont="1" applyFill="1" applyBorder="1" applyAlignment="1">
      <alignment horizontal="center" vertical="center" wrapText="1"/>
    </xf>
    <xf numFmtId="0" fontId="33" fillId="0" borderId="0" xfId="0" applyFont="1" applyAlignment="1">
      <alignment vertical="center"/>
    </xf>
    <xf numFmtId="0" fontId="34" fillId="0" borderId="0" xfId="0" applyFont="1" applyAlignment="1">
      <alignment vertical="center"/>
    </xf>
    <xf numFmtId="0" fontId="17" fillId="0" borderId="0" xfId="0" applyFont="1"/>
    <xf numFmtId="43" fontId="5" fillId="0" borderId="4" xfId="1" applyFont="1" applyFill="1" applyBorder="1" applyAlignment="1" applyProtection="1">
      <alignment vertical="center"/>
    </xf>
    <xf numFmtId="170" fontId="5" fillId="0" borderId="4" xfId="2" applyNumberFormat="1" applyFont="1" applyFill="1" applyBorder="1" applyAlignment="1" applyProtection="1">
      <alignment vertical="center"/>
    </xf>
    <xf numFmtId="43" fontId="8" fillId="0" borderId="3" xfId="1" applyFont="1" applyFill="1" applyBorder="1" applyProtection="1"/>
    <xf numFmtId="43" fontId="12" fillId="0" borderId="13" xfId="0" applyNumberFormat="1" applyFont="1" applyBorder="1" applyAlignment="1">
      <alignment vertical="center"/>
    </xf>
    <xf numFmtId="1" fontId="17" fillId="0" borderId="13" xfId="0" applyNumberFormat="1" applyFont="1" applyBorder="1" applyAlignment="1">
      <alignment horizontal="center" vertical="center"/>
    </xf>
    <xf numFmtId="10" fontId="26" fillId="0" borderId="63" xfId="0" applyNumberFormat="1" applyFont="1" applyBorder="1"/>
    <xf numFmtId="10" fontId="26" fillId="0" borderId="64" xfId="0" applyNumberFormat="1" applyFont="1" applyBorder="1"/>
    <xf numFmtId="10" fontId="26" fillId="0" borderId="63" xfId="2" applyNumberFormat="1" applyFont="1" applyFill="1" applyBorder="1" applyAlignment="1" applyProtection="1">
      <alignment vertical="center"/>
    </xf>
    <xf numFmtId="166" fontId="6" fillId="9" borderId="7" xfId="0" applyNumberFormat="1" applyFont="1" applyFill="1" applyBorder="1" applyAlignment="1">
      <alignment vertical="center" wrapText="1"/>
    </xf>
    <xf numFmtId="166" fontId="6" fillId="9" borderId="8" xfId="0" applyNumberFormat="1" applyFont="1" applyFill="1" applyBorder="1" applyAlignment="1">
      <alignment vertical="center" wrapText="1"/>
    </xf>
    <xf numFmtId="166" fontId="6" fillId="9" borderId="9" xfId="0" applyNumberFormat="1" applyFont="1" applyFill="1" applyBorder="1" applyAlignment="1">
      <alignment vertical="center" wrapText="1"/>
    </xf>
    <xf numFmtId="167" fontId="5" fillId="0" borderId="4" xfId="1" applyNumberFormat="1" applyFont="1" applyFill="1" applyBorder="1" applyAlignment="1" applyProtection="1">
      <alignment vertical="center"/>
    </xf>
    <xf numFmtId="0" fontId="10" fillId="8" borderId="7" xfId="0" applyFont="1" applyFill="1" applyBorder="1" applyAlignment="1" applyProtection="1">
      <alignment horizontal="left" vertical="center" wrapText="1"/>
      <protection locked="0"/>
    </xf>
    <xf numFmtId="0" fontId="10" fillId="8" borderId="8" xfId="0" applyFont="1" applyFill="1" applyBorder="1" applyAlignment="1" applyProtection="1">
      <alignment horizontal="left" vertical="center" wrapText="1"/>
      <protection locked="0"/>
    </xf>
    <xf numFmtId="0" fontId="10" fillId="8" borderId="9" xfId="0" applyFont="1" applyFill="1" applyBorder="1" applyAlignment="1" applyProtection="1">
      <alignment horizontal="left" vertical="center" wrapText="1"/>
      <protection locked="0"/>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5" fillId="0" borderId="7" xfId="0" applyFont="1" applyBorder="1" applyAlignment="1" applyProtection="1">
      <alignment horizontal="left"/>
      <protection locked="0"/>
    </xf>
    <xf numFmtId="0" fontId="5" fillId="0" borderId="8" xfId="0" applyFont="1" applyBorder="1" applyAlignment="1" applyProtection="1">
      <alignment horizontal="left"/>
      <protection locked="0"/>
    </xf>
    <xf numFmtId="0" fontId="5" fillId="0" borderId="9" xfId="0" applyFont="1" applyBorder="1" applyAlignment="1" applyProtection="1">
      <alignment horizontal="left"/>
      <protection locked="0"/>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9" fillId="7" borderId="4" xfId="0" applyFont="1" applyFill="1" applyBorder="1" applyAlignment="1">
      <alignment horizontal="center" vertical="center" wrapText="1"/>
    </xf>
    <xf numFmtId="0" fontId="10" fillId="8" borderId="4" xfId="0" applyFont="1" applyFill="1" applyBorder="1" applyAlignment="1" applyProtection="1">
      <alignment horizontal="justify" vertical="center" wrapText="1"/>
      <protection locked="0"/>
    </xf>
    <xf numFmtId="0" fontId="10" fillId="8" borderId="7" xfId="0" applyFont="1" applyFill="1" applyBorder="1" applyAlignment="1" applyProtection="1">
      <alignment horizontal="center" vertical="center" wrapText="1"/>
      <protection locked="0"/>
    </xf>
    <xf numFmtId="0" fontId="10" fillId="8" borderId="9" xfId="0" applyFont="1" applyFill="1" applyBorder="1" applyAlignment="1" applyProtection="1">
      <alignment horizontal="center" vertical="center" wrapText="1"/>
      <protection locked="0"/>
    </xf>
    <xf numFmtId="0" fontId="9" fillId="6" borderId="4"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9" fillId="7" borderId="5" xfId="0" applyFont="1" applyFill="1" applyBorder="1" applyAlignment="1">
      <alignment horizontal="center"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8" fillId="0" borderId="7" xfId="0" applyFont="1" applyBorder="1" applyAlignment="1">
      <alignment horizontal="left" vertical="center"/>
    </xf>
    <xf numFmtId="0" fontId="8" fillId="0" borderId="8" xfId="0" applyFont="1" applyBorder="1" applyAlignment="1">
      <alignment horizontal="left" vertical="center"/>
    </xf>
    <xf numFmtId="0" fontId="8" fillId="0" borderId="9" xfId="0" applyFont="1" applyBorder="1" applyAlignment="1">
      <alignment horizontal="left" vertical="center"/>
    </xf>
    <xf numFmtId="0" fontId="40" fillId="0" borderId="55" xfId="0" applyFont="1" applyBorder="1" applyAlignment="1">
      <alignment horizontal="left" vertical="center"/>
    </xf>
    <xf numFmtId="0" fontId="40" fillId="0" borderId="56" xfId="0" applyFont="1" applyBorder="1" applyAlignment="1">
      <alignment horizontal="left" vertical="center"/>
    </xf>
    <xf numFmtId="0" fontId="40" fillId="0" borderId="57" xfId="0" applyFont="1" applyBorder="1" applyAlignment="1">
      <alignment horizontal="left" vertical="center"/>
    </xf>
    <xf numFmtId="0" fontId="40" fillId="0" borderId="58" xfId="0" applyFont="1" applyBorder="1" applyAlignment="1">
      <alignment horizontal="left" vertical="center"/>
    </xf>
    <xf numFmtId="0" fontId="40" fillId="0" borderId="59" xfId="0" applyFont="1" applyBorder="1" applyAlignment="1">
      <alignment horizontal="left" vertical="center"/>
    </xf>
    <xf numFmtId="0" fontId="40" fillId="0" borderId="60"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166" fontId="6" fillId="10" borderId="4" xfId="0" applyNumberFormat="1"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2" fontId="5" fillId="0" borderId="7" xfId="0" applyNumberFormat="1" applyFont="1" applyBorder="1" applyAlignment="1">
      <alignment horizontal="center" vertical="center" wrapText="1"/>
    </xf>
    <xf numFmtId="2" fontId="5" fillId="0" borderId="9" xfId="0" applyNumberFormat="1"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9" xfId="0" applyFont="1" applyFill="1" applyBorder="1" applyAlignment="1">
      <alignment horizontal="center" vertical="center" wrapText="1"/>
    </xf>
    <xf numFmtId="43" fontId="5" fillId="11" borderId="7" xfId="1" applyFont="1" applyFill="1" applyBorder="1" applyAlignment="1" applyProtection="1">
      <alignment horizontal="center" vertical="center"/>
      <protection locked="0"/>
    </xf>
    <xf numFmtId="43" fontId="5" fillId="11" borderId="9" xfId="1" applyFont="1" applyFill="1" applyBorder="1" applyAlignment="1" applyProtection="1">
      <alignment horizontal="center" vertical="center"/>
      <protection locked="0"/>
    </xf>
    <xf numFmtId="0" fontId="6" fillId="3" borderId="4" xfId="0" applyFont="1" applyFill="1" applyBorder="1" applyAlignment="1">
      <alignment horizontal="center" vertical="center" wrapText="1"/>
    </xf>
    <xf numFmtId="43" fontId="5" fillId="11" borderId="7" xfId="1" applyFont="1" applyFill="1" applyBorder="1" applyAlignment="1" applyProtection="1">
      <alignment horizontal="left" vertical="center"/>
      <protection locked="0"/>
    </xf>
    <xf numFmtId="43" fontId="5" fillId="11" borderId="8" xfId="1" applyFont="1" applyFill="1" applyBorder="1" applyAlignment="1" applyProtection="1">
      <alignment horizontal="left" vertical="center"/>
      <protection locked="0"/>
    </xf>
    <xf numFmtId="43" fontId="5" fillId="11" borderId="9" xfId="1" applyFont="1" applyFill="1" applyBorder="1" applyAlignment="1" applyProtection="1">
      <alignment horizontal="left" vertical="center"/>
      <protection locked="0"/>
    </xf>
    <xf numFmtId="0" fontId="4" fillId="3" borderId="7"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5" borderId="4" xfId="0" applyFont="1" applyFill="1" applyBorder="1" applyAlignment="1">
      <alignment horizontal="center" vertical="center"/>
    </xf>
    <xf numFmtId="0" fontId="4" fillId="2" borderId="4" xfId="0" applyFont="1" applyFill="1" applyBorder="1" applyAlignment="1">
      <alignment horizontal="left" vertical="center"/>
    </xf>
    <xf numFmtId="0" fontId="4" fillId="4" borderId="4" xfId="0" applyFont="1" applyFill="1" applyBorder="1" applyAlignment="1">
      <alignment horizontal="left" vertical="center"/>
    </xf>
    <xf numFmtId="0" fontId="4" fillId="2" borderId="4" xfId="0" applyFont="1" applyFill="1" applyBorder="1" applyAlignment="1">
      <alignment horizontal="left" vertical="center" wrapText="1"/>
    </xf>
    <xf numFmtId="0" fontId="5" fillId="0" borderId="4" xfId="0" applyFont="1" applyBorder="1" applyAlignment="1">
      <alignment horizontal="left" vertical="center"/>
    </xf>
    <xf numFmtId="10" fontId="5" fillId="11" borderId="4" xfId="2" applyNumberFormat="1" applyFont="1" applyFill="1" applyBorder="1" applyAlignment="1" applyProtection="1">
      <alignment horizontal="left" vertical="center"/>
      <protection locked="0"/>
    </xf>
    <xf numFmtId="10" fontId="5" fillId="2" borderId="4" xfId="2" applyNumberFormat="1" applyFont="1" applyFill="1" applyBorder="1" applyAlignment="1" applyProtection="1">
      <alignment horizontal="left" vertical="center"/>
    </xf>
    <xf numFmtId="0" fontId="5" fillId="11" borderId="7" xfId="1" applyNumberFormat="1" applyFont="1" applyFill="1" applyBorder="1" applyAlignment="1" applyProtection="1">
      <alignment horizontal="left" vertical="center"/>
      <protection locked="0"/>
    </xf>
    <xf numFmtId="0" fontId="5" fillId="11" borderId="8" xfId="1" applyNumberFormat="1" applyFont="1" applyFill="1" applyBorder="1" applyAlignment="1" applyProtection="1">
      <alignment horizontal="left" vertical="center"/>
      <protection locked="0"/>
    </xf>
    <xf numFmtId="0" fontId="5" fillId="11" borderId="9" xfId="1" applyNumberFormat="1" applyFont="1" applyFill="1" applyBorder="1" applyAlignment="1" applyProtection="1">
      <alignment horizontal="left" vertical="center"/>
      <protection locked="0"/>
    </xf>
    <xf numFmtId="0" fontId="5" fillId="2" borderId="4" xfId="0" applyFont="1" applyFill="1" applyBorder="1" applyAlignment="1">
      <alignment horizontal="center" vertical="center"/>
    </xf>
    <xf numFmtId="0" fontId="5" fillId="4" borderId="4" xfId="0" applyFont="1" applyFill="1" applyBorder="1" applyAlignment="1" applyProtection="1">
      <alignment horizontal="left" vertical="center"/>
      <protection locked="0"/>
    </xf>
    <xf numFmtId="10" fontId="5" fillId="17" borderId="7" xfId="2" applyNumberFormat="1" applyFont="1" applyFill="1" applyBorder="1" applyAlignment="1" applyProtection="1">
      <alignment horizontal="left" vertical="center"/>
      <protection locked="0"/>
    </xf>
    <xf numFmtId="0" fontId="0" fillId="0" borderId="8" xfId="0" applyBorder="1" applyAlignment="1">
      <alignment horizontal="left" vertical="center"/>
    </xf>
    <xf numFmtId="0" fontId="0" fillId="0" borderId="9" xfId="0" applyBorder="1" applyAlignment="1">
      <alignment horizontal="left" vertical="center"/>
    </xf>
    <xf numFmtId="0" fontId="4" fillId="4" borderId="7" xfId="0" applyFont="1" applyFill="1" applyBorder="1" applyAlignment="1">
      <alignment horizontal="right" vertical="center"/>
    </xf>
    <xf numFmtId="0" fontId="4" fillId="4" borderId="8" xfId="0" applyFont="1" applyFill="1" applyBorder="1" applyAlignment="1">
      <alignment horizontal="right" vertical="center"/>
    </xf>
    <xf numFmtId="0" fontId="4" fillId="4" borderId="9" xfId="0" applyFont="1" applyFill="1" applyBorder="1" applyAlignment="1">
      <alignment horizontal="right" vertical="center"/>
    </xf>
    <xf numFmtId="0" fontId="4" fillId="3" borderId="4"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4" fillId="4" borderId="9" xfId="0" applyFont="1" applyFill="1" applyBorder="1" applyAlignment="1">
      <alignment horizontal="center" vertical="center"/>
    </xf>
    <xf numFmtId="0" fontId="4" fillId="3" borderId="4" xfId="0" applyFont="1" applyFill="1" applyBorder="1" applyAlignment="1">
      <alignment horizontal="right" vertical="center"/>
    </xf>
    <xf numFmtId="0" fontId="15" fillId="3" borderId="20" xfId="0" applyFont="1" applyFill="1" applyBorder="1" applyAlignment="1">
      <alignment horizontal="right" vertical="center"/>
    </xf>
    <xf numFmtId="0" fontId="15" fillId="3" borderId="21" xfId="0" applyFont="1" applyFill="1" applyBorder="1" applyAlignment="1">
      <alignment horizontal="right" vertical="center"/>
    </xf>
    <xf numFmtId="0" fontId="15" fillId="3" borderId="22" xfId="0" applyFont="1" applyFill="1" applyBorder="1" applyAlignment="1">
      <alignment horizontal="right" vertical="center"/>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5" xfId="1" applyNumberFormat="1" applyFont="1" applyFill="1" applyBorder="1" applyAlignment="1" applyProtection="1">
      <alignment horizontal="center" vertical="center" wrapText="1"/>
    </xf>
    <xf numFmtId="0" fontId="6" fillId="3" borderId="6" xfId="1" applyNumberFormat="1" applyFont="1" applyFill="1" applyBorder="1" applyAlignment="1" applyProtection="1">
      <alignment horizontal="center" vertical="center" wrapText="1"/>
    </xf>
    <xf numFmtId="0" fontId="6" fillId="3" borderId="4" xfId="1" applyNumberFormat="1" applyFont="1" applyFill="1" applyBorder="1" applyAlignment="1" applyProtection="1">
      <alignment horizontal="center" vertical="center" wrapText="1"/>
    </xf>
    <xf numFmtId="0" fontId="4" fillId="3" borderId="4" xfId="0" applyFont="1" applyFill="1" applyBorder="1" applyAlignment="1">
      <alignment horizontal="center" vertical="center" wrapText="1"/>
    </xf>
    <xf numFmtId="0" fontId="13" fillId="3" borderId="24" xfId="0" applyFont="1" applyFill="1" applyBorder="1" applyAlignment="1">
      <alignment horizontal="center" vertical="center"/>
    </xf>
    <xf numFmtId="0" fontId="13" fillId="3" borderId="25" xfId="0" applyFont="1" applyFill="1" applyBorder="1" applyAlignment="1">
      <alignment horizontal="center" vertical="center"/>
    </xf>
    <xf numFmtId="0" fontId="0" fillId="0" borderId="0" xfId="0" applyAlignment="1">
      <alignment horizontal="left" vertical="top" wrapText="1"/>
    </xf>
    <xf numFmtId="0" fontId="0" fillId="0" borderId="47" xfId="0" applyBorder="1" applyAlignment="1">
      <alignment horizontal="left" vertical="top" wrapText="1"/>
    </xf>
    <xf numFmtId="0" fontId="37" fillId="0" borderId="54" xfId="0" applyFont="1" applyBorder="1" applyAlignment="1">
      <alignment horizontal="left" vertical="top" wrapText="1"/>
    </xf>
    <xf numFmtId="0" fontId="37" fillId="0" borderId="0" xfId="0" applyFont="1" applyAlignment="1">
      <alignment horizontal="left" vertical="top" wrapText="1"/>
    </xf>
    <xf numFmtId="0" fontId="13" fillId="0" borderId="34" xfId="0" applyFont="1" applyBorder="1" applyAlignment="1">
      <alignment horizontal="right" vertical="center" wrapText="1"/>
    </xf>
    <xf numFmtId="0" fontId="13" fillId="0" borderId="35" xfId="0" applyFont="1" applyBorder="1" applyAlignment="1">
      <alignment horizontal="right" vertical="center" wrapText="1"/>
    </xf>
    <xf numFmtId="0" fontId="13" fillId="0" borderId="36" xfId="0" applyFont="1" applyBorder="1" applyAlignment="1">
      <alignment horizontal="right" vertical="center" wrapText="1"/>
    </xf>
    <xf numFmtId="0" fontId="22" fillId="13" borderId="27" xfId="0" applyFont="1" applyFill="1" applyBorder="1" applyAlignment="1">
      <alignment horizontal="center" vertical="center" wrapText="1"/>
    </xf>
    <xf numFmtId="0" fontId="22" fillId="13" borderId="28" xfId="0" applyFont="1" applyFill="1" applyBorder="1" applyAlignment="1">
      <alignment horizontal="center" vertical="center" wrapText="1"/>
    </xf>
    <xf numFmtId="0" fontId="32" fillId="16" borderId="0" xfId="0" applyFont="1" applyFill="1" applyAlignment="1">
      <alignment horizontal="center"/>
    </xf>
    <xf numFmtId="0" fontId="30" fillId="13" borderId="37" xfId="0" applyFont="1" applyFill="1" applyBorder="1" applyAlignment="1">
      <alignment horizontal="center" vertical="center" wrapText="1"/>
    </xf>
    <xf numFmtId="0" fontId="30" fillId="13" borderId="38" xfId="0" applyFont="1" applyFill="1" applyBorder="1" applyAlignment="1">
      <alignment horizontal="center" vertical="center" wrapText="1"/>
    </xf>
    <xf numFmtId="0" fontId="30" fillId="13" borderId="39" xfId="0" applyFont="1" applyFill="1" applyBorder="1" applyAlignment="1">
      <alignment horizontal="center" vertical="center" wrapText="1"/>
    </xf>
    <xf numFmtId="0" fontId="30" fillId="13" borderId="40" xfId="0" applyFont="1" applyFill="1" applyBorder="1" applyAlignment="1">
      <alignment horizontal="center" vertical="center" wrapText="1"/>
    </xf>
    <xf numFmtId="0" fontId="30" fillId="13" borderId="41" xfId="0" applyFont="1" applyFill="1" applyBorder="1" applyAlignment="1">
      <alignment horizontal="center" vertical="center" wrapText="1"/>
    </xf>
    <xf numFmtId="0" fontId="30" fillId="13" borderId="42" xfId="0" applyFont="1" applyFill="1" applyBorder="1" applyAlignment="1">
      <alignment horizontal="center" vertical="center" wrapText="1"/>
    </xf>
    <xf numFmtId="0" fontId="5" fillId="0" borderId="0" xfId="0" applyFont="1" applyAlignment="1">
      <alignment horizontal="left" vertical="top" wrapText="1"/>
    </xf>
    <xf numFmtId="4" fontId="8" fillId="14" borderId="33" xfId="0" applyNumberFormat="1" applyFont="1" applyFill="1" applyBorder="1" applyAlignment="1">
      <alignment horizontal="center" vertical="center" wrapText="1"/>
    </xf>
    <xf numFmtId="4" fontId="8" fillId="14" borderId="30" xfId="0" applyNumberFormat="1" applyFont="1" applyFill="1" applyBorder="1" applyAlignment="1">
      <alignment horizontal="center" vertical="center" wrapText="1"/>
    </xf>
    <xf numFmtId="43" fontId="8" fillId="14" borderId="33" xfId="0" applyNumberFormat="1" applyFont="1" applyFill="1" applyBorder="1" applyAlignment="1">
      <alignment horizontal="center" vertical="center" wrapText="1"/>
    </xf>
    <xf numFmtId="0" fontId="8" fillId="14" borderId="30" xfId="0" applyFont="1" applyFill="1" applyBorder="1" applyAlignment="1">
      <alignment horizontal="center" vertical="center" wrapText="1"/>
    </xf>
    <xf numFmtId="0" fontId="22" fillId="13" borderId="29" xfId="0" applyFont="1" applyFill="1" applyBorder="1" applyAlignment="1">
      <alignment horizontal="center" vertical="center" wrapText="1"/>
    </xf>
    <xf numFmtId="0" fontId="26" fillId="14" borderId="33" xfId="0" applyFont="1" applyFill="1" applyBorder="1" applyAlignment="1">
      <alignment vertical="center" wrapText="1"/>
    </xf>
    <xf numFmtId="0" fontId="26" fillId="14" borderId="30" xfId="0" applyFont="1" applyFill="1" applyBorder="1" applyAlignment="1">
      <alignment vertical="center" wrapText="1"/>
    </xf>
    <xf numFmtId="0" fontId="26" fillId="14" borderId="33" xfId="0" applyFont="1" applyFill="1" applyBorder="1" applyAlignment="1">
      <alignment horizontal="center" vertical="center" wrapText="1"/>
    </xf>
    <xf numFmtId="0" fontId="26" fillId="14" borderId="30" xfId="0" applyFont="1" applyFill="1" applyBorder="1" applyAlignment="1">
      <alignment horizontal="center" vertical="center" wrapText="1"/>
    </xf>
    <xf numFmtId="0" fontId="22" fillId="13" borderId="51" xfId="0" applyFont="1" applyFill="1" applyBorder="1" applyAlignment="1">
      <alignment horizontal="center" vertical="center" wrapText="1"/>
    </xf>
    <xf numFmtId="0" fontId="22" fillId="13" borderId="0" xfId="0" applyFont="1" applyFill="1" applyAlignment="1">
      <alignment horizontal="center" vertical="center" wrapText="1"/>
    </xf>
    <xf numFmtId="0" fontId="25" fillId="14" borderId="33" xfId="0" applyFont="1" applyFill="1" applyBorder="1" applyAlignment="1">
      <alignment horizontal="center" vertical="center" wrapText="1"/>
    </xf>
    <xf numFmtId="0" fontId="25" fillId="14" borderId="30" xfId="0" applyFont="1" applyFill="1" applyBorder="1" applyAlignment="1">
      <alignment horizontal="center" vertical="center" wrapText="1"/>
    </xf>
    <xf numFmtId="0" fontId="26" fillId="0" borderId="33" xfId="0" applyFont="1" applyBorder="1" applyAlignment="1">
      <alignment vertical="center" wrapText="1"/>
    </xf>
    <xf numFmtId="0" fontId="26" fillId="0" borderId="30" xfId="0" applyFont="1" applyBorder="1" applyAlignment="1">
      <alignment vertical="center" wrapText="1"/>
    </xf>
    <xf numFmtId="0" fontId="26" fillId="0" borderId="33" xfId="0" applyFont="1" applyBorder="1" applyAlignment="1">
      <alignment horizontal="center" vertical="center" wrapText="1"/>
    </xf>
    <xf numFmtId="0" fontId="26" fillId="0" borderId="30"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0" xfId="0" applyFont="1" applyBorder="1" applyAlignment="1">
      <alignment horizontal="center" vertical="center" wrapText="1"/>
    </xf>
    <xf numFmtId="2" fontId="5" fillId="0" borderId="33" xfId="0" applyNumberFormat="1" applyFont="1" applyBorder="1" applyAlignment="1">
      <alignment horizontal="center" vertical="center" wrapText="1"/>
    </xf>
    <xf numFmtId="2" fontId="5" fillId="0" borderId="30" xfId="0" applyNumberFormat="1" applyFont="1" applyBorder="1" applyAlignment="1">
      <alignment horizontal="center" vertical="center" wrapText="1"/>
    </xf>
    <xf numFmtId="0" fontId="8" fillId="0" borderId="33" xfId="0" applyFont="1" applyBorder="1" applyAlignment="1">
      <alignment horizontal="center" vertical="center" wrapText="1"/>
    </xf>
    <xf numFmtId="0" fontId="8" fillId="0" borderId="30" xfId="0" applyFont="1" applyBorder="1" applyAlignment="1">
      <alignment horizontal="center" vertical="center" wrapText="1"/>
    </xf>
    <xf numFmtId="4" fontId="8" fillId="0" borderId="33" xfId="0" applyNumberFormat="1" applyFont="1" applyBorder="1" applyAlignment="1">
      <alignment horizontal="center" vertical="center" wrapText="1"/>
    </xf>
    <xf numFmtId="4" fontId="8" fillId="0" borderId="30" xfId="0" applyNumberFormat="1" applyFont="1" applyBorder="1" applyAlignment="1">
      <alignment horizontal="center" vertical="center" wrapText="1"/>
    </xf>
    <xf numFmtId="43" fontId="8" fillId="0" borderId="33" xfId="0" applyNumberFormat="1" applyFont="1" applyBorder="1" applyAlignment="1">
      <alignment horizontal="center" vertical="center" wrapText="1"/>
    </xf>
    <xf numFmtId="0" fontId="25" fillId="14" borderId="34" xfId="0" applyFont="1" applyFill="1" applyBorder="1" applyAlignment="1">
      <alignment horizontal="left" vertical="center" wrapText="1"/>
    </xf>
    <xf numFmtId="0" fontId="25" fillId="14" borderId="36" xfId="0" applyFont="1" applyFill="1" applyBorder="1" applyAlignment="1">
      <alignment horizontal="left" vertical="center" wrapText="1"/>
    </xf>
    <xf numFmtId="0" fontId="5" fillId="0" borderId="34" xfId="0" applyFont="1" applyBorder="1" applyAlignment="1">
      <alignment horizontal="left" vertical="center" wrapText="1"/>
    </xf>
    <xf numFmtId="0" fontId="5" fillId="0" borderId="36" xfId="0" applyFont="1" applyBorder="1" applyAlignment="1">
      <alignment horizontal="left" vertical="center" wrapText="1"/>
    </xf>
    <xf numFmtId="0" fontId="25" fillId="14" borderId="53" xfId="0" applyFont="1" applyFill="1" applyBorder="1" applyAlignment="1">
      <alignment horizontal="left" vertical="center" wrapText="1"/>
    </xf>
    <xf numFmtId="0" fontId="25" fillId="14" borderId="52" xfId="0" applyFont="1" applyFill="1" applyBorder="1" applyAlignment="1">
      <alignment horizontal="left" vertical="center" wrapText="1"/>
    </xf>
    <xf numFmtId="0" fontId="25" fillId="14" borderId="33" xfId="0" applyFont="1" applyFill="1" applyBorder="1" applyAlignment="1">
      <alignment horizontal="left" vertical="center" wrapText="1"/>
    </xf>
    <xf numFmtId="0" fontId="25" fillId="14" borderId="30" xfId="0" applyFont="1" applyFill="1" applyBorder="1" applyAlignment="1">
      <alignment horizontal="left" vertical="center" wrapText="1"/>
    </xf>
    <xf numFmtId="0" fontId="25" fillId="0" borderId="33" xfId="0" applyFont="1" applyBorder="1" applyAlignment="1">
      <alignment horizontal="left" vertical="center" wrapText="1"/>
    </xf>
    <xf numFmtId="0" fontId="25" fillId="0" borderId="30" xfId="0" applyFont="1" applyBorder="1" applyAlignment="1">
      <alignment horizontal="left" vertical="center" wrapText="1"/>
    </xf>
  </cellXfs>
  <cellStyles count="9">
    <cellStyle name="Hyperlink" xfId="8" xr:uid="{00000000-0005-0000-0000-000000000000}"/>
    <cellStyle name="Moeda 2" xfId="3" xr:uid="{00000000-0005-0000-0000-000001000000}"/>
    <cellStyle name="Normal" xfId="0" builtinId="0"/>
    <cellStyle name="Normal 2" xfId="4" xr:uid="{00000000-0005-0000-0000-000003000000}"/>
    <cellStyle name="Normal 3" xfId="7" xr:uid="{00000000-0005-0000-0000-000004000000}"/>
    <cellStyle name="Porcentagem" xfId="2" builtinId="5"/>
    <cellStyle name="Porcentagem 2" xfId="5" xr:uid="{00000000-0005-0000-0000-000006000000}"/>
    <cellStyle name="Vírgula" xfId="1" builtinId="3"/>
    <cellStyle name="Vírgula 2" xfId="6" xr:uid="{00000000-0005-0000-0000-000008000000}"/>
  </cellStyles>
  <dxfs count="7">
    <dxf>
      <fill>
        <patternFill>
          <bgColor theme="0"/>
        </patternFill>
      </fill>
    </dxf>
    <dxf>
      <font>
        <b/>
        <i val="0"/>
        <color theme="4" tint="-0.24994659260841701"/>
      </font>
      <fill>
        <patternFill>
          <bgColor theme="0"/>
        </patternFill>
      </fill>
    </dxf>
    <dxf>
      <font>
        <b/>
        <i val="0"/>
        <color theme="4" tint="-0.24994659260841701"/>
      </font>
      <fill>
        <patternFill>
          <bgColor theme="0"/>
        </patternFill>
      </fill>
    </dxf>
    <dxf>
      <font>
        <b/>
        <i val="0"/>
        <color theme="4" tint="-0.24994659260841701"/>
      </font>
      <fill>
        <patternFill>
          <bgColor theme="0"/>
        </patternFill>
      </fill>
    </dxf>
    <dxf>
      <font>
        <b val="0"/>
        <i val="0"/>
        <color auto="1"/>
      </font>
      <fill>
        <patternFill>
          <bgColor theme="0"/>
        </patternFill>
      </fill>
    </dxf>
    <dxf>
      <fill>
        <patternFill>
          <bgColor theme="0"/>
        </patternFill>
      </fill>
    </dxf>
    <dxf>
      <font>
        <b/>
        <i val="0"/>
        <color theme="4" tint="-0.24994659260841701"/>
      </font>
      <fill>
        <patternFill>
          <bgColor theme="0"/>
        </patternFill>
      </fill>
    </dxf>
  </dxfs>
  <tableStyles count="0" defaultTableStyle="TableStyleMedium2" defaultPivotStyle="PivotStyleLight16"/>
  <colors>
    <mruColors>
      <color rgb="FFFFFFFF"/>
      <color rgb="FFFFFFCC"/>
      <color rgb="FFFFCCCC"/>
      <color rgb="FFEAEAEA"/>
      <color rgb="FF99CCFF"/>
      <color rgb="FFFFFF99"/>
      <color rgb="FFCC99FF"/>
      <color rgb="FFCCFFFF"/>
      <color rgb="FFE5F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hyperlink" Target="#'Cronograma F&#237;sico Financeiro'!A1"/><Relationship Id="rId7" Type="http://schemas.openxmlformats.org/officeDocument/2006/relationships/hyperlink" Target="#D&#250;vidas!A1"/><Relationship Id="rId2" Type="http://schemas.openxmlformats.org/officeDocument/2006/relationships/hyperlink" Target="#'Resumo por Localidade'!A1"/><Relationship Id="rId1" Type="http://schemas.openxmlformats.org/officeDocument/2006/relationships/hyperlink" Target="#'Indicadores Financeiros'!A1"/><Relationship Id="rId6" Type="http://schemas.openxmlformats.org/officeDocument/2006/relationships/image" Target="../media/image1.png"/><Relationship Id="rId5" Type="http://schemas.openxmlformats.org/officeDocument/2006/relationships/hyperlink" Target="#'Dados Cadastrais'!A1"/><Relationship Id="rId4" Type="http://schemas.openxmlformats.org/officeDocument/2006/relationships/hyperlink" Target="#'Relat&#243;rio Custo'!A1"/><Relationship Id="rId9" Type="http://schemas.openxmlformats.org/officeDocument/2006/relationships/image" Target="../media/image3.sv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Home!A1"/></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Home!A1"/></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hyperlink" Target="#Home!A1"/></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hyperlink" Target="#Home!A1"/></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Home!A1"/></Relationships>
</file>

<file path=xl/drawings/_rels/drawing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Home!A1"/><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2</xdr:col>
      <xdr:colOff>200026</xdr:colOff>
      <xdr:row>10</xdr:row>
      <xdr:rowOff>0</xdr:rowOff>
    </xdr:from>
    <xdr:to>
      <xdr:col>3</xdr:col>
      <xdr:colOff>485776</xdr:colOff>
      <xdr:row>12</xdr:row>
      <xdr:rowOff>82383</xdr:rowOff>
    </xdr:to>
    <xdr:sp macro="" textlink="">
      <xdr:nvSpPr>
        <xdr:cNvPr id="2" name="Retângulo: Cantos Arredondados 1">
          <a:hlinkClick xmlns:r="http://schemas.openxmlformats.org/officeDocument/2006/relationships" r:id="rId1"/>
          <a:extLst>
            <a:ext uri="{FF2B5EF4-FFF2-40B4-BE49-F238E27FC236}">
              <a16:creationId xmlns:a16="http://schemas.microsoft.com/office/drawing/2014/main" id="{FBC9D04F-3667-48B1-8AF0-E36EE60FB84F}"/>
            </a:ext>
          </a:extLst>
        </xdr:cNvPr>
        <xdr:cNvSpPr/>
      </xdr:nvSpPr>
      <xdr:spPr>
        <a:xfrm>
          <a:off x="542926" y="2085975"/>
          <a:ext cx="1104900" cy="463383"/>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ctr"/>
          <a:r>
            <a:rPr lang="pt-BR" sz="900" b="1"/>
            <a:t>Indicadores financeiros</a:t>
          </a:r>
        </a:p>
      </xdr:txBody>
    </xdr:sp>
    <xdr:clientData/>
  </xdr:twoCellAnchor>
  <xdr:twoCellAnchor>
    <xdr:from>
      <xdr:col>7</xdr:col>
      <xdr:colOff>238126</xdr:colOff>
      <xdr:row>6</xdr:row>
      <xdr:rowOff>161925</xdr:rowOff>
    </xdr:from>
    <xdr:to>
      <xdr:col>9</xdr:col>
      <xdr:colOff>123826</xdr:colOff>
      <xdr:row>9</xdr:row>
      <xdr:rowOff>38100</xdr:rowOff>
    </xdr:to>
    <xdr:sp macro="" textlink="">
      <xdr:nvSpPr>
        <xdr:cNvPr id="4" name="Retângulo: Cantos Arredondados 3">
          <a:hlinkClick xmlns:r="http://schemas.openxmlformats.org/officeDocument/2006/relationships" r:id="rId2"/>
          <a:extLst>
            <a:ext uri="{FF2B5EF4-FFF2-40B4-BE49-F238E27FC236}">
              <a16:creationId xmlns:a16="http://schemas.microsoft.com/office/drawing/2014/main" id="{B646BC2F-C250-4AA5-983A-F9CF996EA7F5}"/>
            </a:ext>
          </a:extLst>
        </xdr:cNvPr>
        <xdr:cNvSpPr/>
      </xdr:nvSpPr>
      <xdr:spPr>
        <a:xfrm>
          <a:off x="3838576" y="1485900"/>
          <a:ext cx="1104900" cy="447675"/>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ctr"/>
          <a:r>
            <a:rPr lang="pt-BR" sz="900" b="1"/>
            <a:t>Resumo por localidade</a:t>
          </a:r>
        </a:p>
        <a:p>
          <a:pPr algn="ctr"/>
          <a:endParaRPr lang="pt-BR" sz="900" b="1"/>
        </a:p>
      </xdr:txBody>
    </xdr:sp>
    <xdr:clientData/>
  </xdr:twoCellAnchor>
  <xdr:twoCellAnchor>
    <xdr:from>
      <xdr:col>4</xdr:col>
      <xdr:colOff>438151</xdr:colOff>
      <xdr:row>10</xdr:row>
      <xdr:rowOff>9525</xdr:rowOff>
    </xdr:from>
    <xdr:to>
      <xdr:col>6</xdr:col>
      <xdr:colOff>323851</xdr:colOff>
      <xdr:row>12</xdr:row>
      <xdr:rowOff>99762</xdr:rowOff>
    </xdr:to>
    <xdr:sp macro="" textlink="">
      <xdr:nvSpPr>
        <xdr:cNvPr id="5" name="Retângulo: Cantos Arredondados 4">
          <a:hlinkClick xmlns:r="http://schemas.openxmlformats.org/officeDocument/2006/relationships" r:id="rId3"/>
          <a:extLst>
            <a:ext uri="{FF2B5EF4-FFF2-40B4-BE49-F238E27FC236}">
              <a16:creationId xmlns:a16="http://schemas.microsoft.com/office/drawing/2014/main" id="{AA180D71-6355-4BE8-B65E-771CA9982D7E}"/>
            </a:ext>
          </a:extLst>
        </xdr:cNvPr>
        <xdr:cNvSpPr/>
      </xdr:nvSpPr>
      <xdr:spPr>
        <a:xfrm>
          <a:off x="2209801" y="2095500"/>
          <a:ext cx="1104900" cy="471237"/>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ctr"/>
          <a:r>
            <a:rPr lang="pt-BR" sz="900" b="1"/>
            <a:t>Cronograma físico financeiro</a:t>
          </a:r>
        </a:p>
      </xdr:txBody>
    </xdr:sp>
    <xdr:clientData/>
  </xdr:twoCellAnchor>
  <xdr:twoCellAnchor>
    <xdr:from>
      <xdr:col>4</xdr:col>
      <xdr:colOff>447676</xdr:colOff>
      <xdr:row>6</xdr:row>
      <xdr:rowOff>180975</xdr:rowOff>
    </xdr:from>
    <xdr:to>
      <xdr:col>6</xdr:col>
      <xdr:colOff>333376</xdr:colOff>
      <xdr:row>9</xdr:row>
      <xdr:rowOff>57150</xdr:rowOff>
    </xdr:to>
    <xdr:sp macro="" textlink="">
      <xdr:nvSpPr>
        <xdr:cNvPr id="6" name="Retângulo: Cantos Arredondados 5">
          <a:hlinkClick xmlns:r="http://schemas.openxmlformats.org/officeDocument/2006/relationships" r:id="rId4"/>
          <a:extLst>
            <a:ext uri="{FF2B5EF4-FFF2-40B4-BE49-F238E27FC236}">
              <a16:creationId xmlns:a16="http://schemas.microsoft.com/office/drawing/2014/main" id="{274AB83B-2738-4504-A075-38A30959D6CB}"/>
            </a:ext>
          </a:extLst>
        </xdr:cNvPr>
        <xdr:cNvSpPr/>
      </xdr:nvSpPr>
      <xdr:spPr>
        <a:xfrm>
          <a:off x="2219326" y="1504950"/>
          <a:ext cx="1104900" cy="447675"/>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pt-BR" sz="900" b="1"/>
            <a:t>Relatório custo</a:t>
          </a:r>
        </a:p>
      </xdr:txBody>
    </xdr:sp>
    <xdr:clientData/>
  </xdr:twoCellAnchor>
  <xdr:twoCellAnchor>
    <xdr:from>
      <xdr:col>2</xdr:col>
      <xdr:colOff>238126</xdr:colOff>
      <xdr:row>7</xdr:row>
      <xdr:rowOff>0</xdr:rowOff>
    </xdr:from>
    <xdr:to>
      <xdr:col>3</xdr:col>
      <xdr:colOff>523876</xdr:colOff>
      <xdr:row>9</xdr:row>
      <xdr:rowOff>74529</xdr:rowOff>
    </xdr:to>
    <xdr:sp macro="" textlink="">
      <xdr:nvSpPr>
        <xdr:cNvPr id="7" name="Retângulo: Cantos Arredondados 6">
          <a:hlinkClick xmlns:r="http://schemas.openxmlformats.org/officeDocument/2006/relationships" r:id="rId5"/>
          <a:extLst>
            <a:ext uri="{FF2B5EF4-FFF2-40B4-BE49-F238E27FC236}">
              <a16:creationId xmlns:a16="http://schemas.microsoft.com/office/drawing/2014/main" id="{D2D0396E-73C6-45E0-A586-B46D2D6D064D}"/>
            </a:ext>
          </a:extLst>
        </xdr:cNvPr>
        <xdr:cNvSpPr/>
      </xdr:nvSpPr>
      <xdr:spPr>
        <a:xfrm>
          <a:off x="581026" y="1514475"/>
          <a:ext cx="1104900" cy="455529"/>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pt-BR" sz="900" b="1"/>
            <a:t>Dados cadastrais</a:t>
          </a:r>
        </a:p>
      </xdr:txBody>
    </xdr:sp>
    <xdr:clientData/>
  </xdr:twoCellAnchor>
  <xdr:twoCellAnchor>
    <xdr:from>
      <xdr:col>3</xdr:col>
      <xdr:colOff>58588</xdr:colOff>
      <xdr:row>1</xdr:row>
      <xdr:rowOff>98426</xdr:rowOff>
    </xdr:from>
    <xdr:to>
      <xdr:col>9</xdr:col>
      <xdr:colOff>514350</xdr:colOff>
      <xdr:row>4</xdr:row>
      <xdr:rowOff>28575</xdr:rowOff>
    </xdr:to>
    <xdr:sp macro="" textlink="">
      <xdr:nvSpPr>
        <xdr:cNvPr id="8" name="Retângulo: Cantos Diagonais Recortados 6">
          <a:extLst>
            <a:ext uri="{FF2B5EF4-FFF2-40B4-BE49-F238E27FC236}">
              <a16:creationId xmlns:a16="http://schemas.microsoft.com/office/drawing/2014/main" id="{E2BDADF8-9D05-41E3-9578-10C9D4929949}"/>
            </a:ext>
          </a:extLst>
        </xdr:cNvPr>
        <xdr:cNvSpPr>
          <a:spLocks/>
        </xdr:cNvSpPr>
      </xdr:nvSpPr>
      <xdr:spPr bwMode="auto">
        <a:xfrm>
          <a:off x="1220638" y="212726"/>
          <a:ext cx="4113362" cy="711199"/>
        </a:xfrm>
        <a:custGeom>
          <a:avLst/>
          <a:gdLst>
            <a:gd name="T0" fmla="*/ 0 w 5214902"/>
            <a:gd name="T1" fmla="*/ 0 h 1177925"/>
            <a:gd name="T2" fmla="*/ 5018577 w 5214902"/>
            <a:gd name="T3" fmla="*/ 0 h 1177925"/>
            <a:gd name="T4" fmla="*/ 5214902 w 5214902"/>
            <a:gd name="T5" fmla="*/ 196325 h 1177925"/>
            <a:gd name="T6" fmla="*/ 5214902 w 5214902"/>
            <a:gd name="T7" fmla="*/ 1177925 h 1177925"/>
            <a:gd name="T8" fmla="*/ 5214902 w 5214902"/>
            <a:gd name="T9" fmla="*/ 1177925 h 1177925"/>
            <a:gd name="T10" fmla="*/ 196325 w 5214902"/>
            <a:gd name="T11" fmla="*/ 1177925 h 1177925"/>
            <a:gd name="T12" fmla="*/ 0 w 5214902"/>
            <a:gd name="T13" fmla="*/ 981600 h 1177925"/>
            <a:gd name="T14" fmla="*/ 0 w 5214902"/>
            <a:gd name="T15" fmla="*/ 0 h 1177925"/>
            <a:gd name="T16" fmla="*/ 0 60000 65536"/>
            <a:gd name="T17" fmla="*/ 0 60000 65536"/>
            <a:gd name="T18" fmla="*/ 0 60000 65536"/>
            <a:gd name="T19" fmla="*/ 0 60000 65536"/>
            <a:gd name="T20" fmla="*/ 0 60000 65536"/>
            <a:gd name="T21" fmla="*/ 0 60000 65536"/>
            <a:gd name="T22" fmla="*/ 0 60000 65536"/>
            <a:gd name="T23" fmla="*/ 0 60000 65536"/>
            <a:gd name="T24" fmla="*/ 0 w 5214902"/>
            <a:gd name="T25" fmla="*/ 0 h 1177925"/>
            <a:gd name="T26" fmla="*/ 5214902 w 5214902"/>
            <a:gd name="T27" fmla="*/ 1177925 h 1177925"/>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5214902" h="1177925">
              <a:moveTo>
                <a:pt x="0" y="0"/>
              </a:moveTo>
              <a:lnTo>
                <a:pt x="5018577" y="0"/>
              </a:lnTo>
              <a:lnTo>
                <a:pt x="5214902" y="196325"/>
              </a:lnTo>
              <a:lnTo>
                <a:pt x="5214902" y="1177925"/>
              </a:lnTo>
              <a:lnTo>
                <a:pt x="196325" y="1177925"/>
              </a:lnTo>
              <a:lnTo>
                <a:pt x="0" y="981600"/>
              </a:lnTo>
              <a:lnTo>
                <a:pt x="0" y="0"/>
              </a:lnTo>
              <a:close/>
            </a:path>
          </a:pathLst>
        </a:custGeom>
        <a:solidFill>
          <a:srgbClr val="43494E"/>
        </a:solidFill>
        <a:ln>
          <a:noFill/>
        </a:ln>
      </xdr:spPr>
      <xdr:txBody>
        <a:bodyPr rot="0" vert="horz" wrap="square" lIns="91440" tIns="45720" rIns="91440" bIns="45720" anchor="ctr" anchorCtr="0" upright="1">
          <a:noAutofit/>
        </a:bodyPr>
        <a:lstStyle/>
        <a:p>
          <a:pPr>
            <a:lnSpc>
              <a:spcPct val="107000"/>
            </a:lnSpc>
            <a:spcAft>
              <a:spcPts val="800"/>
            </a:spcAft>
          </a:pPr>
          <a:r>
            <a:rPr lang="pt-BR" sz="14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TRIBUNAL DE JUSTIÇA DE SÃO PAULO</a:t>
          </a:r>
          <a:endParaRPr lang="pt-BR" sz="1000">
            <a:effectLst/>
            <a:latin typeface="Calibri" panose="020F0502020204030204" pitchFamily="34" charset="0"/>
            <a:ea typeface="Calibri" panose="020F0502020204030204" pitchFamily="34" charset="0"/>
            <a:cs typeface="Times New Roman" panose="02020603050405020304" pitchFamily="18" charset="0"/>
          </a:endParaRPr>
        </a:p>
        <a:p>
          <a:pPr>
            <a:lnSpc>
              <a:spcPct val="107000"/>
            </a:lnSpc>
            <a:spcAft>
              <a:spcPts val="800"/>
            </a:spcAft>
          </a:pPr>
          <a:r>
            <a:rPr lang="pt-BR" sz="1400">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Secretaria de Administração e Abastecimento</a:t>
          </a:r>
          <a:endParaRPr lang="pt-BR" sz="10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114299</xdr:colOff>
      <xdr:row>1</xdr:row>
      <xdr:rowOff>95251</xdr:rowOff>
    </xdr:from>
    <xdr:to>
      <xdr:col>3</xdr:col>
      <xdr:colOff>57150</xdr:colOff>
      <xdr:row>4</xdr:row>
      <xdr:rowOff>19051</xdr:rowOff>
    </xdr:to>
    <xdr:grpSp>
      <xdr:nvGrpSpPr>
        <xdr:cNvPr id="9" name="Agrupar 8">
          <a:extLst>
            <a:ext uri="{FF2B5EF4-FFF2-40B4-BE49-F238E27FC236}">
              <a16:creationId xmlns:a16="http://schemas.microsoft.com/office/drawing/2014/main" id="{8C97DF8D-B208-4859-9E7D-EF1BE4C53EC2}"/>
            </a:ext>
          </a:extLst>
        </xdr:cNvPr>
        <xdr:cNvGrpSpPr>
          <a:grpSpLocks/>
        </xdr:cNvGrpSpPr>
      </xdr:nvGrpSpPr>
      <xdr:grpSpPr bwMode="auto">
        <a:xfrm>
          <a:off x="247649" y="209551"/>
          <a:ext cx="971551" cy="704850"/>
          <a:chOff x="0" y="0"/>
          <a:chExt cx="11779" cy="11779"/>
        </a:xfrm>
      </xdr:grpSpPr>
      <xdr:sp macro="" textlink="">
        <xdr:nvSpPr>
          <xdr:cNvPr id="10" name="Retângulo: Único Canto Recortado 5">
            <a:extLst>
              <a:ext uri="{FF2B5EF4-FFF2-40B4-BE49-F238E27FC236}">
                <a16:creationId xmlns:a16="http://schemas.microsoft.com/office/drawing/2014/main" id="{8B7101DF-9D40-9EB5-9D17-4CB688F8BD58}"/>
              </a:ext>
            </a:extLst>
          </xdr:cNvPr>
          <xdr:cNvSpPr>
            <a:spLocks/>
          </xdr:cNvSpPr>
        </xdr:nvSpPr>
        <xdr:spPr bwMode="auto">
          <a:xfrm rot="5400000">
            <a:off x="0" y="0"/>
            <a:ext cx="11779" cy="11779"/>
          </a:xfrm>
          <a:custGeom>
            <a:avLst/>
            <a:gdLst>
              <a:gd name="T0" fmla="*/ 0 w 1177925"/>
              <a:gd name="T1" fmla="*/ 0 h 1177925"/>
              <a:gd name="T2" fmla="*/ 981600 w 1177925"/>
              <a:gd name="T3" fmla="*/ 0 h 1177925"/>
              <a:gd name="T4" fmla="*/ 1177925 w 1177925"/>
              <a:gd name="T5" fmla="*/ 196325 h 1177925"/>
              <a:gd name="T6" fmla="*/ 1177925 w 1177925"/>
              <a:gd name="T7" fmla="*/ 1177925 h 1177925"/>
              <a:gd name="T8" fmla="*/ 0 w 1177925"/>
              <a:gd name="T9" fmla="*/ 1177925 h 1177925"/>
              <a:gd name="T10" fmla="*/ 0 w 1177925"/>
              <a:gd name="T11" fmla="*/ 0 h 1177925"/>
              <a:gd name="T12" fmla="*/ 0 60000 65536"/>
              <a:gd name="T13" fmla="*/ 0 60000 65536"/>
              <a:gd name="T14" fmla="*/ 0 60000 65536"/>
              <a:gd name="T15" fmla="*/ 0 60000 65536"/>
              <a:gd name="T16" fmla="*/ 0 60000 65536"/>
              <a:gd name="T17" fmla="*/ 0 60000 65536"/>
              <a:gd name="T18" fmla="*/ 0 w 1177925"/>
              <a:gd name="T19" fmla="*/ 0 h 1177925"/>
              <a:gd name="T20" fmla="*/ 1177925 w 1177925"/>
              <a:gd name="T21" fmla="*/ 1177925 h 1177925"/>
            </a:gdLst>
            <a:ahLst/>
            <a:cxnLst>
              <a:cxn ang="T12">
                <a:pos x="T0" y="T1"/>
              </a:cxn>
              <a:cxn ang="T13">
                <a:pos x="T2" y="T3"/>
              </a:cxn>
              <a:cxn ang="T14">
                <a:pos x="T4" y="T5"/>
              </a:cxn>
              <a:cxn ang="T15">
                <a:pos x="T6" y="T7"/>
              </a:cxn>
              <a:cxn ang="T16">
                <a:pos x="T8" y="T9"/>
              </a:cxn>
              <a:cxn ang="T17">
                <a:pos x="T10" y="T11"/>
              </a:cxn>
            </a:cxnLst>
            <a:rect l="T18" t="T19" r="T20" b="T21"/>
            <a:pathLst>
              <a:path w="1177925" h="1177925">
                <a:moveTo>
                  <a:pt x="0" y="0"/>
                </a:moveTo>
                <a:lnTo>
                  <a:pt x="981600" y="0"/>
                </a:lnTo>
                <a:lnTo>
                  <a:pt x="1177925" y="196325"/>
                </a:lnTo>
                <a:lnTo>
                  <a:pt x="1177925" y="1177925"/>
                </a:lnTo>
                <a:lnTo>
                  <a:pt x="0" y="1177925"/>
                </a:lnTo>
                <a:lnTo>
                  <a:pt x="0" y="0"/>
                </a:lnTo>
                <a:close/>
              </a:path>
            </a:pathLst>
          </a:custGeom>
          <a:solidFill>
            <a:srgbClr val="DA5914"/>
          </a:solidFill>
          <a:ln>
            <a:noFill/>
          </a:ln>
        </xdr:spPr>
        <xdr:txBody>
          <a:bodyPr rot="0" vert="horz" wrap="square" lIns="91440" tIns="45720" rIns="91440" bIns="45720" anchor="ctr" anchorCtr="0" upright="1">
            <a:noAutofit/>
          </a:bodyPr>
          <a:lstStyle/>
          <a:p>
            <a:pPr algn="ctr">
              <a:lnSpc>
                <a:spcPct val="107000"/>
              </a:lnSpc>
              <a:spcAft>
                <a:spcPts val="800"/>
              </a:spcAft>
            </a:pPr>
            <a:r>
              <a:rPr lang="pt-BR" sz="1800" b="1">
                <a:effectLst/>
                <a:latin typeface="Montserrat" panose="020F0502020204030204" pitchFamily="2" charset="0"/>
                <a:ea typeface="Calibri" panose="020F0502020204030204" pitchFamily="34" charset="0"/>
                <a:cs typeface="Times New Roman" panose="02020603050405020304" pitchFamily="18" charset="0"/>
              </a:rPr>
              <a:t> </a:t>
            </a:r>
            <a:endParaRPr lang="pt-BR"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11" name="Retângulo: Único Canto Recortado 5">
            <a:extLst>
              <a:ext uri="{FF2B5EF4-FFF2-40B4-BE49-F238E27FC236}">
                <a16:creationId xmlns:a16="http://schemas.microsoft.com/office/drawing/2014/main" id="{77688BE0-618E-AD99-03FD-8B7E41FD6480}"/>
              </a:ext>
            </a:extLst>
          </xdr:cNvPr>
          <xdr:cNvSpPr>
            <a:spLocks/>
          </xdr:cNvSpPr>
        </xdr:nvSpPr>
        <xdr:spPr bwMode="auto">
          <a:xfrm>
            <a:off x="87" y="2549"/>
            <a:ext cx="11367" cy="6594"/>
          </a:xfrm>
          <a:custGeom>
            <a:avLst/>
            <a:gdLst>
              <a:gd name="T0" fmla="*/ 0 w 1136673"/>
              <a:gd name="T1" fmla="*/ 0 h 659423"/>
              <a:gd name="T2" fmla="*/ 1026767 w 1136673"/>
              <a:gd name="T3" fmla="*/ 0 h 659423"/>
              <a:gd name="T4" fmla="*/ 1136673 w 1136673"/>
              <a:gd name="T5" fmla="*/ 109906 h 659423"/>
              <a:gd name="T6" fmla="*/ 1136673 w 1136673"/>
              <a:gd name="T7" fmla="*/ 659423 h 659423"/>
              <a:gd name="T8" fmla="*/ 0 w 1136673"/>
              <a:gd name="T9" fmla="*/ 659423 h 659423"/>
              <a:gd name="T10" fmla="*/ 0 w 1136673"/>
              <a:gd name="T11" fmla="*/ 0 h 659423"/>
              <a:gd name="T12" fmla="*/ 0 60000 65536"/>
              <a:gd name="T13" fmla="*/ 0 60000 65536"/>
              <a:gd name="T14" fmla="*/ 0 60000 65536"/>
              <a:gd name="T15" fmla="*/ 0 60000 65536"/>
              <a:gd name="T16" fmla="*/ 0 60000 65536"/>
              <a:gd name="T17" fmla="*/ 0 60000 65536"/>
              <a:gd name="T18" fmla="*/ 0 w 1136673"/>
              <a:gd name="T19" fmla="*/ 0 h 659423"/>
              <a:gd name="T20" fmla="*/ 1136673 w 1136673"/>
              <a:gd name="T21" fmla="*/ 659423 h 659423"/>
            </a:gdLst>
            <a:ahLst/>
            <a:cxnLst>
              <a:cxn ang="T12">
                <a:pos x="T0" y="T1"/>
              </a:cxn>
              <a:cxn ang="T13">
                <a:pos x="T2" y="T3"/>
              </a:cxn>
              <a:cxn ang="T14">
                <a:pos x="T4" y="T5"/>
              </a:cxn>
              <a:cxn ang="T15">
                <a:pos x="T6" y="T7"/>
              </a:cxn>
              <a:cxn ang="T16">
                <a:pos x="T8" y="T9"/>
              </a:cxn>
              <a:cxn ang="T17">
                <a:pos x="T10" y="T11"/>
              </a:cxn>
            </a:cxnLst>
            <a:rect l="T18" t="T19" r="T20" b="T21"/>
            <a:pathLst>
              <a:path w="1136673" h="659423">
                <a:moveTo>
                  <a:pt x="0" y="0"/>
                </a:moveTo>
                <a:lnTo>
                  <a:pt x="1026767" y="0"/>
                </a:lnTo>
                <a:lnTo>
                  <a:pt x="1136673" y="109906"/>
                </a:lnTo>
                <a:lnTo>
                  <a:pt x="1136673" y="659423"/>
                </a:lnTo>
                <a:lnTo>
                  <a:pt x="0" y="659423"/>
                </a:lnTo>
                <a:lnTo>
                  <a:pt x="0" y="0"/>
                </a:lnTo>
                <a:close/>
              </a:path>
            </a:pathLst>
          </a:custGeom>
          <a:solidFill>
            <a:srgbClr val="DA5914"/>
          </a:solidFill>
          <a:ln>
            <a:noFill/>
          </a:ln>
        </xdr:spPr>
        <xdr:txBody>
          <a:bodyPr rot="0" vert="horz" wrap="square" lIns="91440" tIns="45720" rIns="91440" bIns="45720" anchor="ctr" anchorCtr="0" upright="1">
            <a:noAutofit/>
          </a:bodyPr>
          <a:lstStyle/>
          <a:p>
            <a:pPr algn="ctr">
              <a:lnSpc>
                <a:spcPct val="107000"/>
              </a:lnSpc>
              <a:spcAft>
                <a:spcPts val="800"/>
              </a:spcAft>
            </a:pPr>
            <a:r>
              <a:rPr lang="pt-BR" sz="1800" b="1">
                <a:effectLst/>
                <a:latin typeface="Montserrat" panose="020F0502020204030204" pitchFamily="2" charset="0"/>
                <a:ea typeface="Calibri" panose="020F0502020204030204" pitchFamily="34" charset="0"/>
                <a:cs typeface="Times New Roman" panose="02020603050405020304" pitchFamily="18" charset="0"/>
              </a:rPr>
              <a:t>SAAB</a:t>
            </a:r>
            <a:endParaRPr lang="pt-BR" sz="10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3</xdr:col>
      <xdr:colOff>200025</xdr:colOff>
      <xdr:row>4</xdr:row>
      <xdr:rowOff>24251</xdr:rowOff>
    </xdr:from>
    <xdr:to>
      <xdr:col>9</xdr:col>
      <xdr:colOff>514350</xdr:colOff>
      <xdr:row>5</xdr:row>
      <xdr:rowOff>180975</xdr:rowOff>
    </xdr:to>
    <xdr:sp macro="" textlink="">
      <xdr:nvSpPr>
        <xdr:cNvPr id="12" name="Retângulo: Cantos Superiores Recortados 9">
          <a:extLst>
            <a:ext uri="{FF2B5EF4-FFF2-40B4-BE49-F238E27FC236}">
              <a16:creationId xmlns:a16="http://schemas.microsoft.com/office/drawing/2014/main" id="{7E70C2A3-4085-4FF2-B3BB-6B111ED9148E}"/>
            </a:ext>
          </a:extLst>
        </xdr:cNvPr>
        <xdr:cNvSpPr>
          <a:spLocks/>
        </xdr:cNvSpPr>
      </xdr:nvSpPr>
      <xdr:spPr bwMode="auto">
        <a:xfrm flipV="1">
          <a:off x="1362075" y="919601"/>
          <a:ext cx="3971925" cy="347224"/>
        </a:xfrm>
        <a:custGeom>
          <a:avLst/>
          <a:gdLst>
            <a:gd name="T0" fmla="*/ 2179 w 5034845"/>
            <a:gd name="T1" fmla="*/ 0 h 1307465"/>
            <a:gd name="T2" fmla="*/ 48169 w 5034845"/>
            <a:gd name="T3" fmla="*/ 0 h 1307465"/>
            <a:gd name="T4" fmla="*/ 50348 w 5034845"/>
            <a:gd name="T5" fmla="*/ 2179 h 1307465"/>
            <a:gd name="T6" fmla="*/ 50348 w 5034845"/>
            <a:gd name="T7" fmla="*/ 13074 h 1307465"/>
            <a:gd name="T8" fmla="*/ 50348 w 5034845"/>
            <a:gd name="T9" fmla="*/ 13074 h 1307465"/>
            <a:gd name="T10" fmla="*/ 0 w 5034845"/>
            <a:gd name="T11" fmla="*/ 13074 h 1307465"/>
            <a:gd name="T12" fmla="*/ 0 w 5034845"/>
            <a:gd name="T13" fmla="*/ 13074 h 1307465"/>
            <a:gd name="T14" fmla="*/ 0 w 5034845"/>
            <a:gd name="T15" fmla="*/ 2179 h 1307465"/>
            <a:gd name="T16" fmla="*/ 2179 w 5034845"/>
            <a:gd name="T17" fmla="*/ 0 h 1307465"/>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5034845"/>
            <a:gd name="T28" fmla="*/ 0 h 1307465"/>
            <a:gd name="T29" fmla="*/ 5034845 w 5034845"/>
            <a:gd name="T30" fmla="*/ 1307465 h 1307465"/>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5034845" h="1307465">
              <a:moveTo>
                <a:pt x="217915" y="0"/>
              </a:moveTo>
              <a:lnTo>
                <a:pt x="4816930" y="0"/>
              </a:lnTo>
              <a:lnTo>
                <a:pt x="5034845" y="217915"/>
              </a:lnTo>
              <a:lnTo>
                <a:pt x="5034845" y="1307465"/>
              </a:lnTo>
              <a:lnTo>
                <a:pt x="0" y="1307465"/>
              </a:lnTo>
              <a:lnTo>
                <a:pt x="0" y="217915"/>
              </a:lnTo>
              <a:lnTo>
                <a:pt x="217915" y="0"/>
              </a:lnTo>
              <a:close/>
            </a:path>
          </a:pathLst>
        </a:custGeom>
        <a:solidFill>
          <a:schemeClr val="bg1">
            <a:lumMod val="85000"/>
          </a:schemeClr>
        </a:solidFill>
        <a:ln>
          <a:noFill/>
        </a:ln>
      </xdr:spPr>
      <xdr:txBody>
        <a:bodyPr rot="0" vert="horz" wrap="square" lIns="91440" tIns="45720" rIns="91440" bIns="45720" anchor="ctr" anchorCtr="0" upright="1">
          <a:noAutofit/>
        </a:bodyPr>
        <a:lstStyle/>
        <a:p>
          <a:pPr>
            <a:lnSpc>
              <a:spcPct val="115000"/>
            </a:lnSpc>
            <a:spcBef>
              <a:spcPts val="1200"/>
            </a:spcBef>
            <a:spcAft>
              <a:spcPts val="1200"/>
            </a:spcAft>
            <a:tabLst>
              <a:tab pos="3060700" algn="l"/>
            </a:tabLst>
          </a:pPr>
          <a:r>
            <a:rPr lang="pt-BR" sz="1600" b="1">
              <a:solidFill>
                <a:srgbClr val="262626"/>
              </a:solidFill>
              <a:effectLst/>
              <a:latin typeface="Calibri" panose="020F0502020204030204" pitchFamily="34" charset="0"/>
              <a:ea typeface="Calibri" panose="020F0502020204030204" pitchFamily="34" charset="0"/>
              <a:cs typeface="Calibri" panose="020F0502020204030204" pitchFamily="34" charset="0"/>
            </a:rPr>
            <a:t> </a:t>
          </a:r>
          <a:endParaRPr lang="pt-BR" sz="1100">
            <a:effectLst/>
            <a:latin typeface="Calibri" panose="020F0502020204030204" pitchFamily="34" charset="0"/>
            <a:ea typeface="Calibri" panose="020F0502020204030204" pitchFamily="34" charset="0"/>
            <a:cs typeface="Times New Roman" panose="02020603050405020304" pitchFamily="18" charset="0"/>
          </a:endParaRPr>
        </a:p>
        <a:p>
          <a:pPr algn="ctr">
            <a:lnSpc>
              <a:spcPct val="107000"/>
            </a:lnSpc>
            <a:spcAft>
              <a:spcPts val="800"/>
            </a:spcAft>
          </a:pPr>
          <a:r>
            <a:rPr lang="pt-BR"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3</xdr:col>
      <xdr:colOff>448270</xdr:colOff>
      <xdr:row>4</xdr:row>
      <xdr:rowOff>57150</xdr:rowOff>
    </xdr:from>
    <xdr:to>
      <xdr:col>9</xdr:col>
      <xdr:colOff>409575</xdr:colOff>
      <xdr:row>5</xdr:row>
      <xdr:rowOff>133349</xdr:rowOff>
    </xdr:to>
    <xdr:sp macro="" textlink="">
      <xdr:nvSpPr>
        <xdr:cNvPr id="13" name="Retângulo: Cantos Superiores Recortados 9">
          <a:extLst>
            <a:ext uri="{FF2B5EF4-FFF2-40B4-BE49-F238E27FC236}">
              <a16:creationId xmlns:a16="http://schemas.microsoft.com/office/drawing/2014/main" id="{1BAACD6D-6F70-4845-89C6-48D8DB1681BC}"/>
            </a:ext>
          </a:extLst>
        </xdr:cNvPr>
        <xdr:cNvSpPr>
          <a:spLocks/>
        </xdr:cNvSpPr>
      </xdr:nvSpPr>
      <xdr:spPr bwMode="auto">
        <a:xfrm>
          <a:off x="1610320" y="952500"/>
          <a:ext cx="3618905" cy="266699"/>
        </a:xfrm>
        <a:custGeom>
          <a:avLst/>
          <a:gdLst>
            <a:gd name="T0" fmla="*/ 3033 w 4538134"/>
            <a:gd name="T1" fmla="*/ 0 h 1819910"/>
            <a:gd name="T2" fmla="*/ 42349 w 4538134"/>
            <a:gd name="T3" fmla="*/ 0 h 1819910"/>
            <a:gd name="T4" fmla="*/ 45382 w 4538134"/>
            <a:gd name="T5" fmla="*/ 3033 h 1819910"/>
            <a:gd name="T6" fmla="*/ 45382 w 4538134"/>
            <a:gd name="T7" fmla="*/ 18198 h 1819910"/>
            <a:gd name="T8" fmla="*/ 45382 w 4538134"/>
            <a:gd name="T9" fmla="*/ 18198 h 1819910"/>
            <a:gd name="T10" fmla="*/ 0 w 4538134"/>
            <a:gd name="T11" fmla="*/ 18198 h 1819910"/>
            <a:gd name="T12" fmla="*/ 0 w 4538134"/>
            <a:gd name="T13" fmla="*/ 18198 h 1819910"/>
            <a:gd name="T14" fmla="*/ 0 w 4538134"/>
            <a:gd name="T15" fmla="*/ 3033 h 1819910"/>
            <a:gd name="T16" fmla="*/ 3033 w 4538134"/>
            <a:gd name="T17" fmla="*/ 0 h 181991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4538134"/>
            <a:gd name="T28" fmla="*/ 0 h 1819910"/>
            <a:gd name="T29" fmla="*/ 4538134 w 4538134"/>
            <a:gd name="T30" fmla="*/ 1819910 h 181991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4538134" h="1819910">
              <a:moveTo>
                <a:pt x="303324" y="0"/>
              </a:moveTo>
              <a:lnTo>
                <a:pt x="4234810" y="0"/>
              </a:lnTo>
              <a:lnTo>
                <a:pt x="4538134" y="303324"/>
              </a:lnTo>
              <a:lnTo>
                <a:pt x="4538134" y="1819910"/>
              </a:lnTo>
              <a:lnTo>
                <a:pt x="0" y="1819910"/>
              </a:lnTo>
              <a:lnTo>
                <a:pt x="0" y="303324"/>
              </a:lnTo>
              <a:lnTo>
                <a:pt x="303324" y="0"/>
              </a:lnTo>
              <a:close/>
            </a:path>
          </a:pathLst>
        </a:custGeom>
        <a:solidFill>
          <a:schemeClr val="bg1">
            <a:lumMod val="85000"/>
          </a:schemeClr>
        </a:solidFill>
        <a:ln>
          <a:noFill/>
        </a:ln>
      </xdr:spPr>
      <xdr:txBody>
        <a:bodyPr rot="0" vert="horz" wrap="square" lIns="91440" tIns="45720" rIns="91440" bIns="45720" anchor="ctr" anchorCtr="0" upright="1">
          <a:noAutofit/>
        </a:bodyPr>
        <a:lstStyle/>
        <a:p>
          <a:pPr>
            <a:lnSpc>
              <a:spcPct val="107000"/>
            </a:lnSpc>
            <a:spcBef>
              <a:spcPts val="1200"/>
            </a:spcBef>
            <a:spcAft>
              <a:spcPts val="1200"/>
            </a:spcAft>
            <a:tabLst>
              <a:tab pos="3060700" algn="l"/>
            </a:tabLst>
          </a:pPr>
          <a:r>
            <a:rPr lang="pt-BR" sz="1100" b="1">
              <a:solidFill>
                <a:srgbClr val="262626"/>
              </a:solidFill>
              <a:effectLst/>
              <a:latin typeface="Calibri" panose="020F0502020204030204" pitchFamily="34" charset="0"/>
              <a:ea typeface="Calibri" panose="020F0502020204030204" pitchFamily="34" charset="0"/>
              <a:cs typeface="Calibri" panose="020F0502020204030204" pitchFamily="34" charset="0"/>
            </a:rPr>
            <a:t>ESTUDO TÉCNICO DE COMPOSIÇÃO DE CUSTO - PORTARIA </a:t>
          </a:r>
          <a:endParaRPr lang="pt-BR" sz="9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4</xdr:col>
      <xdr:colOff>257175</xdr:colOff>
      <xdr:row>36</xdr:row>
      <xdr:rowOff>180975</xdr:rowOff>
    </xdr:from>
    <xdr:to>
      <xdr:col>6</xdr:col>
      <xdr:colOff>274085</xdr:colOff>
      <xdr:row>41</xdr:row>
      <xdr:rowOff>104775</xdr:rowOff>
    </xdr:to>
    <xdr:pic>
      <xdr:nvPicPr>
        <xdr:cNvPr id="14" name="Imagem 13">
          <a:extLst>
            <a:ext uri="{FF2B5EF4-FFF2-40B4-BE49-F238E27FC236}">
              <a16:creationId xmlns:a16="http://schemas.microsoft.com/office/drawing/2014/main" id="{BC9884E6-95DA-4D99-AF73-BD653B29545F}"/>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028825" y="7839075"/>
          <a:ext cx="1236110" cy="876300"/>
        </a:xfrm>
        <a:prstGeom prst="rect">
          <a:avLst/>
        </a:prstGeom>
        <a:noFill/>
        <a:ln>
          <a:noFill/>
        </a:ln>
      </xdr:spPr>
    </xdr:pic>
    <xdr:clientData/>
  </xdr:twoCellAnchor>
  <xdr:twoCellAnchor>
    <xdr:from>
      <xdr:col>1</xdr:col>
      <xdr:colOff>15240</xdr:colOff>
      <xdr:row>13</xdr:row>
      <xdr:rowOff>9527</xdr:rowOff>
    </xdr:from>
    <xdr:to>
      <xdr:col>9</xdr:col>
      <xdr:colOff>638175</xdr:colOff>
      <xdr:row>37</xdr:row>
      <xdr:rowOff>180976</xdr:rowOff>
    </xdr:to>
    <xdr:sp macro="" textlink="">
      <xdr:nvSpPr>
        <xdr:cNvPr id="15" name="CaixaDeTexto 14">
          <a:extLst>
            <a:ext uri="{FF2B5EF4-FFF2-40B4-BE49-F238E27FC236}">
              <a16:creationId xmlns:a16="http://schemas.microsoft.com/office/drawing/2014/main" id="{787CEAF3-6333-4BC7-A41E-F456F0E51AC9}"/>
            </a:ext>
          </a:extLst>
        </xdr:cNvPr>
        <xdr:cNvSpPr txBox="1"/>
      </xdr:nvSpPr>
      <xdr:spPr>
        <a:xfrm>
          <a:off x="148590" y="2667002"/>
          <a:ext cx="5309235" cy="53625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pt-BR" sz="900" b="1">
              <a:latin typeface="+mn-lt"/>
            </a:rPr>
            <a:t>Instruções de Preenchimento</a:t>
          </a:r>
          <a:r>
            <a:rPr lang="pt-BR" sz="900" b="1" baseline="0">
              <a:latin typeface="+mn-lt"/>
            </a:rPr>
            <a:t>:</a:t>
          </a:r>
          <a:endParaRPr lang="pt-BR" sz="900" b="1">
            <a:latin typeface="+mn-lt"/>
          </a:endParaRPr>
        </a:p>
        <a:p>
          <a:r>
            <a:rPr lang="pt-BR" sz="900" baseline="0">
              <a:solidFill>
                <a:schemeClr val="dk1"/>
              </a:solidFill>
              <a:latin typeface="+mn-lt"/>
              <a:ea typeface="+mn-ea"/>
              <a:cs typeface="+mn-cs"/>
            </a:rPr>
            <a:t>1. Preencher somente as células das planilhas "Indicadores Financeiros" e "Uniformes e EPIs" destacadas em VERDE. </a:t>
          </a:r>
        </a:p>
        <a:p>
          <a:pPr marL="0" marR="0" lvl="0" indent="0" defTabSz="914400" eaLnBrk="1" fontAlgn="auto" latinLnBrk="0" hangingPunct="1">
            <a:lnSpc>
              <a:spcPct val="100000"/>
            </a:lnSpc>
            <a:spcBef>
              <a:spcPts val="0"/>
            </a:spcBef>
            <a:spcAft>
              <a:spcPts val="0"/>
            </a:spcAft>
            <a:buClrTx/>
            <a:buSzTx/>
            <a:buFontTx/>
            <a:buNone/>
            <a:tabLst/>
            <a:defRPr/>
          </a:pPr>
          <a:r>
            <a:rPr lang="pt-BR" sz="900" baseline="0">
              <a:solidFill>
                <a:schemeClr val="dk1"/>
              </a:solidFill>
              <a:latin typeface="+mn-lt"/>
              <a:ea typeface="+mn-ea"/>
              <a:cs typeface="+mn-cs"/>
            </a:rPr>
            <a:t>2. Os campos referentes ao ISSQN – Imposto Sobre Serviços de Qualquer Natureza são editáveis e deverão ser preenchidos/confirmados sob responsabilidade da licitante verificar a alíquota vigente de cada localidade.</a:t>
          </a:r>
        </a:p>
        <a:p>
          <a:r>
            <a:rPr lang="pt-BR" sz="900" baseline="0">
              <a:latin typeface="+mn-lt"/>
            </a:rPr>
            <a:t>3. As planilhas Relatório Custo e Cronograma Físico Financeiro são calculadas automaticamente e não deverão ser alteradas. Na planilha Resumo por Localidade poderá ser escolhido o Município, porém as demais células não deverão ser alteradas.</a:t>
          </a:r>
        </a:p>
        <a:p>
          <a:r>
            <a:rPr lang="pt-BR" sz="900" baseline="0">
              <a:latin typeface="+mn-lt"/>
            </a:rPr>
            <a:t>4.  Os percentuais de encargos sociais e trabalhistas, de contingenciamento e dos parâmetros de cálculo são fixos e não devem ser alterados.</a:t>
          </a:r>
        </a:p>
        <a:p>
          <a:r>
            <a:rPr lang="pt-BR" sz="900" baseline="0">
              <a:latin typeface="+mn-lt"/>
            </a:rPr>
            <a:t>5. Os valores deverão ser apresentados com duas casas decimais e arredondamento matemático no segundo dígito.</a:t>
          </a:r>
        </a:p>
        <a:p>
          <a:pPr marL="0" indent="0"/>
          <a:r>
            <a:rPr lang="pt-BR" sz="900" baseline="0">
              <a:latin typeface="+mn-lt"/>
            </a:rPr>
            <a:t>6. O percentual de BDI é calculado igualmente para todos os postos/serviços e de acordo com o ISS de cada </a:t>
          </a:r>
          <a:r>
            <a:rPr lang="pt-BR" sz="900" baseline="0">
              <a:solidFill>
                <a:schemeClr val="dk1"/>
              </a:solidFill>
              <a:latin typeface="+mn-lt"/>
              <a:ea typeface="+mn-ea"/>
              <a:cs typeface="+mn-cs"/>
            </a:rPr>
            <a:t>município.</a:t>
          </a:r>
        </a:p>
        <a:p>
          <a:pPr marL="0" indent="0"/>
          <a:r>
            <a:rPr lang="pt-BR" sz="900"/>
            <a:t>7. As propostas deverão observar, obrigatoriamente, os valores mínimos previstos no instrumento convocatório e aqueles estabelecidos na Convenção Coletiva de Trabalho, aplicável ao sindicato de enquadramento da licitante, conforme sua atividade econômica preponderante, bem como as convenções coletivas paradigmas referidas no Edital. Havendo divergência entre instrumentos coletivos aplicáveis, deverá prevalecer a condição mais benéfica ao trabalhador, vedada a supressão ou redução de direitos.</a:t>
          </a:r>
          <a:endParaRPr lang="pt-BR" sz="900" baseline="0">
            <a:solidFill>
              <a:schemeClr val="dk1"/>
            </a:solidFill>
            <a:latin typeface="+mn-lt"/>
            <a:ea typeface="+mn-ea"/>
            <a:cs typeface="+mn-cs"/>
          </a:endParaRPr>
        </a:p>
        <a:p>
          <a:pPr marL="0" indent="0"/>
          <a:r>
            <a:rPr lang="pt-BR" sz="900" baseline="0">
              <a:solidFill>
                <a:schemeClr val="dk1"/>
              </a:solidFill>
              <a:latin typeface="+mn-lt"/>
              <a:ea typeface="+mn-ea"/>
              <a:cs typeface="+mn-cs"/>
            </a:rPr>
            <a:t>8. Conforme o § 2º do Art.59 da Lei 14.133/2021, caso a/o Comissão de Contratação/ Pregoeiro(a) entenda que seja necessário, é facultada a solicitação de qualquer esclarecimento, justificativa, comprovação ou complementação de informação, inclusive em relação a qualquer informação apresentada na planilha de composição de custos.</a:t>
          </a:r>
        </a:p>
        <a:p>
          <a:pPr marL="0" indent="0"/>
          <a:r>
            <a:rPr lang="pt-BR" sz="900" baseline="0">
              <a:solidFill>
                <a:schemeClr val="dk1"/>
              </a:solidFill>
              <a:latin typeface="+mn-lt"/>
              <a:ea typeface="+mn-ea"/>
              <a:cs typeface="+mn-cs"/>
            </a:rPr>
            <a:t>9. A licitante poderá inserir valores da despesa no campo outros (item 7) da tabela de benefícios da CCT, desde que sejam especificados.</a:t>
          </a:r>
        </a:p>
        <a:p>
          <a:pPr marL="0" marR="0" lvl="0" indent="0" defTabSz="914400" eaLnBrk="1" fontAlgn="auto" latinLnBrk="0" hangingPunct="1">
            <a:lnSpc>
              <a:spcPct val="100000"/>
            </a:lnSpc>
            <a:spcBef>
              <a:spcPts val="0"/>
            </a:spcBef>
            <a:spcAft>
              <a:spcPts val="0"/>
            </a:spcAft>
            <a:buClrTx/>
            <a:buSzTx/>
            <a:buFontTx/>
            <a:buNone/>
            <a:tabLst/>
            <a:defRPr/>
          </a:pPr>
          <a:r>
            <a:rPr lang="pt-BR" sz="900" baseline="0">
              <a:solidFill>
                <a:schemeClr val="dk1"/>
              </a:solidFill>
              <a:latin typeface="+mn-lt"/>
              <a:ea typeface="+mn-ea"/>
              <a:cs typeface="+mn-cs"/>
            </a:rPr>
            <a:t>10. Curso de Língua Brasileira de Sinais (Libras) - Conforme a Resolução do Conselho Nacional de Justiça - CNJ nº 401/2021, em contratos que envolvam atendimento ao público, devem estar previstos no instrumento de contratação postos de trabalho a serem ocupados por pessoas aptas em comunicação em Libras. No entanto, a jurisprudência do Tribunal de Contas da União – TCU indica que os custos com os cursos de treinamento, capacitação e reciclagem de Libras não poderão constar das Planilhas de Custos e Formação de Preços, pois os mesmos já deverão estar englobados nas despesas administrativas da Contratada, conforme Acórdãos da 2ª Câmara do TCU nº 64/2010 (item 1.4.1), nº 1.442/2010 (item 1.4.1.5) e nº 1.319/2010 (item 1.5.1.1.2).</a:t>
          </a:r>
        </a:p>
        <a:p>
          <a:pPr marL="0" marR="0" lvl="0" indent="0" defTabSz="914400" eaLnBrk="1" fontAlgn="auto" latinLnBrk="0" hangingPunct="1">
            <a:lnSpc>
              <a:spcPct val="100000"/>
            </a:lnSpc>
            <a:spcBef>
              <a:spcPts val="0"/>
            </a:spcBef>
            <a:spcAft>
              <a:spcPts val="0"/>
            </a:spcAft>
            <a:buClrTx/>
            <a:buSzTx/>
            <a:buFontTx/>
            <a:buNone/>
            <a:tabLst/>
            <a:defRPr/>
          </a:pPr>
          <a:r>
            <a:rPr lang="pt-BR" sz="900" baseline="0">
              <a:solidFill>
                <a:schemeClr val="dk1"/>
              </a:solidFill>
              <a:latin typeface="+mn-lt"/>
              <a:ea typeface="+mn-ea"/>
              <a:cs typeface="+mn-cs"/>
            </a:rPr>
            <a:t>11. O valor do vale-transporte adotado no orçamento estimativo da contratação foi de R$ 5,82  (ida e volta R$ 11,64). Contudo, o valor do vale-transporte constante no estudo técnico de composição de custos foi utilizado apenas para estimativa do preço referencial. Deste modo, o lançamento dos valores dos vales-transportes é de responsabilidade da licitante, que deverá informar o valor de cada localidade, observada a realidade operacional da empresa e dos funcionários.</a:t>
          </a:r>
        </a:p>
        <a:p>
          <a:endParaRPr lang="pt-BR" sz="900" baseline="0">
            <a:solidFill>
              <a:schemeClr val="dk1"/>
            </a:solidFill>
            <a:latin typeface="+mn-lt"/>
            <a:ea typeface="+mn-ea"/>
            <a:cs typeface="+mn-cs"/>
          </a:endParaRPr>
        </a:p>
        <a:p>
          <a:endParaRPr lang="pt-BR" sz="900">
            <a:latin typeface="+mn-lt"/>
          </a:endParaRPr>
        </a:p>
      </xdr:txBody>
    </xdr:sp>
    <xdr:clientData/>
  </xdr:twoCellAnchor>
  <xdr:twoCellAnchor>
    <xdr:from>
      <xdr:col>7</xdr:col>
      <xdr:colOff>238126</xdr:colOff>
      <xdr:row>10</xdr:row>
      <xdr:rowOff>19049</xdr:rowOff>
    </xdr:from>
    <xdr:to>
      <xdr:col>9</xdr:col>
      <xdr:colOff>85726</xdr:colOff>
      <xdr:row>12</xdr:row>
      <xdr:rowOff>85724</xdr:rowOff>
    </xdr:to>
    <xdr:grpSp>
      <xdr:nvGrpSpPr>
        <xdr:cNvPr id="19" name="Agrupar 18">
          <a:hlinkClick xmlns:r="http://schemas.openxmlformats.org/officeDocument/2006/relationships" r:id="rId7"/>
          <a:extLst>
            <a:ext uri="{FF2B5EF4-FFF2-40B4-BE49-F238E27FC236}">
              <a16:creationId xmlns:a16="http://schemas.microsoft.com/office/drawing/2014/main" id="{38FB571B-6857-72FF-CCDA-3AB923803246}"/>
            </a:ext>
          </a:extLst>
        </xdr:cNvPr>
        <xdr:cNvGrpSpPr/>
      </xdr:nvGrpSpPr>
      <xdr:grpSpPr>
        <a:xfrm>
          <a:off x="3838576" y="2105024"/>
          <a:ext cx="1066800" cy="447675"/>
          <a:chOff x="3838576" y="2209799"/>
          <a:chExt cx="1066800" cy="447675"/>
        </a:xfrm>
      </xdr:grpSpPr>
      <xdr:sp macro="" textlink="">
        <xdr:nvSpPr>
          <xdr:cNvPr id="17" name="Retângulo: Cantos Arredondados 16">
            <a:extLst>
              <a:ext uri="{FF2B5EF4-FFF2-40B4-BE49-F238E27FC236}">
                <a16:creationId xmlns:a16="http://schemas.microsoft.com/office/drawing/2014/main" id="{BBE597D7-E8A9-1A87-7419-595DBE9922C8}"/>
              </a:ext>
            </a:extLst>
          </xdr:cNvPr>
          <xdr:cNvSpPr/>
        </xdr:nvSpPr>
        <xdr:spPr>
          <a:xfrm>
            <a:off x="3838576" y="2209799"/>
            <a:ext cx="1066800" cy="447675"/>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ctr"/>
            <a:r>
              <a:rPr lang="pt-BR" sz="900" b="1"/>
              <a:t>Dúvidas frequentes</a:t>
            </a:r>
          </a:p>
          <a:p>
            <a:pPr algn="ctr"/>
            <a:endParaRPr lang="pt-BR" sz="900" b="1"/>
          </a:p>
        </xdr:txBody>
      </xdr:sp>
      <xdr:pic>
        <xdr:nvPicPr>
          <xdr:cNvPr id="18" name="Gráfico 17" descr="Selo ponto de interrogação com preenchimento sólido">
            <a:extLst>
              <a:ext uri="{FF2B5EF4-FFF2-40B4-BE49-F238E27FC236}">
                <a16:creationId xmlns:a16="http://schemas.microsoft.com/office/drawing/2014/main" id="{E3DD989D-0CA0-0DB8-EA86-86CF460CF51B}"/>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4629151" y="2305050"/>
            <a:ext cx="200025" cy="200025"/>
          </a:xfrm>
          <a:prstGeom prst="rect">
            <a:avLst/>
          </a:prstGeom>
          <a:scene3d>
            <a:camera prst="orthographicFront"/>
            <a:lightRig rig="threePt" dir="t"/>
          </a:scene3d>
          <a:sp3d>
            <a:bevelT/>
          </a:sp3d>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xdr:colOff>
      <xdr:row>0</xdr:row>
      <xdr:rowOff>9525</xdr:rowOff>
    </xdr:from>
    <xdr:to>
      <xdr:col>0</xdr:col>
      <xdr:colOff>866775</xdr:colOff>
      <xdr:row>0</xdr:row>
      <xdr:rowOff>282444</xdr:rowOff>
    </xdr:to>
    <xdr:pic>
      <xdr:nvPicPr>
        <xdr:cNvPr id="2" name="Imagem 1">
          <a:hlinkClick xmlns:r="http://schemas.openxmlformats.org/officeDocument/2006/relationships" r:id="rId1"/>
          <a:extLst>
            <a:ext uri="{FF2B5EF4-FFF2-40B4-BE49-F238E27FC236}">
              <a16:creationId xmlns:a16="http://schemas.microsoft.com/office/drawing/2014/main" id="{AD438EFE-9A36-4E8E-B12F-F99DC66248B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977" t="16880" r="7692" b="7811"/>
        <a:stretch/>
      </xdr:blipFill>
      <xdr:spPr>
        <a:xfrm>
          <a:off x="19050" y="9525"/>
          <a:ext cx="847725" cy="27291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146050</xdr:colOff>
      <xdr:row>112</xdr:row>
      <xdr:rowOff>168277</xdr:rowOff>
    </xdr:from>
    <xdr:to>
      <xdr:col>9</xdr:col>
      <xdr:colOff>167640</xdr:colOff>
      <xdr:row>119</xdr:row>
      <xdr:rowOff>106681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46050" y="20673697"/>
          <a:ext cx="8121650" cy="12642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indent="0"/>
          <a:r>
            <a:rPr lang="pt-BR" sz="1000" b="1">
              <a:solidFill>
                <a:schemeClr val="dk1"/>
              </a:solidFill>
              <a:latin typeface="+mn-lt"/>
              <a:ea typeface="+mn-ea"/>
              <a:cs typeface="+mn-cs"/>
            </a:rPr>
            <a:t>Fontes de Referências: </a:t>
          </a:r>
        </a:p>
        <a:p>
          <a:pPr eaLnBrk="1" fontAlgn="auto" latinLnBrk="0" hangingPunct="1"/>
          <a:r>
            <a:rPr lang="pt-BR" sz="1100">
              <a:solidFill>
                <a:schemeClr val="dk1"/>
              </a:solidFill>
              <a:effectLst/>
              <a:latin typeface="+mn-lt"/>
              <a:ea typeface="+mn-ea"/>
              <a:cs typeface="+mn-cs"/>
            </a:rPr>
            <a:t>1. CADTERC - Prestação de Serviços de Controle, Operação e Fiscalização de Portarias e Edifícios - Data base janeiro/2025 - Versão 1: novembro/ 2025. </a:t>
          </a:r>
          <a:endParaRPr lang="pt-BR" sz="1000">
            <a:effectLst/>
          </a:endParaRPr>
        </a:p>
        <a:p>
          <a:pPr eaLnBrk="1" fontAlgn="auto" latinLnBrk="0" hangingPunct="1"/>
          <a:r>
            <a:rPr lang="pt-BR" sz="1100">
              <a:solidFill>
                <a:schemeClr val="dk1"/>
              </a:solidFill>
              <a:effectLst/>
              <a:latin typeface="+mn-lt"/>
              <a:ea typeface="+mn-ea"/>
              <a:cs typeface="+mn-cs"/>
            </a:rPr>
            <a:t>2. Convenção Coletiva de Trabalho firmada entre o Sindicato das Empresas de Asseio e Conservação no Estado de São Paulo – SEAC/SP e o Sindicato dos Trabalhadores em Empresas de Prestação de Serviços de Asseio, Conservação e Limpeza Urbana de São Paulo – SIEMACO 2026/2027 - nº SP003552/2026  - vigente em 1º de janeiro de 2026 a 31 de dezembro de 2027 e a data-base da categoria em 1º de janeiro. </a:t>
          </a:r>
          <a:endParaRPr lang="pt-BR" sz="1000">
            <a:effectLst/>
          </a:endParaRPr>
        </a:p>
      </xdr:txBody>
    </xdr:sp>
    <xdr:clientData/>
  </xdr:twoCellAnchor>
  <xdr:twoCellAnchor editAs="oneCell">
    <xdr:from>
      <xdr:col>0</xdr:col>
      <xdr:colOff>76200</xdr:colOff>
      <xdr:row>0</xdr:row>
      <xdr:rowOff>28574</xdr:rowOff>
    </xdr:from>
    <xdr:to>
      <xdr:col>1</xdr:col>
      <xdr:colOff>169242</xdr:colOff>
      <xdr:row>0</xdr:row>
      <xdr:rowOff>285749</xdr:rowOff>
    </xdr:to>
    <xdr:pic>
      <xdr:nvPicPr>
        <xdr:cNvPr id="3" name="Imagem 2">
          <a:hlinkClick xmlns:r="http://schemas.openxmlformats.org/officeDocument/2006/relationships" r:id="rId1"/>
          <a:extLst>
            <a:ext uri="{FF2B5EF4-FFF2-40B4-BE49-F238E27FC236}">
              <a16:creationId xmlns:a16="http://schemas.microsoft.com/office/drawing/2014/main" id="{9CE80771-B92D-44BD-9B7F-280A43422C0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977" t="16880" r="7692" b="7811"/>
        <a:stretch/>
      </xdr:blipFill>
      <xdr:spPr>
        <a:xfrm>
          <a:off x="76200" y="28574"/>
          <a:ext cx="626442" cy="257175"/>
        </a:xfrm>
        <a:prstGeom prst="rect">
          <a:avLst/>
        </a:prstGeom>
      </xdr:spPr>
    </xdr:pic>
    <xdr:clientData/>
  </xdr:twoCellAnchor>
  <xdr:twoCellAnchor editAs="oneCell">
    <xdr:from>
      <xdr:col>0</xdr:col>
      <xdr:colOff>123825</xdr:colOff>
      <xdr:row>121</xdr:row>
      <xdr:rowOff>152400</xdr:rowOff>
    </xdr:from>
    <xdr:to>
      <xdr:col>1</xdr:col>
      <xdr:colOff>216867</xdr:colOff>
      <xdr:row>123</xdr:row>
      <xdr:rowOff>28575</xdr:rowOff>
    </xdr:to>
    <xdr:pic>
      <xdr:nvPicPr>
        <xdr:cNvPr id="4" name="Imagem 3">
          <a:hlinkClick xmlns:r="http://schemas.openxmlformats.org/officeDocument/2006/relationships" r:id="rId1"/>
          <a:extLst>
            <a:ext uri="{FF2B5EF4-FFF2-40B4-BE49-F238E27FC236}">
              <a16:creationId xmlns:a16="http://schemas.microsoft.com/office/drawing/2014/main" id="{A64C38DE-5B18-4450-9635-2B194911612F}"/>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977" t="16880" r="7692" b="7811"/>
        <a:stretch/>
      </xdr:blipFill>
      <xdr:spPr>
        <a:xfrm>
          <a:off x="123825" y="21297900"/>
          <a:ext cx="626442" cy="2571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66676</xdr:colOff>
      <xdr:row>0</xdr:row>
      <xdr:rowOff>47624</xdr:rowOff>
    </xdr:from>
    <xdr:to>
      <xdr:col>1</xdr:col>
      <xdr:colOff>657226</xdr:colOff>
      <xdr:row>1</xdr:row>
      <xdr:rowOff>94847</xdr:rowOff>
    </xdr:to>
    <xdr:pic>
      <xdr:nvPicPr>
        <xdr:cNvPr id="2" name="Imagem 1">
          <a:hlinkClick xmlns:r="http://schemas.openxmlformats.org/officeDocument/2006/relationships" r:id="rId1"/>
          <a:extLst>
            <a:ext uri="{FF2B5EF4-FFF2-40B4-BE49-F238E27FC236}">
              <a16:creationId xmlns:a16="http://schemas.microsoft.com/office/drawing/2014/main" id="{63EE76C8-F006-449C-8679-6EBBA7CBF0D1}"/>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977" t="16880" r="7692" b="7811"/>
        <a:stretch/>
      </xdr:blipFill>
      <xdr:spPr>
        <a:xfrm>
          <a:off x="333376" y="47624"/>
          <a:ext cx="590550" cy="19962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28575</xdr:rowOff>
    </xdr:from>
    <xdr:to>
      <xdr:col>0</xdr:col>
      <xdr:colOff>764244</xdr:colOff>
      <xdr:row>0</xdr:row>
      <xdr:rowOff>228600</xdr:rowOff>
    </xdr:to>
    <xdr:pic>
      <xdr:nvPicPr>
        <xdr:cNvPr id="2" name="Imagem 1">
          <a:hlinkClick xmlns:r="http://schemas.openxmlformats.org/officeDocument/2006/relationships" r:id="rId1"/>
          <a:extLst>
            <a:ext uri="{FF2B5EF4-FFF2-40B4-BE49-F238E27FC236}">
              <a16:creationId xmlns:a16="http://schemas.microsoft.com/office/drawing/2014/main" id="{313DEBF7-06CB-4981-B067-684B15A39964}"/>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977" t="16880" r="7692" b="7811"/>
        <a:stretch/>
      </xdr:blipFill>
      <xdr:spPr>
        <a:xfrm>
          <a:off x="66675" y="28575"/>
          <a:ext cx="697569" cy="2000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85725</xdr:colOff>
      <xdr:row>0</xdr:row>
      <xdr:rowOff>19050</xdr:rowOff>
    </xdr:from>
    <xdr:to>
      <xdr:col>0</xdr:col>
      <xdr:colOff>943321</xdr:colOff>
      <xdr:row>0</xdr:row>
      <xdr:rowOff>219075</xdr:rowOff>
    </xdr:to>
    <xdr:pic>
      <xdr:nvPicPr>
        <xdr:cNvPr id="2" name="Imagem 1">
          <a:hlinkClick xmlns:r="http://schemas.openxmlformats.org/officeDocument/2006/relationships" r:id="rId1"/>
          <a:extLst>
            <a:ext uri="{FF2B5EF4-FFF2-40B4-BE49-F238E27FC236}">
              <a16:creationId xmlns:a16="http://schemas.microsoft.com/office/drawing/2014/main" id="{1E27D552-7EFB-495F-A179-F935DE9710D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977" t="16880" r="7692" b="7811"/>
        <a:stretch/>
      </xdr:blipFill>
      <xdr:spPr>
        <a:xfrm>
          <a:off x="85725" y="19050"/>
          <a:ext cx="857596" cy="2000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66675</xdr:colOff>
      <xdr:row>0</xdr:row>
      <xdr:rowOff>314325</xdr:rowOff>
    </xdr:from>
    <xdr:ext cx="1233993" cy="868892"/>
    <xdr:pic>
      <xdr:nvPicPr>
        <xdr:cNvPr id="2" name="Imagem 1">
          <a:extLst>
            <a:ext uri="{FF2B5EF4-FFF2-40B4-BE49-F238E27FC236}">
              <a16:creationId xmlns:a16="http://schemas.microsoft.com/office/drawing/2014/main" id="{58FE8FA7-5583-4F2E-9EA4-AF93FE0CD6C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275" y="190500"/>
          <a:ext cx="1233993" cy="868892"/>
        </a:xfrm>
        <a:prstGeom prst="rect">
          <a:avLst/>
        </a:prstGeom>
        <a:noFill/>
        <a:ln>
          <a:noFill/>
        </a:ln>
      </xdr:spPr>
    </xdr:pic>
    <xdr:clientData/>
  </xdr:oneCellAnchor>
  <xdr:oneCellAnchor>
    <xdr:from>
      <xdr:col>1</xdr:col>
      <xdr:colOff>19050</xdr:colOff>
      <xdr:row>0</xdr:row>
      <xdr:rowOff>0</xdr:rowOff>
    </xdr:from>
    <xdr:ext cx="849841" cy="272919"/>
    <xdr:pic>
      <xdr:nvPicPr>
        <xdr:cNvPr id="4" name="Imagem 3">
          <a:hlinkClick xmlns:r="http://schemas.openxmlformats.org/officeDocument/2006/relationships" r:id="rId2"/>
          <a:extLst>
            <a:ext uri="{FF2B5EF4-FFF2-40B4-BE49-F238E27FC236}">
              <a16:creationId xmlns:a16="http://schemas.microsoft.com/office/drawing/2014/main" id="{54F4D700-F965-4BB5-80C6-7AC9AC1FC202}"/>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977" t="16880" r="7692" b="7811"/>
        <a:stretch/>
      </xdr:blipFill>
      <xdr:spPr>
        <a:xfrm>
          <a:off x="628650" y="0"/>
          <a:ext cx="849841" cy="272919"/>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1</xdr:col>
      <xdr:colOff>47625</xdr:colOff>
      <xdr:row>65</xdr:row>
      <xdr:rowOff>114300</xdr:rowOff>
    </xdr:from>
    <xdr:to>
      <xdr:col>11</xdr:col>
      <xdr:colOff>54860</xdr:colOff>
      <xdr:row>83</xdr:row>
      <xdr:rowOff>463</xdr:rowOff>
    </xdr:to>
    <xdr:pic>
      <xdr:nvPicPr>
        <xdr:cNvPr id="4" name="Imagem 3">
          <a:extLst>
            <a:ext uri="{FF2B5EF4-FFF2-40B4-BE49-F238E27FC236}">
              <a16:creationId xmlns:a16="http://schemas.microsoft.com/office/drawing/2014/main" id="{DAA9BB42-F0E6-BE4B-CE52-E667F78E83F7}"/>
            </a:ext>
          </a:extLst>
        </xdr:cNvPr>
        <xdr:cNvPicPr>
          <a:picLocks noChangeAspect="1"/>
        </xdr:cNvPicPr>
      </xdr:nvPicPr>
      <xdr:blipFill>
        <a:blip xmlns:r="http://schemas.openxmlformats.org/officeDocument/2006/relationships" r:embed="rId1"/>
        <a:stretch>
          <a:fillRect/>
        </a:stretch>
      </xdr:blipFill>
      <xdr:spPr>
        <a:xfrm>
          <a:off x="285750" y="27041475"/>
          <a:ext cx="6344535" cy="3315163"/>
        </a:xfrm>
        <a:prstGeom prst="rect">
          <a:avLst/>
        </a:prstGeom>
      </xdr:spPr>
    </xdr:pic>
    <xdr:clientData/>
  </xdr:twoCellAnchor>
  <xdr:twoCellAnchor editAs="oneCell">
    <xdr:from>
      <xdr:col>7</xdr:col>
      <xdr:colOff>10583</xdr:colOff>
      <xdr:row>111</xdr:row>
      <xdr:rowOff>162</xdr:rowOff>
    </xdr:from>
    <xdr:to>
      <xdr:col>15</xdr:col>
      <xdr:colOff>663959</xdr:colOff>
      <xdr:row>120</xdr:row>
      <xdr:rowOff>169332</xdr:rowOff>
    </xdr:to>
    <xdr:pic>
      <xdr:nvPicPr>
        <xdr:cNvPr id="2" name="Imagem 1">
          <a:extLst>
            <a:ext uri="{FF2B5EF4-FFF2-40B4-BE49-F238E27FC236}">
              <a16:creationId xmlns:a16="http://schemas.microsoft.com/office/drawing/2014/main" id="{D99BE466-CD5F-8F2E-64E7-4D8123324B61}"/>
            </a:ext>
          </a:extLst>
        </xdr:cNvPr>
        <xdr:cNvPicPr>
          <a:picLocks noChangeAspect="1"/>
        </xdr:cNvPicPr>
      </xdr:nvPicPr>
      <xdr:blipFill>
        <a:blip xmlns:r="http://schemas.openxmlformats.org/officeDocument/2006/relationships" r:embed="rId2"/>
        <a:stretch>
          <a:fillRect/>
        </a:stretch>
      </xdr:blipFill>
      <xdr:spPr>
        <a:xfrm>
          <a:off x="7143750" y="32998995"/>
          <a:ext cx="7215042" cy="287850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B1:N42"/>
  <sheetViews>
    <sheetView showGridLines="0" tabSelected="1" topLeftCell="A6" zoomScaleNormal="100" workbookViewId="0">
      <selection activeCell="L11" sqref="L11"/>
    </sheetView>
  </sheetViews>
  <sheetFormatPr defaultRowHeight="15" x14ac:dyDescent="0.25"/>
  <cols>
    <col min="1" max="1" width="2" customWidth="1"/>
    <col min="2" max="2" width="3.140625" customWidth="1"/>
    <col min="3" max="3" width="12.28515625" customWidth="1"/>
    <col min="10" max="10" width="12.140625" customWidth="1"/>
    <col min="11" max="11" width="3.42578125" customWidth="1"/>
    <col min="12" max="13" width="9.140625" customWidth="1"/>
    <col min="14" max="14" width="16.42578125" customWidth="1"/>
    <col min="15" max="15" width="3" customWidth="1"/>
  </cols>
  <sheetData>
    <row r="1" spans="2:10" ht="9" customHeight="1" thickBot="1" x14ac:dyDescent="0.3"/>
    <row r="2" spans="2:10" x14ac:dyDescent="0.25">
      <c r="B2" s="219"/>
      <c r="C2" s="220"/>
      <c r="D2" s="220"/>
      <c r="E2" s="220"/>
      <c r="F2" s="220"/>
      <c r="G2" s="220"/>
      <c r="H2" s="220"/>
      <c r="I2" s="220"/>
      <c r="J2" s="221"/>
    </row>
    <row r="3" spans="2:10" ht="23.25" x14ac:dyDescent="0.25">
      <c r="B3" s="222"/>
      <c r="F3" s="263"/>
      <c r="J3" s="223"/>
    </row>
    <row r="4" spans="2:10" ht="23.25" x14ac:dyDescent="0.25">
      <c r="B4" s="222"/>
      <c r="F4" s="264"/>
      <c r="J4" s="223"/>
    </row>
    <row r="5" spans="2:10" x14ac:dyDescent="0.25">
      <c r="B5" s="222"/>
      <c r="J5" s="223"/>
    </row>
    <row r="6" spans="2:10" ht="18.75" x14ac:dyDescent="0.3">
      <c r="B6" s="222"/>
      <c r="D6" s="224"/>
      <c r="J6" s="223"/>
    </row>
    <row r="7" spans="2:10" x14ac:dyDescent="0.25">
      <c r="B7" s="222"/>
      <c r="J7" s="223"/>
    </row>
    <row r="8" spans="2:10" x14ac:dyDescent="0.25">
      <c r="B8" s="222"/>
      <c r="J8" s="223"/>
    </row>
    <row r="9" spans="2:10" x14ac:dyDescent="0.25">
      <c r="B9" s="222"/>
      <c r="J9" s="223"/>
    </row>
    <row r="10" spans="2:10" x14ac:dyDescent="0.25">
      <c r="B10" s="222"/>
      <c r="J10" s="223"/>
    </row>
    <row r="11" spans="2:10" x14ac:dyDescent="0.25">
      <c r="B11" s="222"/>
      <c r="J11" s="223"/>
    </row>
    <row r="12" spans="2:10" x14ac:dyDescent="0.25">
      <c r="B12" s="222"/>
      <c r="J12" s="223"/>
    </row>
    <row r="13" spans="2:10" x14ac:dyDescent="0.25">
      <c r="B13" s="222"/>
      <c r="J13" s="223"/>
    </row>
    <row r="14" spans="2:10" x14ac:dyDescent="0.25">
      <c r="B14" s="222"/>
      <c r="J14" s="223"/>
    </row>
    <row r="15" spans="2:10" x14ac:dyDescent="0.25">
      <c r="B15" s="222"/>
      <c r="J15" s="223"/>
    </row>
    <row r="16" spans="2:10" x14ac:dyDescent="0.25">
      <c r="B16" s="222"/>
      <c r="J16" s="223"/>
    </row>
    <row r="17" spans="2:14" x14ac:dyDescent="0.25">
      <c r="B17" s="222"/>
      <c r="C17" s="265"/>
      <c r="J17" s="223"/>
    </row>
    <row r="18" spans="2:14" x14ac:dyDescent="0.25">
      <c r="B18" s="222"/>
      <c r="C18" s="247"/>
      <c r="D18" s="247"/>
      <c r="E18" s="247"/>
      <c r="F18" s="247"/>
      <c r="G18" s="247"/>
      <c r="H18" s="247"/>
      <c r="I18" s="247"/>
      <c r="J18" s="248"/>
      <c r="K18" s="247"/>
      <c r="L18" s="247"/>
      <c r="M18" s="247"/>
      <c r="N18" s="247"/>
    </row>
    <row r="19" spans="2:14" ht="29.25" customHeight="1" x14ac:dyDescent="0.25">
      <c r="B19" s="222"/>
      <c r="C19" s="249"/>
      <c r="D19" s="249"/>
      <c r="E19" s="249"/>
      <c r="F19" s="249"/>
      <c r="G19" s="249"/>
      <c r="H19" s="249"/>
      <c r="I19" s="249"/>
      <c r="J19" s="250"/>
      <c r="K19" s="249"/>
      <c r="L19" s="249"/>
      <c r="M19" s="249"/>
      <c r="N19" s="249"/>
    </row>
    <row r="20" spans="2:14" ht="28.5" customHeight="1" x14ac:dyDescent="0.25">
      <c r="B20" s="222"/>
      <c r="C20" s="251"/>
      <c r="D20" s="251"/>
      <c r="E20" s="251"/>
      <c r="F20" s="251"/>
      <c r="G20" s="251"/>
      <c r="H20" s="251"/>
      <c r="I20" s="251"/>
      <c r="J20" s="252"/>
      <c r="K20" s="251"/>
      <c r="L20" s="251"/>
      <c r="M20" s="251"/>
      <c r="N20" s="251"/>
    </row>
    <row r="21" spans="2:14" ht="24" customHeight="1" x14ac:dyDescent="0.25">
      <c r="B21" s="222"/>
      <c r="C21" s="251"/>
      <c r="D21" s="251"/>
      <c r="E21" s="251"/>
      <c r="F21" s="251"/>
      <c r="G21" s="251"/>
      <c r="H21" s="251"/>
      <c r="I21" s="251"/>
      <c r="J21" s="252"/>
      <c r="K21" s="251"/>
      <c r="L21" s="251"/>
      <c r="M21" s="251"/>
      <c r="N21" s="251"/>
    </row>
    <row r="22" spans="2:14" x14ac:dyDescent="0.25">
      <c r="B22" s="222"/>
      <c r="C22" s="251"/>
      <c r="D22" s="251"/>
      <c r="E22" s="251"/>
      <c r="F22" s="251"/>
      <c r="G22" s="251"/>
      <c r="H22" s="251"/>
      <c r="I22" s="251"/>
      <c r="J22" s="252"/>
      <c r="K22" s="251"/>
      <c r="L22" s="251"/>
      <c r="M22" s="251"/>
      <c r="N22" s="251"/>
    </row>
    <row r="23" spans="2:14" x14ac:dyDescent="0.25">
      <c r="B23" s="222"/>
      <c r="C23" s="251"/>
      <c r="D23" s="251"/>
      <c r="E23" s="251"/>
      <c r="F23" s="251"/>
      <c r="G23" s="251"/>
      <c r="H23" s="251"/>
      <c r="I23" s="251"/>
      <c r="J23" s="252"/>
      <c r="K23" s="251"/>
      <c r="L23" s="251"/>
      <c r="M23" s="251"/>
      <c r="N23" s="251"/>
    </row>
    <row r="24" spans="2:14" x14ac:dyDescent="0.25">
      <c r="B24" s="222"/>
      <c r="C24" s="251"/>
      <c r="D24" s="251"/>
      <c r="E24" s="251"/>
      <c r="F24" s="251"/>
      <c r="G24" s="251"/>
      <c r="H24" s="251"/>
      <c r="I24" s="251"/>
      <c r="J24" s="252"/>
      <c r="K24" s="251"/>
      <c r="L24" s="251"/>
      <c r="M24" s="251"/>
      <c r="N24" s="251"/>
    </row>
    <row r="25" spans="2:14" ht="27" customHeight="1" x14ac:dyDescent="0.25">
      <c r="B25" s="222"/>
      <c r="C25" s="251"/>
      <c r="D25" s="251"/>
      <c r="E25" s="251"/>
      <c r="F25" s="251"/>
      <c r="G25" s="251"/>
      <c r="H25" s="251"/>
      <c r="I25" s="251"/>
      <c r="J25" s="252"/>
      <c r="K25" s="251"/>
      <c r="L25" s="251"/>
      <c r="M25" s="251"/>
      <c r="N25" s="251"/>
    </row>
    <row r="26" spans="2:14" x14ac:dyDescent="0.25">
      <c r="B26" s="222"/>
      <c r="J26" s="223"/>
    </row>
    <row r="27" spans="2:14" x14ac:dyDescent="0.25">
      <c r="B27" s="222"/>
      <c r="J27" s="223"/>
    </row>
    <row r="28" spans="2:14" x14ac:dyDescent="0.25">
      <c r="B28" s="222"/>
      <c r="J28" s="223"/>
    </row>
    <row r="29" spans="2:14" x14ac:dyDescent="0.25">
      <c r="B29" s="222"/>
      <c r="J29" s="223"/>
    </row>
    <row r="30" spans="2:14" x14ac:dyDescent="0.25">
      <c r="B30" s="222"/>
      <c r="J30" s="223"/>
    </row>
    <row r="31" spans="2:14" x14ac:dyDescent="0.25">
      <c r="B31" s="222"/>
      <c r="J31" s="223"/>
    </row>
    <row r="32" spans="2:14" x14ac:dyDescent="0.25">
      <c r="B32" s="222"/>
      <c r="J32" s="223"/>
    </row>
    <row r="33" spans="2:10" x14ac:dyDescent="0.25">
      <c r="B33" s="222"/>
      <c r="J33" s="223"/>
    </row>
    <row r="34" spans="2:10" x14ac:dyDescent="0.25">
      <c r="B34" s="222"/>
      <c r="J34" s="223"/>
    </row>
    <row r="35" spans="2:10" x14ac:dyDescent="0.25">
      <c r="B35" s="222"/>
      <c r="J35" s="223"/>
    </row>
    <row r="36" spans="2:10" x14ac:dyDescent="0.25">
      <c r="B36" s="222"/>
      <c r="J36" s="223"/>
    </row>
    <row r="37" spans="2:10" x14ac:dyDescent="0.25">
      <c r="B37" s="222"/>
      <c r="J37" s="223"/>
    </row>
    <row r="38" spans="2:10" x14ac:dyDescent="0.25">
      <c r="B38" s="222"/>
      <c r="J38" s="223"/>
    </row>
    <row r="39" spans="2:10" x14ac:dyDescent="0.25">
      <c r="B39" s="222"/>
      <c r="J39" s="223"/>
    </row>
    <row r="40" spans="2:10" x14ac:dyDescent="0.25">
      <c r="B40" s="222"/>
      <c r="J40" s="223"/>
    </row>
    <row r="41" spans="2:10" x14ac:dyDescent="0.25">
      <c r="B41" s="222"/>
      <c r="J41" s="223"/>
    </row>
    <row r="42" spans="2:10" ht="15.75" thickBot="1" x14ac:dyDescent="0.3">
      <c r="B42" s="225"/>
      <c r="C42" s="226"/>
      <c r="D42" s="226"/>
      <c r="E42" s="226"/>
      <c r="F42" s="226"/>
      <c r="G42" s="226"/>
      <c r="H42" s="226"/>
      <c r="I42" s="226"/>
      <c r="J42" s="227"/>
    </row>
  </sheetData>
  <printOptions horizontalCentered="1"/>
  <pageMargins left="0.51181102362204722" right="0.51181102362204722" top="0.98425196850393704" bottom="0.78740157480314965" header="0.31496062992125984" footer="0.31496062992125984"/>
  <pageSetup paperSize="9" firstPageNumber="102" orientation="portrait" useFirstPageNumber="1" verticalDpi="599" r:id="rId1"/>
  <headerFooter>
    <oddHeader>&amp;C&amp;"-,Negrito"&amp;18ANEXO IX&amp;12
Planilha de Composição de Custos</oddHead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sheetPr>
  <dimension ref="A1:J21"/>
  <sheetViews>
    <sheetView zoomScaleNormal="100" workbookViewId="0">
      <selection activeCell="P23" sqref="P23"/>
    </sheetView>
  </sheetViews>
  <sheetFormatPr defaultColWidth="9.140625" defaultRowHeight="12" x14ac:dyDescent="0.2"/>
  <cols>
    <col min="1" max="1" width="23.5703125" style="9" customWidth="1"/>
    <col min="2" max="2" width="34.85546875" style="9" customWidth="1"/>
    <col min="3" max="3" width="18.42578125" style="9" customWidth="1"/>
    <col min="4" max="4" width="10.85546875" style="9" customWidth="1"/>
    <col min="5" max="5" width="16" style="9" customWidth="1"/>
    <col min="6" max="6" width="8.140625" style="9" customWidth="1"/>
    <col min="7" max="7" width="5.85546875" style="9" customWidth="1"/>
    <col min="8" max="8" width="6.5703125" style="9" customWidth="1"/>
    <col min="9" max="16384" width="9.140625" style="9"/>
  </cols>
  <sheetData>
    <row r="1" spans="1:10" ht="24.75" customHeight="1" x14ac:dyDescent="0.2">
      <c r="A1" s="286" t="s">
        <v>0</v>
      </c>
      <c r="B1" s="287"/>
      <c r="C1" s="287"/>
      <c r="D1" s="287"/>
      <c r="E1" s="287"/>
      <c r="F1" s="287"/>
      <c r="G1" s="287"/>
      <c r="H1" s="288"/>
      <c r="I1" s="8"/>
    </row>
    <row r="2" spans="1:10" ht="24" customHeight="1" x14ac:dyDescent="0.2">
      <c r="A2" s="10" t="s">
        <v>1</v>
      </c>
      <c r="B2" s="278"/>
      <c r="C2" s="280"/>
      <c r="D2" s="281" t="s">
        <v>2</v>
      </c>
      <c r="E2" s="282"/>
      <c r="F2" s="278"/>
      <c r="G2" s="279"/>
      <c r="H2" s="280"/>
      <c r="I2" s="8"/>
      <c r="J2" s="11" t="s">
        <v>3</v>
      </c>
    </row>
    <row r="3" spans="1:10" ht="18.75" customHeight="1" x14ac:dyDescent="0.2">
      <c r="A3" s="293" t="s">
        <v>4</v>
      </c>
      <c r="B3" s="293"/>
      <c r="C3" s="293"/>
      <c r="D3" s="293"/>
      <c r="E3" s="293"/>
      <c r="F3" s="293"/>
      <c r="G3" s="293"/>
      <c r="H3" s="293"/>
      <c r="I3" s="8"/>
      <c r="J3" s="11" t="s">
        <v>5</v>
      </c>
    </row>
    <row r="4" spans="1:10" ht="18" customHeight="1" x14ac:dyDescent="0.2">
      <c r="A4" s="12" t="s">
        <v>6</v>
      </c>
      <c r="B4" s="278"/>
      <c r="C4" s="279"/>
      <c r="D4" s="279"/>
      <c r="E4" s="279"/>
      <c r="F4" s="279"/>
      <c r="G4" s="279"/>
      <c r="H4" s="280"/>
      <c r="I4" s="8"/>
    </row>
    <row r="5" spans="1:10" ht="18" customHeight="1" x14ac:dyDescent="0.2">
      <c r="A5" s="12" t="s">
        <v>7</v>
      </c>
      <c r="B5" s="278"/>
      <c r="C5" s="279"/>
      <c r="D5" s="279"/>
      <c r="E5" s="279"/>
      <c r="F5" s="279"/>
      <c r="G5" s="279"/>
      <c r="H5" s="280"/>
      <c r="I5" s="8"/>
    </row>
    <row r="6" spans="1:10" ht="18" customHeight="1" x14ac:dyDescent="0.2">
      <c r="A6" s="12" t="s">
        <v>8</v>
      </c>
      <c r="B6" s="278"/>
      <c r="C6" s="279"/>
      <c r="D6" s="279"/>
      <c r="E6" s="279"/>
      <c r="F6" s="279"/>
      <c r="G6" s="279"/>
      <c r="H6" s="280"/>
      <c r="I6" s="8"/>
    </row>
    <row r="7" spans="1:10" ht="18" customHeight="1" x14ac:dyDescent="0.2">
      <c r="A7" s="12" t="s">
        <v>9</v>
      </c>
      <c r="B7" s="278"/>
      <c r="C7" s="280"/>
      <c r="D7" s="13" t="s">
        <v>10</v>
      </c>
      <c r="E7" s="278"/>
      <c r="F7" s="280"/>
      <c r="G7" s="14" t="s">
        <v>11</v>
      </c>
      <c r="H7" s="15"/>
      <c r="I7" s="8"/>
    </row>
    <row r="8" spans="1:10" ht="18" customHeight="1" x14ac:dyDescent="0.2">
      <c r="A8" s="12" t="s">
        <v>12</v>
      </c>
      <c r="B8" s="106"/>
      <c r="C8" s="16" t="s">
        <v>13</v>
      </c>
      <c r="D8" s="283"/>
      <c r="E8" s="284"/>
      <c r="F8" s="284"/>
      <c r="G8" s="284"/>
      <c r="H8" s="285"/>
      <c r="I8" s="8"/>
    </row>
    <row r="9" spans="1:10" ht="24.75" customHeight="1" x14ac:dyDescent="0.2">
      <c r="A9" s="12" t="s">
        <v>14</v>
      </c>
      <c r="B9" s="278"/>
      <c r="C9" s="279"/>
      <c r="D9" s="279"/>
      <c r="E9" s="279"/>
      <c r="F9" s="279"/>
      <c r="G9" s="279"/>
      <c r="H9" s="280"/>
      <c r="I9" s="8"/>
    </row>
    <row r="10" spans="1:10" ht="21.75" customHeight="1" x14ac:dyDescent="0.2">
      <c r="A10" s="293" t="s">
        <v>15</v>
      </c>
      <c r="B10" s="293"/>
      <c r="C10" s="293"/>
      <c r="D10" s="293"/>
      <c r="E10" s="293"/>
      <c r="F10" s="293"/>
      <c r="G10" s="293"/>
      <c r="H10" s="293"/>
      <c r="I10" s="8"/>
    </row>
    <row r="11" spans="1:10" ht="36" x14ac:dyDescent="0.2">
      <c r="A11" s="289" t="s">
        <v>16</v>
      </c>
      <c r="B11" s="289" t="s">
        <v>17</v>
      </c>
      <c r="C11" s="289" t="s">
        <v>14</v>
      </c>
      <c r="D11" s="289"/>
      <c r="E11" s="289" t="s">
        <v>13</v>
      </c>
      <c r="F11" s="110" t="s">
        <v>18</v>
      </c>
      <c r="G11" s="295" t="s">
        <v>19</v>
      </c>
      <c r="H11" s="295"/>
      <c r="I11" s="8"/>
    </row>
    <row r="12" spans="1:10" x14ac:dyDescent="0.2">
      <c r="A12" s="289"/>
      <c r="B12" s="289"/>
      <c r="C12" s="289"/>
      <c r="D12" s="289"/>
      <c r="E12" s="289"/>
      <c r="F12" s="107" t="s">
        <v>20</v>
      </c>
      <c r="G12" s="294" t="s">
        <v>20</v>
      </c>
      <c r="H12" s="294"/>
      <c r="I12" s="8"/>
    </row>
    <row r="13" spans="1:10" ht="34.5" customHeight="1" x14ac:dyDescent="0.2">
      <c r="A13" s="15"/>
      <c r="B13" s="15"/>
      <c r="C13" s="278"/>
      <c r="D13" s="280"/>
      <c r="E13" s="15"/>
      <c r="F13" s="17"/>
      <c r="G13" s="291"/>
      <c r="H13" s="292"/>
      <c r="I13" s="8"/>
    </row>
    <row r="14" spans="1:10" ht="34.5" customHeight="1" x14ac:dyDescent="0.2">
      <c r="A14" s="15"/>
      <c r="B14" s="15"/>
      <c r="C14" s="278"/>
      <c r="D14" s="280"/>
      <c r="E14" s="15"/>
      <c r="F14" s="17"/>
      <c r="G14" s="291"/>
      <c r="H14" s="292"/>
      <c r="I14" s="8"/>
    </row>
    <row r="15" spans="1:10" ht="34.5" customHeight="1" x14ac:dyDescent="0.2">
      <c r="A15" s="15"/>
      <c r="B15" s="15"/>
      <c r="C15" s="278"/>
      <c r="D15" s="280"/>
      <c r="E15" s="15"/>
      <c r="F15" s="17"/>
      <c r="G15" s="291"/>
      <c r="H15" s="292"/>
      <c r="I15" s="8"/>
    </row>
    <row r="16" spans="1:10" ht="34.5" customHeight="1" x14ac:dyDescent="0.2">
      <c r="A16" s="15"/>
      <c r="B16" s="15"/>
      <c r="C16" s="278"/>
      <c r="D16" s="280"/>
      <c r="E16" s="15"/>
      <c r="F16" s="17"/>
      <c r="G16" s="291"/>
      <c r="H16" s="292"/>
      <c r="I16" s="8"/>
    </row>
    <row r="17" spans="1:9" ht="34.5" customHeight="1" x14ac:dyDescent="0.2">
      <c r="A17" s="15"/>
      <c r="B17" s="15"/>
      <c r="C17" s="278"/>
      <c r="D17" s="280"/>
      <c r="E17" s="15"/>
      <c r="F17" s="17"/>
      <c r="G17" s="291"/>
      <c r="H17" s="292"/>
      <c r="I17" s="8"/>
    </row>
    <row r="18" spans="1:9" ht="34.5" customHeight="1" x14ac:dyDescent="0.2">
      <c r="A18" s="15"/>
      <c r="B18" s="15"/>
      <c r="C18" s="278"/>
      <c r="D18" s="280"/>
      <c r="E18" s="15"/>
      <c r="F18" s="17"/>
      <c r="G18" s="291"/>
      <c r="H18" s="292"/>
      <c r="I18" s="8"/>
    </row>
    <row r="19" spans="1:9" ht="19.5" customHeight="1" x14ac:dyDescent="0.2">
      <c r="A19" s="108" t="s">
        <v>21</v>
      </c>
      <c r="B19" s="108" t="s">
        <v>22</v>
      </c>
      <c r="C19" s="289" t="s">
        <v>23</v>
      </c>
      <c r="D19" s="289"/>
      <c r="E19" s="289"/>
      <c r="F19" s="289"/>
      <c r="G19" s="289"/>
      <c r="H19" s="289"/>
      <c r="I19" s="8"/>
    </row>
    <row r="20" spans="1:9" ht="29.25" customHeight="1" x14ac:dyDescent="0.2">
      <c r="A20" s="109"/>
      <c r="B20" s="18"/>
      <c r="C20" s="290"/>
      <c r="D20" s="290"/>
      <c r="E20" s="290"/>
      <c r="F20" s="290"/>
      <c r="G20" s="290"/>
      <c r="H20" s="290"/>
      <c r="I20" s="8"/>
    </row>
    <row r="21" spans="1:9" x14ac:dyDescent="0.2">
      <c r="A21" s="19"/>
      <c r="B21" s="19"/>
      <c r="C21" s="19"/>
      <c r="D21" s="19"/>
      <c r="E21" s="19"/>
      <c r="F21" s="19"/>
      <c r="G21" s="19"/>
      <c r="H21" s="19"/>
    </row>
  </sheetData>
  <mergeCells count="33">
    <mergeCell ref="G15:H15"/>
    <mergeCell ref="C16:D16"/>
    <mergeCell ref="G16:H16"/>
    <mergeCell ref="G12:H12"/>
    <mergeCell ref="C13:D13"/>
    <mergeCell ref="G13:H13"/>
    <mergeCell ref="C14:D14"/>
    <mergeCell ref="C11:D12"/>
    <mergeCell ref="E11:E12"/>
    <mergeCell ref="G11:H11"/>
    <mergeCell ref="A1:H1"/>
    <mergeCell ref="E7:F7"/>
    <mergeCell ref="B2:C2"/>
    <mergeCell ref="C19:H19"/>
    <mergeCell ref="C20:H20"/>
    <mergeCell ref="C17:D17"/>
    <mergeCell ref="G17:H17"/>
    <mergeCell ref="C18:D18"/>
    <mergeCell ref="G18:H18"/>
    <mergeCell ref="C15:D15"/>
    <mergeCell ref="A3:H3"/>
    <mergeCell ref="F2:H2"/>
    <mergeCell ref="G14:H14"/>
    <mergeCell ref="A10:H10"/>
    <mergeCell ref="A11:A12"/>
    <mergeCell ref="B11:B12"/>
    <mergeCell ref="B9:H9"/>
    <mergeCell ref="B7:C7"/>
    <mergeCell ref="D2:E2"/>
    <mergeCell ref="D8:H8"/>
    <mergeCell ref="B4:H4"/>
    <mergeCell ref="B5:H5"/>
    <mergeCell ref="B6:H6"/>
  </mergeCells>
  <dataValidations count="1">
    <dataValidation type="list" allowBlank="1" showInputMessage="1" showErrorMessage="1" sqref="F13:H18" xr:uid="{00000000-0002-0000-0100-000000000000}">
      <formula1>$J$1:$J$3</formula1>
    </dataValidation>
  </dataValidations>
  <printOptions horizontalCentered="1"/>
  <pageMargins left="0.51181102362204722" right="0.19685039370078741" top="0.78740157480314965" bottom="0.78740157480314965" header="0.31496062992125984" footer="0.31496062992125984"/>
  <pageSetup paperSize="9" scale="75" orientation="portrait" verticalDpi="599" r:id="rId1"/>
  <headerFooter>
    <oddHeader>&amp;C&amp;"-,Negrito"PLANILHA DE COMPOSIÇÃO DE CUSTOS
DADOS CADASTRAIS</oddHeader>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T171"/>
  <sheetViews>
    <sheetView showGridLines="0" topLeftCell="A66" zoomScaleNormal="100" workbookViewId="0">
      <selection activeCell="J21" sqref="J21"/>
    </sheetView>
  </sheetViews>
  <sheetFormatPr defaultColWidth="9.140625" defaultRowHeight="15" customHeight="1" x14ac:dyDescent="0.2"/>
  <cols>
    <col min="1" max="1" width="8" style="69" customWidth="1"/>
    <col min="2" max="2" width="35.42578125" style="69" bestFit="1" customWidth="1"/>
    <col min="3" max="3" width="10.140625" style="69" customWidth="1"/>
    <col min="4" max="4" width="7.7109375" style="69" customWidth="1"/>
    <col min="5" max="5" width="9.5703125" style="69" customWidth="1"/>
    <col min="6" max="6" width="11.42578125" style="69" bestFit="1" customWidth="1"/>
    <col min="7" max="7" width="8" style="69" customWidth="1"/>
    <col min="8" max="8" width="16.7109375" style="69" bestFit="1" customWidth="1"/>
    <col min="9" max="9" width="12.140625" style="69" bestFit="1" customWidth="1"/>
    <col min="10" max="10" width="10.28515625" style="69" bestFit="1" customWidth="1"/>
    <col min="11" max="11" width="11.28515625" style="9" bestFit="1" customWidth="1"/>
    <col min="12" max="12" width="12.140625" style="9" bestFit="1" customWidth="1"/>
    <col min="13" max="13" width="15.140625" style="52" customWidth="1"/>
    <col min="14" max="14" width="2.42578125" style="52" customWidth="1"/>
    <col min="15" max="15" width="9.140625" style="9"/>
    <col min="16" max="16" width="10.5703125" style="9" bestFit="1" customWidth="1"/>
    <col min="17" max="16384" width="9.140625" style="9"/>
  </cols>
  <sheetData>
    <row r="1" spans="1:20" ht="23.25" customHeight="1" x14ac:dyDescent="0.2">
      <c r="A1" s="327" t="s">
        <v>24</v>
      </c>
      <c r="B1" s="327"/>
      <c r="C1" s="327"/>
      <c r="D1" s="327"/>
      <c r="E1" s="327"/>
      <c r="F1" s="327"/>
      <c r="G1" s="327"/>
      <c r="H1" s="327"/>
      <c r="I1" s="327"/>
      <c r="J1" s="327"/>
      <c r="L1" s="80"/>
      <c r="M1" s="50" t="s">
        <v>5</v>
      </c>
      <c r="N1" s="50" t="s">
        <v>25</v>
      </c>
      <c r="O1" s="11"/>
      <c r="P1" s="11"/>
      <c r="Q1" s="11"/>
      <c r="R1" s="11"/>
      <c r="S1" s="80"/>
      <c r="T1" s="80"/>
    </row>
    <row r="2" spans="1:20" ht="13.9" customHeight="1" x14ac:dyDescent="0.2">
      <c r="A2" s="328" t="s">
        <v>6</v>
      </c>
      <c r="B2" s="328"/>
      <c r="C2" s="328"/>
      <c r="D2" s="328"/>
      <c r="E2" s="328"/>
      <c r="F2" s="331" t="str">
        <f>IF('Dados Cadastrais'!B4=0,"",'Dados Cadastrais'!B4)</f>
        <v/>
      </c>
      <c r="G2" s="331"/>
      <c r="H2" s="331"/>
      <c r="I2" s="331"/>
      <c r="J2" s="331"/>
      <c r="K2" s="8"/>
      <c r="L2" s="80"/>
      <c r="M2" s="11" t="s">
        <v>3</v>
      </c>
      <c r="N2" s="50" t="s">
        <v>26</v>
      </c>
      <c r="O2" s="11"/>
      <c r="P2" s="11"/>
      <c r="Q2" s="11"/>
      <c r="R2" s="11"/>
      <c r="S2" s="80"/>
      <c r="T2" s="80"/>
    </row>
    <row r="3" spans="1:20" ht="13.9" customHeight="1" x14ac:dyDescent="0.2">
      <c r="A3" s="328" t="s">
        <v>7</v>
      </c>
      <c r="B3" s="328"/>
      <c r="C3" s="328"/>
      <c r="D3" s="328"/>
      <c r="E3" s="328"/>
      <c r="F3" s="308" t="str">
        <f>IF('Dados Cadastrais'!B5=0,"",'Dados Cadastrais'!B5)</f>
        <v/>
      </c>
      <c r="G3" s="309"/>
      <c r="H3" s="309"/>
      <c r="I3" s="309"/>
      <c r="J3" s="310"/>
      <c r="K3" s="8"/>
      <c r="L3" s="80"/>
      <c r="M3" s="11"/>
      <c r="N3" s="50"/>
      <c r="O3" s="11"/>
      <c r="P3" s="11"/>
      <c r="Q3" s="11"/>
      <c r="R3" s="11"/>
      <c r="S3" s="80"/>
      <c r="T3" s="80"/>
    </row>
    <row r="4" spans="1:20" ht="13.9" customHeight="1" x14ac:dyDescent="0.2">
      <c r="A4" s="328" t="s">
        <v>27</v>
      </c>
      <c r="B4" s="328"/>
      <c r="C4" s="328"/>
      <c r="D4" s="328"/>
      <c r="E4" s="328"/>
      <c r="F4" s="334"/>
      <c r="G4" s="335"/>
      <c r="H4" s="336"/>
      <c r="I4" s="111" t="s">
        <v>28</v>
      </c>
      <c r="J4" s="148"/>
      <c r="K4" s="8"/>
      <c r="L4" s="80"/>
      <c r="M4" s="80"/>
      <c r="N4" s="81"/>
      <c r="O4" s="80"/>
      <c r="P4" s="80"/>
      <c r="Q4" s="80"/>
      <c r="R4" s="80"/>
      <c r="S4" s="80"/>
      <c r="T4" s="80"/>
    </row>
    <row r="5" spans="1:20" ht="13.9" customHeight="1" x14ac:dyDescent="0.2">
      <c r="A5" s="330" t="s">
        <v>29</v>
      </c>
      <c r="B5" s="330"/>
      <c r="C5" s="330"/>
      <c r="D5" s="330"/>
      <c r="E5" s="330"/>
      <c r="F5" s="334" t="s">
        <v>3</v>
      </c>
      <c r="G5" s="335"/>
      <c r="H5" s="336"/>
      <c r="I5" s="337"/>
      <c r="J5" s="337"/>
      <c r="K5" s="51"/>
      <c r="L5" s="80"/>
      <c r="M5" s="80"/>
      <c r="N5" s="81"/>
      <c r="O5" s="80"/>
      <c r="P5" s="80"/>
      <c r="Q5" s="80"/>
      <c r="R5" s="80"/>
      <c r="S5" s="80"/>
      <c r="T5" s="80"/>
    </row>
    <row r="6" spans="1:20" ht="13.9" customHeight="1" x14ac:dyDescent="0.2">
      <c r="A6" s="328" t="s">
        <v>30</v>
      </c>
      <c r="B6" s="328"/>
      <c r="C6" s="328"/>
      <c r="D6" s="328"/>
      <c r="E6" s="328"/>
      <c r="F6" s="338" t="s">
        <v>26</v>
      </c>
      <c r="G6" s="338"/>
      <c r="H6" s="338"/>
      <c r="I6" s="337"/>
      <c r="J6" s="337"/>
      <c r="K6" s="51"/>
      <c r="L6" s="80"/>
      <c r="M6" s="80"/>
      <c r="N6" s="80"/>
      <c r="O6" s="80"/>
      <c r="P6" s="80"/>
      <c r="Q6" s="80"/>
      <c r="R6" s="80"/>
      <c r="S6" s="80"/>
      <c r="T6" s="80"/>
    </row>
    <row r="7" spans="1:20" ht="13.9" customHeight="1" x14ac:dyDescent="0.2">
      <c r="A7" s="328" t="s">
        <v>31</v>
      </c>
      <c r="B7" s="328"/>
      <c r="C7" s="328"/>
      <c r="D7" s="328"/>
      <c r="E7" s="328"/>
      <c r="F7" s="332"/>
      <c r="G7" s="332"/>
      <c r="H7" s="332"/>
      <c r="I7" s="332"/>
      <c r="J7" s="332"/>
      <c r="K7" s="8"/>
      <c r="L7" s="80"/>
      <c r="M7" s="80"/>
      <c r="N7" s="80"/>
      <c r="O7" s="80"/>
      <c r="P7" s="80"/>
      <c r="Q7" s="80"/>
      <c r="R7" s="80"/>
      <c r="S7" s="80"/>
      <c r="T7" s="80"/>
    </row>
    <row r="8" spans="1:20" ht="13.9" customHeight="1" x14ac:dyDescent="0.2">
      <c r="A8" s="328" t="s">
        <v>32</v>
      </c>
      <c r="B8" s="328"/>
      <c r="C8" s="328"/>
      <c r="D8" s="328"/>
      <c r="E8" s="328"/>
      <c r="F8" s="332"/>
      <c r="G8" s="332"/>
      <c r="H8" s="332"/>
      <c r="I8" s="332"/>
      <c r="J8" s="332"/>
      <c r="K8" s="8"/>
      <c r="L8" s="80"/>
      <c r="M8" s="80"/>
      <c r="N8" s="80"/>
      <c r="O8" s="80"/>
      <c r="P8" s="80"/>
      <c r="Q8" s="80"/>
      <c r="R8" s="80"/>
      <c r="S8" s="80"/>
      <c r="T8" s="80"/>
    </row>
    <row r="9" spans="1:20" ht="13.9" customHeight="1" x14ac:dyDescent="0.2">
      <c r="A9" s="328" t="s">
        <v>33</v>
      </c>
      <c r="B9" s="328"/>
      <c r="C9" s="328"/>
      <c r="D9" s="328"/>
      <c r="E9" s="328"/>
      <c r="F9" s="332"/>
      <c r="G9" s="332"/>
      <c r="H9" s="332"/>
      <c r="I9" s="332"/>
      <c r="J9" s="332"/>
      <c r="K9" s="8"/>
      <c r="L9" s="80"/>
      <c r="M9" s="80"/>
      <c r="N9" s="80"/>
      <c r="O9" s="80"/>
      <c r="P9" s="80"/>
      <c r="Q9" s="80"/>
      <c r="R9" s="80"/>
      <c r="S9" s="80"/>
      <c r="T9" s="80"/>
    </row>
    <row r="10" spans="1:20" ht="13.9" customHeight="1" x14ac:dyDescent="0.2">
      <c r="A10" s="328" t="s">
        <v>34</v>
      </c>
      <c r="B10" s="328"/>
      <c r="C10" s="328"/>
      <c r="D10" s="328"/>
      <c r="E10" s="328"/>
      <c r="F10" s="332"/>
      <c r="G10" s="332"/>
      <c r="H10" s="332"/>
      <c r="I10" s="332"/>
      <c r="J10" s="332"/>
      <c r="K10" s="8"/>
      <c r="L10" s="80"/>
      <c r="M10" s="80"/>
      <c r="N10" s="80"/>
      <c r="O10" s="80"/>
      <c r="P10" s="80"/>
      <c r="Q10" s="80"/>
      <c r="R10" s="80"/>
      <c r="S10" s="80"/>
      <c r="T10" s="80"/>
    </row>
    <row r="11" spans="1:20" ht="13.9" customHeight="1" x14ac:dyDescent="0.2">
      <c r="A11" s="328" t="s">
        <v>35</v>
      </c>
      <c r="B11" s="328"/>
      <c r="C11" s="328"/>
      <c r="D11" s="328"/>
      <c r="E11" s="328"/>
      <c r="F11" s="332"/>
      <c r="G11" s="332"/>
      <c r="H11" s="332"/>
      <c r="I11" s="332"/>
      <c r="J11" s="332"/>
      <c r="K11" s="8"/>
      <c r="L11" s="80"/>
      <c r="M11" s="80"/>
      <c r="N11" s="80"/>
      <c r="O11" s="80"/>
      <c r="P11" s="80"/>
      <c r="Q11" s="80"/>
      <c r="R11" s="80"/>
      <c r="S11" s="80"/>
      <c r="T11" s="80"/>
    </row>
    <row r="12" spans="1:20" ht="13.9" customHeight="1" x14ac:dyDescent="0.2">
      <c r="A12" s="328" t="s">
        <v>36</v>
      </c>
      <c r="B12" s="328"/>
      <c r="C12" s="328"/>
      <c r="D12" s="328"/>
      <c r="E12" s="328"/>
      <c r="F12" s="339"/>
      <c r="G12" s="340"/>
      <c r="H12" s="340"/>
      <c r="I12" s="340"/>
      <c r="J12" s="341"/>
      <c r="K12" s="8"/>
      <c r="L12" s="80"/>
      <c r="M12" s="80"/>
      <c r="N12" s="80"/>
      <c r="O12" s="80"/>
      <c r="P12" s="80"/>
      <c r="Q12" s="80"/>
      <c r="R12" s="80"/>
      <c r="S12" s="80"/>
      <c r="T12" s="80"/>
    </row>
    <row r="13" spans="1:20" ht="13.9" customHeight="1" x14ac:dyDescent="0.2">
      <c r="A13" s="328" t="s">
        <v>37</v>
      </c>
      <c r="B13" s="328"/>
      <c r="C13" s="328"/>
      <c r="D13" s="328"/>
      <c r="E13" s="328"/>
      <c r="F13" s="96">
        <v>24</v>
      </c>
      <c r="G13" s="333" t="s">
        <v>38</v>
      </c>
      <c r="H13" s="333"/>
      <c r="I13" s="333"/>
      <c r="J13" s="333"/>
      <c r="K13" s="8"/>
      <c r="L13" s="80"/>
      <c r="M13" s="80"/>
      <c r="N13" s="80"/>
      <c r="O13" s="80"/>
      <c r="P13" s="80"/>
      <c r="Q13" s="80"/>
      <c r="R13" s="80"/>
      <c r="S13" s="80"/>
      <c r="T13" s="80"/>
    </row>
    <row r="14" spans="1:20" ht="13.5" customHeight="1" x14ac:dyDescent="0.2">
      <c r="A14" s="53"/>
      <c r="B14" s="53"/>
      <c r="C14" s="53"/>
      <c r="D14" s="53"/>
      <c r="E14" s="53"/>
      <c r="F14" s="53"/>
      <c r="G14" s="53"/>
      <c r="H14" s="53"/>
      <c r="I14" s="53"/>
      <c r="J14" s="53"/>
      <c r="K14" s="8"/>
    </row>
    <row r="15" spans="1:20" ht="15" customHeight="1" x14ac:dyDescent="0.2">
      <c r="A15" s="329" t="s">
        <v>39</v>
      </c>
      <c r="B15" s="329"/>
      <c r="C15" s="329"/>
      <c r="D15" s="329"/>
      <c r="E15" s="329"/>
      <c r="F15" s="329"/>
      <c r="G15" s="329"/>
      <c r="H15" s="329"/>
      <c r="I15" s="329"/>
      <c r="J15" s="54" t="s">
        <v>40</v>
      </c>
      <c r="K15" s="8"/>
    </row>
    <row r="16" spans="1:20" ht="15" customHeight="1" x14ac:dyDescent="0.2">
      <c r="A16" s="55">
        <v>1</v>
      </c>
      <c r="B16" s="299" t="s">
        <v>41</v>
      </c>
      <c r="C16" s="300"/>
      <c r="D16" s="300"/>
      <c r="E16" s="300"/>
      <c r="F16" s="300"/>
      <c r="G16" s="300"/>
      <c r="H16" s="300"/>
      <c r="I16" s="301"/>
      <c r="J16" s="3">
        <f>IF($F$12&gt;0%,0,20%)</f>
        <v>0.2</v>
      </c>
      <c r="K16" s="8"/>
    </row>
    <row r="17" spans="1:14" ht="15" customHeight="1" x14ac:dyDescent="0.2">
      <c r="A17" s="55">
        <v>2</v>
      </c>
      <c r="B17" s="299" t="s">
        <v>42</v>
      </c>
      <c r="C17" s="300"/>
      <c r="D17" s="300"/>
      <c r="E17" s="300"/>
      <c r="F17" s="300"/>
      <c r="G17" s="300"/>
      <c r="H17" s="300"/>
      <c r="I17" s="301"/>
      <c r="J17" s="3">
        <f>IF($F$6="Simples Nacional",0,IF($F$6&lt;&gt;"",1.5%,"Informar regime tributário"))</f>
        <v>1.4999999999999999E-2</v>
      </c>
      <c r="K17" s="8"/>
    </row>
    <row r="18" spans="1:14" ht="15" customHeight="1" x14ac:dyDescent="0.2">
      <c r="A18" s="55">
        <v>3</v>
      </c>
      <c r="B18" s="299" t="s">
        <v>43</v>
      </c>
      <c r="C18" s="300"/>
      <c r="D18" s="300"/>
      <c r="E18" s="300"/>
      <c r="F18" s="300"/>
      <c r="G18" s="300"/>
      <c r="H18" s="300"/>
      <c r="I18" s="301"/>
      <c r="J18" s="3">
        <f>IF($F$6="Simples Nacional",0,IF($F$6&lt;&gt;"",1%,"Informar regime tributário"))</f>
        <v>0.01</v>
      </c>
      <c r="K18" s="8"/>
    </row>
    <row r="19" spans="1:14" ht="15" customHeight="1" x14ac:dyDescent="0.2">
      <c r="A19" s="55">
        <v>4</v>
      </c>
      <c r="B19" s="299" t="s">
        <v>44</v>
      </c>
      <c r="C19" s="300"/>
      <c r="D19" s="300"/>
      <c r="E19" s="300"/>
      <c r="F19" s="300"/>
      <c r="G19" s="300"/>
      <c r="H19" s="300"/>
      <c r="I19" s="301"/>
      <c r="J19" s="3">
        <f>IF($F$6="Simples Nacional",0,IF($F$6&lt;&gt;"",0.2%,"Informar regime tributário"))</f>
        <v>2E-3</v>
      </c>
      <c r="K19" s="8"/>
    </row>
    <row r="20" spans="1:14" ht="15" customHeight="1" x14ac:dyDescent="0.2">
      <c r="A20" s="55">
        <v>5</v>
      </c>
      <c r="B20" s="299" t="s">
        <v>45</v>
      </c>
      <c r="C20" s="300"/>
      <c r="D20" s="300"/>
      <c r="E20" s="300"/>
      <c r="F20" s="300"/>
      <c r="G20" s="300"/>
      <c r="H20" s="300"/>
      <c r="I20" s="301"/>
      <c r="J20" s="3">
        <f>IF($F$6="Simples Nacional",0,IF($F$6&lt;&gt;"",2.5%,"Informar regime tributário"))</f>
        <v>2.5000000000000001E-2</v>
      </c>
      <c r="K20" s="8"/>
    </row>
    <row r="21" spans="1:14" ht="15" customHeight="1" x14ac:dyDescent="0.2">
      <c r="A21" s="55">
        <v>6</v>
      </c>
      <c r="B21" s="299" t="s">
        <v>46</v>
      </c>
      <c r="C21" s="300"/>
      <c r="D21" s="300"/>
      <c r="E21" s="300"/>
      <c r="F21" s="300"/>
      <c r="G21" s="300"/>
      <c r="H21" s="300"/>
      <c r="I21" s="301"/>
      <c r="J21" s="3">
        <v>0.08</v>
      </c>
      <c r="K21" s="8"/>
    </row>
    <row r="22" spans="1:14" ht="15" customHeight="1" x14ac:dyDescent="0.2">
      <c r="A22" s="55">
        <v>7</v>
      </c>
      <c r="B22" s="299" t="s">
        <v>47</v>
      </c>
      <c r="C22" s="300"/>
      <c r="D22" s="300"/>
      <c r="E22" s="300"/>
      <c r="F22" s="300"/>
      <c r="G22" s="300"/>
      <c r="H22" s="300"/>
      <c r="I22" s="301"/>
      <c r="J22" s="3">
        <f>IF(A7=0,"Informar SAT",$F$7)</f>
        <v>0</v>
      </c>
      <c r="K22" s="8"/>
    </row>
    <row r="23" spans="1:14" ht="15" customHeight="1" x14ac:dyDescent="0.2">
      <c r="A23" s="55">
        <v>8</v>
      </c>
      <c r="B23" s="299" t="s">
        <v>48</v>
      </c>
      <c r="C23" s="300"/>
      <c r="D23" s="300"/>
      <c r="E23" s="300"/>
      <c r="F23" s="300"/>
      <c r="G23" s="300"/>
      <c r="H23" s="300"/>
      <c r="I23" s="301"/>
      <c r="J23" s="3">
        <f>IF($F$6="Simples Nacional",0,IF($F$6&lt;&gt;"",0.6%,"Informar regime tributário"))</f>
        <v>6.0000000000000001E-3</v>
      </c>
      <c r="K23" s="8"/>
    </row>
    <row r="24" spans="1:14" ht="15" customHeight="1" x14ac:dyDescent="0.2">
      <c r="A24" s="342" t="s">
        <v>49</v>
      </c>
      <c r="B24" s="343"/>
      <c r="C24" s="343"/>
      <c r="D24" s="343"/>
      <c r="E24" s="343"/>
      <c r="F24" s="343"/>
      <c r="G24" s="343"/>
      <c r="H24" s="343"/>
      <c r="I24" s="344"/>
      <c r="J24" s="56">
        <f>SUM(J16:J23)</f>
        <v>0.33800000000000008</v>
      </c>
      <c r="K24" s="8"/>
    </row>
    <row r="25" spans="1:14" ht="7.15" customHeight="1" x14ac:dyDescent="0.2">
      <c r="A25" s="53"/>
      <c r="B25" s="53"/>
      <c r="C25" s="53"/>
      <c r="D25" s="53"/>
      <c r="E25" s="53"/>
      <c r="F25" s="53"/>
      <c r="G25" s="53"/>
      <c r="H25" s="53"/>
      <c r="I25" s="53"/>
      <c r="J25" s="53"/>
      <c r="K25" s="8"/>
    </row>
    <row r="26" spans="1:14" ht="15" customHeight="1" x14ac:dyDescent="0.2">
      <c r="A26" s="329" t="s">
        <v>50</v>
      </c>
      <c r="B26" s="329"/>
      <c r="C26" s="329"/>
      <c r="D26" s="329"/>
      <c r="E26" s="329"/>
      <c r="F26" s="329"/>
      <c r="G26" s="329"/>
      <c r="H26" s="329"/>
      <c r="I26" s="329"/>
      <c r="J26" s="329"/>
      <c r="K26" s="8"/>
    </row>
    <row r="27" spans="1:14" ht="15" customHeight="1" x14ac:dyDescent="0.2">
      <c r="A27" s="55">
        <v>1</v>
      </c>
      <c r="B27" s="299" t="s">
        <v>51</v>
      </c>
      <c r="C27" s="300"/>
      <c r="D27" s="300"/>
      <c r="E27" s="300"/>
      <c r="F27" s="300"/>
      <c r="G27" s="300"/>
      <c r="H27" s="300"/>
      <c r="I27" s="301"/>
      <c r="J27" s="3">
        <f>ROUND(5/56,4)</f>
        <v>8.9300000000000004E-2</v>
      </c>
      <c r="K27" s="8"/>
    </row>
    <row r="28" spans="1:14" ht="15" customHeight="1" x14ac:dyDescent="0.2">
      <c r="A28" s="55">
        <v>2</v>
      </c>
      <c r="B28" s="299" t="s">
        <v>52</v>
      </c>
      <c r="C28" s="300"/>
      <c r="D28" s="300"/>
      <c r="E28" s="300"/>
      <c r="F28" s="300"/>
      <c r="G28" s="300"/>
      <c r="H28" s="300"/>
      <c r="I28" s="301"/>
      <c r="J28" s="3">
        <f>ROUND(J27/3,4)</f>
        <v>2.98E-2</v>
      </c>
      <c r="K28" s="8"/>
    </row>
    <row r="29" spans="1:14" ht="15" customHeight="1" x14ac:dyDescent="0.2">
      <c r="A29" s="55">
        <v>3</v>
      </c>
      <c r="B29" s="299" t="s">
        <v>53</v>
      </c>
      <c r="C29" s="300"/>
      <c r="D29" s="300"/>
      <c r="E29" s="300"/>
      <c r="F29" s="300"/>
      <c r="G29" s="300"/>
      <c r="H29" s="300"/>
      <c r="I29" s="301"/>
      <c r="J29" s="3">
        <f>ROUND((J27+J28)*J24,4)</f>
        <v>4.0300000000000002E-2</v>
      </c>
      <c r="K29" s="8"/>
    </row>
    <row r="30" spans="1:14" ht="15" customHeight="1" x14ac:dyDescent="0.2">
      <c r="A30" s="342" t="s">
        <v>54</v>
      </c>
      <c r="B30" s="343"/>
      <c r="C30" s="343"/>
      <c r="D30" s="343"/>
      <c r="E30" s="343"/>
      <c r="F30" s="343"/>
      <c r="G30" s="343"/>
      <c r="H30" s="343"/>
      <c r="I30" s="344"/>
      <c r="J30" s="56">
        <f>SUM(J27:J29)</f>
        <v>0.15940000000000001</v>
      </c>
      <c r="K30" s="8"/>
    </row>
    <row r="31" spans="1:14" ht="7.15" customHeight="1" x14ac:dyDescent="0.2">
      <c r="A31" s="53"/>
      <c r="B31" s="53"/>
      <c r="C31" s="53"/>
      <c r="D31" s="53"/>
      <c r="E31" s="53"/>
      <c r="F31" s="53"/>
      <c r="G31" s="53"/>
      <c r="H31" s="53"/>
      <c r="I31" s="53"/>
      <c r="J31" s="53"/>
      <c r="K31" s="8"/>
    </row>
    <row r="32" spans="1:14" ht="15" customHeight="1" x14ac:dyDescent="0.2">
      <c r="A32" s="329" t="s">
        <v>55</v>
      </c>
      <c r="B32" s="329"/>
      <c r="C32" s="329"/>
      <c r="D32" s="329"/>
      <c r="E32" s="329"/>
      <c r="F32" s="329"/>
      <c r="G32" s="329"/>
      <c r="H32" s="329"/>
      <c r="I32" s="329"/>
      <c r="J32" s="329"/>
      <c r="K32" s="8"/>
      <c r="M32" s="57"/>
      <c r="N32" s="57"/>
    </row>
    <row r="33" spans="1:13" ht="15" customHeight="1" x14ac:dyDescent="0.2">
      <c r="A33" s="55">
        <v>1</v>
      </c>
      <c r="B33" s="299" t="s">
        <v>56</v>
      </c>
      <c r="C33" s="300"/>
      <c r="D33" s="300"/>
      <c r="E33" s="300"/>
      <c r="F33" s="300"/>
      <c r="G33" s="300"/>
      <c r="H33" s="300"/>
      <c r="I33" s="301"/>
      <c r="J33" s="273">
        <f>ROUND(((120*0.6814*0.4093*0.7488*4.035%)/222.0226)*J21,4)</f>
        <v>4.0000000000000002E-4</v>
      </c>
      <c r="K33" s="8"/>
    </row>
    <row r="34" spans="1:13" ht="15" customHeight="1" x14ac:dyDescent="0.2">
      <c r="A34" s="342" t="s">
        <v>57</v>
      </c>
      <c r="B34" s="343"/>
      <c r="C34" s="343"/>
      <c r="D34" s="343"/>
      <c r="E34" s="343"/>
      <c r="F34" s="343"/>
      <c r="G34" s="343"/>
      <c r="H34" s="343"/>
      <c r="I34" s="344"/>
      <c r="J34" s="56">
        <f>J33</f>
        <v>4.0000000000000002E-4</v>
      </c>
      <c r="K34" s="8"/>
    </row>
    <row r="35" spans="1:13" ht="7.15" customHeight="1" x14ac:dyDescent="0.2">
      <c r="A35" s="53"/>
      <c r="B35" s="53"/>
      <c r="C35" s="53"/>
      <c r="D35" s="53"/>
      <c r="E35" s="53"/>
      <c r="F35" s="53"/>
      <c r="G35" s="53"/>
      <c r="H35" s="53"/>
      <c r="I35" s="53"/>
      <c r="J35" s="53"/>
      <c r="K35" s="8"/>
    </row>
    <row r="36" spans="1:13" ht="15" customHeight="1" x14ac:dyDescent="0.2">
      <c r="A36" s="329" t="s">
        <v>58</v>
      </c>
      <c r="B36" s="329"/>
      <c r="C36" s="329"/>
      <c r="D36" s="329"/>
      <c r="E36" s="329"/>
      <c r="F36" s="329"/>
      <c r="G36" s="329"/>
      <c r="H36" s="329"/>
      <c r="I36" s="329"/>
      <c r="J36" s="329"/>
      <c r="K36" s="8"/>
      <c r="M36" s="58"/>
    </row>
    <row r="37" spans="1:13" ht="15" customHeight="1" x14ac:dyDescent="0.2">
      <c r="A37" s="55">
        <v>1</v>
      </c>
      <c r="B37" s="299" t="s">
        <v>59</v>
      </c>
      <c r="C37" s="300"/>
      <c r="D37" s="300"/>
      <c r="E37" s="300"/>
      <c r="F37" s="300"/>
      <c r="G37" s="300"/>
      <c r="H37" s="300"/>
      <c r="I37" s="301"/>
      <c r="J37" s="271">
        <f>ROUND((98%*21.7429%*33)/222.0226,4)</f>
        <v>3.1699999999999999E-2</v>
      </c>
      <c r="K37" s="59"/>
      <c r="M37" s="60"/>
    </row>
    <row r="38" spans="1:13" ht="15" customHeight="1" x14ac:dyDescent="0.2">
      <c r="A38" s="55">
        <v>2</v>
      </c>
      <c r="B38" s="299" t="s">
        <v>60</v>
      </c>
      <c r="C38" s="300"/>
      <c r="D38" s="300"/>
      <c r="E38" s="300"/>
      <c r="F38" s="300"/>
      <c r="G38" s="300"/>
      <c r="H38" s="300"/>
      <c r="I38" s="301"/>
      <c r="J38" s="272">
        <f>ROUND(J37*$J$21,4)</f>
        <v>2.5000000000000001E-3</v>
      </c>
      <c r="K38" s="8"/>
      <c r="M38" s="58"/>
    </row>
    <row r="39" spans="1:13" ht="15" customHeight="1" x14ac:dyDescent="0.2">
      <c r="A39" s="55">
        <v>3</v>
      </c>
      <c r="B39" s="299" t="s">
        <v>61</v>
      </c>
      <c r="C39" s="300"/>
      <c r="D39" s="300"/>
      <c r="E39" s="300"/>
      <c r="F39" s="300"/>
      <c r="G39" s="300"/>
      <c r="H39" s="300"/>
      <c r="I39" s="301"/>
      <c r="J39" s="272">
        <f>ROUND(J38*40%,4)</f>
        <v>1E-3</v>
      </c>
      <c r="K39" s="8"/>
      <c r="M39" s="60"/>
    </row>
    <row r="40" spans="1:13" ht="15" customHeight="1" x14ac:dyDescent="0.2">
      <c r="A40" s="55">
        <v>4</v>
      </c>
      <c r="B40" s="299" t="s">
        <v>62</v>
      </c>
      <c r="C40" s="300"/>
      <c r="D40" s="300"/>
      <c r="E40" s="300"/>
      <c r="F40" s="300"/>
      <c r="G40" s="300"/>
      <c r="H40" s="300"/>
      <c r="I40" s="301"/>
      <c r="J40" s="272">
        <f>ROUND((2%*7*21.743%*0.6814)/222.0226,4)</f>
        <v>1E-4</v>
      </c>
      <c r="K40" s="8"/>
      <c r="M40" s="58"/>
    </row>
    <row r="41" spans="1:13" ht="15" customHeight="1" x14ac:dyDescent="0.2">
      <c r="A41" s="55">
        <v>5</v>
      </c>
      <c r="B41" s="299" t="s">
        <v>63</v>
      </c>
      <c r="C41" s="300"/>
      <c r="D41" s="300"/>
      <c r="E41" s="300"/>
      <c r="F41" s="300"/>
      <c r="G41" s="300"/>
      <c r="H41" s="300"/>
      <c r="I41" s="301"/>
      <c r="J41" s="272">
        <f>ROUND(J40*$J$24,4)</f>
        <v>0</v>
      </c>
      <c r="K41" s="8"/>
    </row>
    <row r="42" spans="1:13" ht="15" customHeight="1" x14ac:dyDescent="0.2">
      <c r="A42" s="55">
        <v>6</v>
      </c>
      <c r="B42" s="299" t="s">
        <v>64</v>
      </c>
      <c r="C42" s="300"/>
      <c r="D42" s="300"/>
      <c r="E42" s="300"/>
      <c r="F42" s="300"/>
      <c r="G42" s="300"/>
      <c r="H42" s="300"/>
      <c r="I42" s="301"/>
      <c r="J42" s="272">
        <f>ROUND(J40*8%*40%,4)</f>
        <v>0</v>
      </c>
      <c r="K42" s="8"/>
    </row>
    <row r="43" spans="1:13" ht="15" customHeight="1" x14ac:dyDescent="0.2">
      <c r="A43" s="55">
        <v>7</v>
      </c>
      <c r="B43" s="299" t="s">
        <v>65</v>
      </c>
      <c r="C43" s="300"/>
      <c r="D43" s="300"/>
      <c r="E43" s="300"/>
      <c r="F43" s="300"/>
      <c r="G43" s="300"/>
      <c r="H43" s="300"/>
      <c r="I43" s="301"/>
      <c r="J43" s="272">
        <f>ROUND((1%*(1/12)),4)</f>
        <v>8.0000000000000004E-4</v>
      </c>
      <c r="K43" s="8"/>
    </row>
    <row r="44" spans="1:13" ht="15" customHeight="1" x14ac:dyDescent="0.2">
      <c r="A44" s="55">
        <v>8</v>
      </c>
      <c r="B44" s="299" t="s">
        <v>66</v>
      </c>
      <c r="C44" s="300"/>
      <c r="D44" s="300"/>
      <c r="E44" s="300"/>
      <c r="F44" s="300"/>
      <c r="G44" s="300"/>
      <c r="H44" s="300"/>
      <c r="I44" s="301"/>
      <c r="J44" s="272">
        <f>ROUND((40%*8%*21.743%*(1+(J27+J28+J54+J55+J56+J57+J58+0.46%))),5)</f>
        <v>8.6099999999999996E-3</v>
      </c>
      <c r="K44" s="8"/>
    </row>
    <row r="45" spans="1:13" ht="15" customHeight="1" x14ac:dyDescent="0.2">
      <c r="A45" s="342" t="s">
        <v>67</v>
      </c>
      <c r="B45" s="343"/>
      <c r="C45" s="343"/>
      <c r="D45" s="343"/>
      <c r="E45" s="343"/>
      <c r="F45" s="343"/>
      <c r="G45" s="343"/>
      <c r="H45" s="343"/>
      <c r="I45" s="344"/>
      <c r="J45" s="56">
        <f>SUM(J37:J44)</f>
        <v>4.4710000000000007E-2</v>
      </c>
      <c r="K45" s="8"/>
    </row>
    <row r="46" spans="1:13" ht="7.15" customHeight="1" x14ac:dyDescent="0.2">
      <c r="A46" s="53"/>
      <c r="B46" s="53"/>
      <c r="C46" s="53"/>
      <c r="D46" s="53"/>
      <c r="E46" s="53"/>
      <c r="F46" s="53"/>
      <c r="G46" s="53"/>
      <c r="H46" s="53"/>
      <c r="I46" s="53"/>
      <c r="J46" s="53"/>
      <c r="K46" s="8"/>
    </row>
    <row r="47" spans="1:13" ht="15" customHeight="1" x14ac:dyDescent="0.2">
      <c r="A47" s="329" t="s">
        <v>68</v>
      </c>
      <c r="B47" s="329"/>
      <c r="C47" s="329"/>
      <c r="D47" s="329"/>
      <c r="E47" s="329"/>
      <c r="F47" s="329"/>
      <c r="G47" s="329"/>
      <c r="H47" s="329"/>
      <c r="I47" s="329"/>
      <c r="J47" s="329"/>
      <c r="K47" s="8"/>
    </row>
    <row r="48" spans="1:13" ht="15" customHeight="1" x14ac:dyDescent="0.2">
      <c r="A48" s="55">
        <v>1</v>
      </c>
      <c r="B48" s="299" t="s">
        <v>69</v>
      </c>
      <c r="C48" s="300"/>
      <c r="D48" s="300"/>
      <c r="E48" s="300"/>
      <c r="F48" s="300"/>
      <c r="G48" s="300"/>
      <c r="H48" s="300"/>
      <c r="I48" s="301"/>
      <c r="J48" s="3">
        <f>ROUND(1*8%*40%*90%,4)</f>
        <v>2.8799999999999999E-2</v>
      </c>
      <c r="K48" s="8"/>
    </row>
    <row r="49" spans="1:14" ht="15" customHeight="1" x14ac:dyDescent="0.2">
      <c r="A49" s="55">
        <v>2</v>
      </c>
      <c r="B49" s="299" t="s">
        <v>70</v>
      </c>
      <c r="C49" s="300"/>
      <c r="D49" s="300"/>
      <c r="E49" s="300"/>
      <c r="F49" s="300"/>
      <c r="G49" s="300"/>
      <c r="H49" s="300"/>
      <c r="I49" s="301"/>
      <c r="J49" s="3">
        <f>ROUND(($J$27+$J$28)*8%*40%*90%,4)</f>
        <v>3.3999999999999998E-3</v>
      </c>
      <c r="K49" s="51"/>
    </row>
    <row r="50" spans="1:14" ht="15" customHeight="1" x14ac:dyDescent="0.2">
      <c r="A50" s="55">
        <v>3</v>
      </c>
      <c r="B50" s="299" t="s">
        <v>71</v>
      </c>
      <c r="C50" s="300"/>
      <c r="D50" s="300"/>
      <c r="E50" s="300"/>
      <c r="F50" s="300"/>
      <c r="G50" s="300"/>
      <c r="H50" s="300"/>
      <c r="I50" s="301"/>
      <c r="J50" s="3">
        <f>ROUND(J27*8%*40%*90%,4)</f>
        <v>2.5999999999999999E-3</v>
      </c>
      <c r="K50" s="8"/>
    </row>
    <row r="51" spans="1:14" ht="15" customHeight="1" x14ac:dyDescent="0.2">
      <c r="A51" s="342" t="s">
        <v>72</v>
      </c>
      <c r="B51" s="343"/>
      <c r="C51" s="343"/>
      <c r="D51" s="343"/>
      <c r="E51" s="343"/>
      <c r="F51" s="343"/>
      <c r="G51" s="343"/>
      <c r="H51" s="343"/>
      <c r="I51" s="344"/>
      <c r="J51" s="56">
        <f>SUM(J48:J50)</f>
        <v>3.4799999999999998E-2</v>
      </c>
      <c r="K51" s="8"/>
    </row>
    <row r="52" spans="1:14" ht="7.15" customHeight="1" x14ac:dyDescent="0.2">
      <c r="A52" s="53"/>
      <c r="B52" s="53"/>
      <c r="C52" s="53"/>
      <c r="D52" s="53"/>
      <c r="E52" s="53"/>
      <c r="F52" s="53"/>
      <c r="G52" s="53"/>
      <c r="H52" s="53"/>
      <c r="I52" s="53"/>
      <c r="J52" s="53"/>
      <c r="K52" s="8"/>
    </row>
    <row r="53" spans="1:14" ht="15" customHeight="1" x14ac:dyDescent="0.2">
      <c r="A53" s="329" t="s">
        <v>73</v>
      </c>
      <c r="B53" s="329"/>
      <c r="C53" s="329"/>
      <c r="D53" s="329"/>
      <c r="E53" s="329"/>
      <c r="F53" s="329"/>
      <c r="G53" s="329"/>
      <c r="H53" s="329"/>
      <c r="I53" s="329"/>
      <c r="J53" s="329"/>
      <c r="K53" s="8"/>
    </row>
    <row r="54" spans="1:14" ht="13.9" customHeight="1" x14ac:dyDescent="0.2">
      <c r="A54" s="55">
        <v>1</v>
      </c>
      <c r="B54" s="299" t="s">
        <v>74</v>
      </c>
      <c r="C54" s="300"/>
      <c r="D54" s="300"/>
      <c r="E54" s="300"/>
      <c r="F54" s="300"/>
      <c r="G54" s="300"/>
      <c r="H54" s="300"/>
      <c r="I54" s="301"/>
      <c r="J54" s="271">
        <f>J27</f>
        <v>8.9300000000000004E-2</v>
      </c>
      <c r="K54" s="8"/>
    </row>
    <row r="55" spans="1:14" ht="13.9" customHeight="1" x14ac:dyDescent="0.2">
      <c r="A55" s="55">
        <v>2</v>
      </c>
      <c r="B55" s="299" t="s">
        <v>75</v>
      </c>
      <c r="C55" s="300"/>
      <c r="D55" s="300"/>
      <c r="E55" s="300"/>
      <c r="F55" s="300"/>
      <c r="G55" s="300"/>
      <c r="H55" s="300"/>
      <c r="I55" s="301"/>
      <c r="J55" s="272">
        <f>ROUND((5*0.6814)/222.0226,4)</f>
        <v>1.5299999999999999E-2</v>
      </c>
      <c r="K55" s="8"/>
    </row>
    <row r="56" spans="1:14" ht="13.9" customHeight="1" x14ac:dyDescent="0.2">
      <c r="A56" s="55">
        <v>3</v>
      </c>
      <c r="B56" s="299" t="s">
        <v>76</v>
      </c>
      <c r="C56" s="300"/>
      <c r="D56" s="300"/>
      <c r="E56" s="300"/>
      <c r="F56" s="300"/>
      <c r="G56" s="300"/>
      <c r="H56" s="300"/>
      <c r="I56" s="301"/>
      <c r="J56" s="272">
        <f>ROUND((5*0.6814*59.0714%*99.8651%*4.035%)/222.0226,4)</f>
        <v>4.0000000000000002E-4</v>
      </c>
      <c r="K56" s="8"/>
    </row>
    <row r="57" spans="1:14" ht="13.9" customHeight="1" x14ac:dyDescent="0.2">
      <c r="A57" s="55">
        <v>4</v>
      </c>
      <c r="B57" s="299" t="s">
        <v>77</v>
      </c>
      <c r="C57" s="300"/>
      <c r="D57" s="300"/>
      <c r="E57" s="300"/>
      <c r="F57" s="300"/>
      <c r="G57" s="300"/>
      <c r="H57" s="300"/>
      <c r="I57" s="301"/>
      <c r="J57" s="272">
        <f>ROUND(2.01/222.0226,4)</f>
        <v>9.1000000000000004E-3</v>
      </c>
      <c r="K57" s="8"/>
    </row>
    <row r="58" spans="1:14" ht="13.9" customHeight="1" x14ac:dyDescent="0.2">
      <c r="A58" s="55">
        <v>5</v>
      </c>
      <c r="B58" s="299" t="s">
        <v>78</v>
      </c>
      <c r="C58" s="300"/>
      <c r="D58" s="300"/>
      <c r="E58" s="300"/>
      <c r="F58" s="300"/>
      <c r="G58" s="300"/>
      <c r="H58" s="300"/>
      <c r="I58" s="301"/>
      <c r="J58" s="272">
        <f>ROUND((15*0.6814*0.611%)/222.0226,4)</f>
        <v>2.9999999999999997E-4</v>
      </c>
      <c r="K58" s="8"/>
    </row>
    <row r="59" spans="1:14" ht="13.9" customHeight="1" x14ac:dyDescent="0.2">
      <c r="A59" s="55">
        <v>6</v>
      </c>
      <c r="B59" s="299" t="s">
        <v>53</v>
      </c>
      <c r="C59" s="300"/>
      <c r="D59" s="300"/>
      <c r="E59" s="300"/>
      <c r="F59" s="300"/>
      <c r="G59" s="300"/>
      <c r="H59" s="300"/>
      <c r="I59" s="301"/>
      <c r="J59" s="272">
        <f>ROUND(SUM(J54:J58)*$J$24,4)</f>
        <v>3.8699999999999998E-2</v>
      </c>
      <c r="K59" s="8"/>
    </row>
    <row r="60" spans="1:14" ht="15" customHeight="1" x14ac:dyDescent="0.2">
      <c r="A60" s="342" t="s">
        <v>79</v>
      </c>
      <c r="B60" s="343"/>
      <c r="C60" s="343"/>
      <c r="D60" s="343"/>
      <c r="E60" s="343"/>
      <c r="F60" s="343"/>
      <c r="G60" s="343"/>
      <c r="H60" s="343"/>
      <c r="I60" s="344"/>
      <c r="J60" s="56">
        <f>SUM(J54:J59)</f>
        <v>0.15309999999999999</v>
      </c>
      <c r="K60" s="8"/>
    </row>
    <row r="61" spans="1:14" ht="7.15" customHeight="1" x14ac:dyDescent="0.2">
      <c r="A61" s="53"/>
      <c r="B61" s="53"/>
      <c r="C61" s="53"/>
      <c r="D61" s="53"/>
      <c r="E61" s="53"/>
      <c r="F61" s="53"/>
      <c r="G61" s="53"/>
      <c r="H61" s="53"/>
      <c r="I61" s="53"/>
      <c r="J61" s="53"/>
      <c r="K61" s="8"/>
    </row>
    <row r="62" spans="1:14" ht="15" customHeight="1" x14ac:dyDescent="0.2">
      <c r="A62" s="349" t="s">
        <v>80</v>
      </c>
      <c r="B62" s="349"/>
      <c r="C62" s="349"/>
      <c r="D62" s="349"/>
      <c r="E62" s="349"/>
      <c r="F62" s="349"/>
      <c r="G62" s="349"/>
      <c r="H62" s="349"/>
      <c r="I62" s="349"/>
      <c r="J62" s="61">
        <f>J60+J51+J45+J34+J30+J24</f>
        <v>0.73041000000000011</v>
      </c>
      <c r="K62" s="8"/>
    </row>
    <row r="63" spans="1:14" ht="7.15" customHeight="1" x14ac:dyDescent="0.2">
      <c r="A63" s="53"/>
      <c r="B63" s="53"/>
      <c r="C63" s="53"/>
      <c r="D63" s="53"/>
      <c r="E63" s="53"/>
      <c r="F63" s="53"/>
      <c r="G63" s="53"/>
      <c r="H63" s="53"/>
      <c r="I63" s="53"/>
      <c r="J63" s="53"/>
      <c r="K63" s="8"/>
    </row>
    <row r="64" spans="1:14" ht="15" customHeight="1" x14ac:dyDescent="0.2">
      <c r="A64" s="345" t="s">
        <v>81</v>
      </c>
      <c r="B64" s="345"/>
      <c r="C64" s="345"/>
      <c r="D64" s="345"/>
      <c r="E64" s="345"/>
      <c r="F64" s="345"/>
      <c r="G64" s="345"/>
      <c r="H64" s="345"/>
      <c r="I64" s="345"/>
      <c r="J64" s="345"/>
      <c r="K64" s="8"/>
      <c r="L64" s="52"/>
      <c r="N64" s="9"/>
    </row>
    <row r="65" spans="1:14" ht="15" customHeight="1" x14ac:dyDescent="0.2">
      <c r="A65" s="55">
        <v>1</v>
      </c>
      <c r="B65" s="308" t="s">
        <v>71</v>
      </c>
      <c r="C65" s="309"/>
      <c r="D65" s="309"/>
      <c r="E65" s="309"/>
      <c r="F65" s="309"/>
      <c r="G65" s="309"/>
      <c r="H65" s="309"/>
      <c r="I65" s="310"/>
      <c r="J65" s="3">
        <f>$J$27</f>
        <v>8.9300000000000004E-2</v>
      </c>
      <c r="K65" s="62"/>
      <c r="L65" s="52"/>
      <c r="M65" s="9"/>
      <c r="N65" s="9"/>
    </row>
    <row r="66" spans="1:14" ht="15" customHeight="1" x14ac:dyDescent="0.2">
      <c r="A66" s="55">
        <v>2</v>
      </c>
      <c r="B66" s="308" t="s">
        <v>74</v>
      </c>
      <c r="C66" s="309"/>
      <c r="D66" s="309"/>
      <c r="E66" s="309"/>
      <c r="F66" s="309"/>
      <c r="G66" s="309"/>
      <c r="H66" s="309"/>
      <c r="I66" s="310"/>
      <c r="J66" s="3">
        <f>$J$54</f>
        <v>8.9300000000000004E-2</v>
      </c>
      <c r="K66" s="62"/>
      <c r="L66" s="52"/>
      <c r="M66" s="9"/>
      <c r="N66" s="9"/>
    </row>
    <row r="67" spans="1:14" ht="15" customHeight="1" x14ac:dyDescent="0.2">
      <c r="A67" s="55">
        <v>3</v>
      </c>
      <c r="B67" s="308" t="s">
        <v>82</v>
      </c>
      <c r="C67" s="309"/>
      <c r="D67" s="309"/>
      <c r="E67" s="309"/>
      <c r="F67" s="309"/>
      <c r="G67" s="309"/>
      <c r="H67" s="309"/>
      <c r="I67" s="310"/>
      <c r="J67" s="3">
        <f>$J$28</f>
        <v>2.98E-2</v>
      </c>
      <c r="K67" s="62"/>
      <c r="L67" s="52"/>
      <c r="M67" s="9"/>
      <c r="N67" s="9"/>
    </row>
    <row r="68" spans="1:14" ht="15" customHeight="1" x14ac:dyDescent="0.2">
      <c r="A68" s="55">
        <v>4</v>
      </c>
      <c r="B68" s="308" t="s">
        <v>83</v>
      </c>
      <c r="C68" s="309"/>
      <c r="D68" s="309"/>
      <c r="E68" s="309"/>
      <c r="F68" s="309"/>
      <c r="G68" s="309"/>
      <c r="H68" s="309"/>
      <c r="I68" s="63">
        <f>$J$24</f>
        <v>0.33800000000000008</v>
      </c>
      <c r="J68" s="3">
        <f>ROUND($I$68*SUM($J$65:$J$67),4)</f>
        <v>7.0400000000000004E-2</v>
      </c>
      <c r="K68" s="62"/>
      <c r="L68" s="52"/>
      <c r="M68" s="9"/>
      <c r="N68" s="9"/>
    </row>
    <row r="69" spans="1:14" ht="15" customHeight="1" x14ac:dyDescent="0.2">
      <c r="A69" s="55">
        <v>5</v>
      </c>
      <c r="B69" s="308" t="s">
        <v>84</v>
      </c>
      <c r="C69" s="309"/>
      <c r="D69" s="309"/>
      <c r="E69" s="309"/>
      <c r="F69" s="309"/>
      <c r="G69" s="309"/>
      <c r="H69" s="309"/>
      <c r="I69" s="310"/>
      <c r="J69" s="3">
        <f>$J$51</f>
        <v>3.4799999999999998E-2</v>
      </c>
      <c r="K69" s="8"/>
      <c r="L69" s="52"/>
      <c r="N69" s="9"/>
    </row>
    <row r="70" spans="1:14" ht="15" customHeight="1" x14ac:dyDescent="0.2">
      <c r="A70" s="349" t="s">
        <v>85</v>
      </c>
      <c r="B70" s="349"/>
      <c r="C70" s="349"/>
      <c r="D70" s="349"/>
      <c r="E70" s="349"/>
      <c r="F70" s="349"/>
      <c r="G70" s="349"/>
      <c r="H70" s="349"/>
      <c r="I70" s="349"/>
      <c r="J70" s="61">
        <f>SUM(J65:J69)</f>
        <v>0.31359999999999999</v>
      </c>
      <c r="K70" s="8"/>
      <c r="L70" s="52"/>
      <c r="N70" s="9"/>
    </row>
    <row r="71" spans="1:14" ht="7.15" customHeight="1" x14ac:dyDescent="0.2">
      <c r="A71" s="53"/>
      <c r="B71" s="53"/>
      <c r="C71" s="53"/>
      <c r="D71" s="53"/>
      <c r="E71" s="53"/>
      <c r="F71" s="53"/>
      <c r="G71" s="53"/>
      <c r="H71" s="53"/>
      <c r="I71" s="53"/>
      <c r="J71" s="53"/>
      <c r="K71" s="8"/>
    </row>
    <row r="72" spans="1:14" ht="15" customHeight="1" x14ac:dyDescent="0.2">
      <c r="A72" s="345" t="s">
        <v>86</v>
      </c>
      <c r="B72" s="345"/>
      <c r="C72" s="345"/>
      <c r="D72" s="345"/>
      <c r="E72" s="345"/>
      <c r="F72" s="345"/>
      <c r="G72" s="345"/>
      <c r="H72" s="345"/>
      <c r="I72" s="345"/>
      <c r="J72" s="345"/>
      <c r="M72" s="9"/>
      <c r="N72" s="9"/>
    </row>
    <row r="73" spans="1:14" ht="15" customHeight="1" x14ac:dyDescent="0.2">
      <c r="A73" s="55">
        <v>1</v>
      </c>
      <c r="B73" s="308" t="s">
        <v>87</v>
      </c>
      <c r="C73" s="309"/>
      <c r="D73" s="309"/>
      <c r="E73" s="309"/>
      <c r="F73" s="309"/>
      <c r="G73" s="309"/>
      <c r="H73" s="309"/>
      <c r="I73" s="310"/>
      <c r="J73" s="266">
        <v>29.03</v>
      </c>
      <c r="K73" s="62"/>
      <c r="L73" s="52"/>
      <c r="M73" s="9"/>
      <c r="N73" s="9"/>
    </row>
    <row r="74" spans="1:14" ht="15" customHeight="1" x14ac:dyDescent="0.2">
      <c r="A74" s="55">
        <v>2</v>
      </c>
      <c r="B74" s="308" t="s">
        <v>88</v>
      </c>
      <c r="C74" s="309"/>
      <c r="D74" s="309"/>
      <c r="E74" s="309"/>
      <c r="F74" s="309"/>
      <c r="G74" s="309"/>
      <c r="H74" s="309"/>
      <c r="I74" s="310"/>
      <c r="J74" s="266">
        <v>20.75</v>
      </c>
      <c r="K74" s="65"/>
      <c r="L74" s="52"/>
      <c r="M74" s="9"/>
      <c r="N74" s="9"/>
    </row>
    <row r="75" spans="1:14" ht="15" customHeight="1" x14ac:dyDescent="0.2">
      <c r="A75" s="55">
        <v>3</v>
      </c>
      <c r="B75" s="308" t="s">
        <v>89</v>
      </c>
      <c r="C75" s="309"/>
      <c r="D75" s="309"/>
      <c r="E75" s="309"/>
      <c r="F75" s="309"/>
      <c r="G75" s="309"/>
      <c r="H75" s="309"/>
      <c r="I75" s="310"/>
      <c r="J75" s="23">
        <v>31</v>
      </c>
      <c r="K75" s="62"/>
      <c r="L75" s="52"/>
      <c r="M75" s="9"/>
      <c r="N75" s="9"/>
    </row>
    <row r="76" spans="1:14" ht="15" customHeight="1" x14ac:dyDescent="0.2">
      <c r="A76" s="55">
        <v>4</v>
      </c>
      <c r="B76" s="308" t="s">
        <v>90</v>
      </c>
      <c r="C76" s="309"/>
      <c r="D76" s="309"/>
      <c r="E76" s="309"/>
      <c r="F76" s="309"/>
      <c r="G76" s="309"/>
      <c r="H76" s="309"/>
      <c r="I76" s="310"/>
      <c r="J76" s="266">
        <v>21</v>
      </c>
      <c r="K76" s="62"/>
      <c r="L76" s="52"/>
      <c r="M76" s="9"/>
      <c r="N76" s="9"/>
    </row>
    <row r="77" spans="1:14" ht="15" customHeight="1" x14ac:dyDescent="0.2">
      <c r="A77" s="55">
        <v>5</v>
      </c>
      <c r="B77" s="308" t="s">
        <v>91</v>
      </c>
      <c r="C77" s="309"/>
      <c r="D77" s="309"/>
      <c r="E77" s="309"/>
      <c r="F77" s="309"/>
      <c r="G77" s="309"/>
      <c r="H77" s="309"/>
      <c r="I77" s="310"/>
      <c r="J77" s="267">
        <f xml:space="preserve"> ROUND(1/180.99*24.68,6)</f>
        <v>0.13636100000000001</v>
      </c>
      <c r="K77" s="153"/>
      <c r="L77" s="52"/>
      <c r="M77" s="9"/>
      <c r="N77" s="9"/>
    </row>
    <row r="78" spans="1:14" ht="15" customHeight="1" x14ac:dyDescent="0.2">
      <c r="A78" s="55">
        <v>6</v>
      </c>
      <c r="B78" s="308" t="s">
        <v>92</v>
      </c>
      <c r="C78" s="309"/>
      <c r="D78" s="309"/>
      <c r="E78" s="309"/>
      <c r="F78" s="309"/>
      <c r="G78" s="309"/>
      <c r="H78" s="309"/>
      <c r="I78" s="310"/>
      <c r="J78" s="267">
        <f xml:space="preserve"> ROUND(1/182.6*J74,6)</f>
        <v>0.113636</v>
      </c>
      <c r="K78" s="62"/>
      <c r="L78" s="52"/>
      <c r="M78" s="9"/>
      <c r="N78" s="9"/>
    </row>
    <row r="79" spans="1:14" ht="12" x14ac:dyDescent="0.2">
      <c r="A79" s="53"/>
      <c r="B79" s="53"/>
      <c r="C79" s="53"/>
      <c r="D79" s="53"/>
      <c r="E79" s="53"/>
      <c r="F79" s="53"/>
      <c r="G79" s="53"/>
      <c r="H79" s="53"/>
      <c r="I79" s="53"/>
      <c r="J79" s="147"/>
      <c r="K79" s="8"/>
    </row>
    <row r="80" spans="1:14" ht="15" customHeight="1" x14ac:dyDescent="0.2">
      <c r="A80" s="345" t="s">
        <v>93</v>
      </c>
      <c r="B80" s="345"/>
      <c r="C80" s="345"/>
      <c r="D80" s="345"/>
      <c r="E80" s="345"/>
      <c r="F80" s="345"/>
      <c r="G80" s="345"/>
      <c r="H80" s="345"/>
      <c r="I80" s="345"/>
      <c r="J80" s="345"/>
      <c r="M80" s="9"/>
      <c r="N80" s="9"/>
    </row>
    <row r="81" spans="1:18" ht="15" customHeight="1" x14ac:dyDescent="0.2">
      <c r="A81" s="346" t="s">
        <v>69</v>
      </c>
      <c r="B81" s="347"/>
      <c r="C81" s="347"/>
      <c r="D81" s="347"/>
      <c r="E81" s="347"/>
      <c r="F81" s="347"/>
      <c r="G81" s="347"/>
      <c r="H81" s="347"/>
      <c r="I81" s="347"/>
      <c r="J81" s="348"/>
      <c r="K81" s="8"/>
      <c r="M81" s="9"/>
      <c r="N81" s="9"/>
    </row>
    <row r="82" spans="1:18" ht="15" customHeight="1" x14ac:dyDescent="0.2">
      <c r="A82" s="55">
        <v>1</v>
      </c>
      <c r="B82" s="308" t="s">
        <v>94</v>
      </c>
      <c r="C82" s="309"/>
      <c r="D82" s="309"/>
      <c r="E82" s="309"/>
      <c r="F82" s="309"/>
      <c r="G82" s="309"/>
      <c r="H82" s="309"/>
      <c r="I82" s="310"/>
      <c r="J82" s="97"/>
      <c r="K82" s="66"/>
      <c r="L82" s="52"/>
      <c r="M82" s="9"/>
      <c r="N82" s="9"/>
    </row>
    <row r="83" spans="1:18" ht="15" customHeight="1" x14ac:dyDescent="0.2">
      <c r="A83" s="346" t="s">
        <v>95</v>
      </c>
      <c r="B83" s="347"/>
      <c r="C83" s="347"/>
      <c r="D83" s="347"/>
      <c r="E83" s="347"/>
      <c r="F83" s="347"/>
      <c r="G83" s="347"/>
      <c r="H83" s="347"/>
      <c r="I83" s="347"/>
      <c r="J83" s="348"/>
      <c r="M83" s="9"/>
      <c r="N83" s="9"/>
    </row>
    <row r="84" spans="1:18" ht="13.9" customHeight="1" x14ac:dyDescent="0.25">
      <c r="A84" s="55">
        <v>1</v>
      </c>
      <c r="B84" s="308" t="s">
        <v>96</v>
      </c>
      <c r="C84" s="309"/>
      <c r="D84" s="309"/>
      <c r="E84" s="310"/>
      <c r="F84" s="72" t="s">
        <v>97</v>
      </c>
      <c r="G84" s="97"/>
      <c r="H84" s="72" t="s">
        <v>98</v>
      </c>
      <c r="I84" s="97">
        <v>0</v>
      </c>
      <c r="J84" s="64">
        <f>G84-I84</f>
        <v>0</v>
      </c>
      <c r="L84"/>
      <c r="M84" s="9"/>
      <c r="N84" s="9"/>
    </row>
    <row r="85" spans="1:18" ht="13.9" customHeight="1" x14ac:dyDescent="0.25">
      <c r="A85" s="55">
        <v>2</v>
      </c>
      <c r="B85" s="308" t="s">
        <v>99</v>
      </c>
      <c r="C85" s="309"/>
      <c r="D85" s="309"/>
      <c r="E85" s="309"/>
      <c r="F85" s="309"/>
      <c r="G85" s="309"/>
      <c r="H85" s="309"/>
      <c r="I85" s="310"/>
      <c r="J85" s="97"/>
      <c r="K85" s="52"/>
      <c r="L85" s="214"/>
      <c r="M85" s="164"/>
      <c r="N85" s="9"/>
    </row>
    <row r="86" spans="1:18" ht="13.9" customHeight="1" x14ac:dyDescent="0.2">
      <c r="A86" s="55">
        <v>3</v>
      </c>
      <c r="B86" s="308" t="s">
        <v>100</v>
      </c>
      <c r="C86" s="309"/>
      <c r="D86" s="309"/>
      <c r="E86" s="310"/>
      <c r="F86" s="72" t="s">
        <v>97</v>
      </c>
      <c r="G86" s="97"/>
      <c r="H86" s="72" t="s">
        <v>98</v>
      </c>
      <c r="I86" s="97">
        <v>0</v>
      </c>
      <c r="J86" s="64">
        <f>G86-I86</f>
        <v>0</v>
      </c>
      <c r="M86" s="9"/>
      <c r="N86" s="9"/>
    </row>
    <row r="87" spans="1:18" ht="13.9" customHeight="1" x14ac:dyDescent="0.2">
      <c r="A87" s="55">
        <v>4</v>
      </c>
      <c r="B87" s="308" t="s">
        <v>101</v>
      </c>
      <c r="C87" s="309"/>
      <c r="D87" s="309"/>
      <c r="E87" s="309"/>
      <c r="F87" s="309"/>
      <c r="G87" s="309"/>
      <c r="H87" s="309"/>
      <c r="I87" s="310"/>
      <c r="J87" s="97"/>
      <c r="M87" s="9"/>
      <c r="N87" s="9"/>
    </row>
    <row r="88" spans="1:18" ht="13.9" customHeight="1" x14ac:dyDescent="0.2">
      <c r="A88" s="55">
        <v>5</v>
      </c>
      <c r="B88" s="308" t="s">
        <v>102</v>
      </c>
      <c r="C88" s="309"/>
      <c r="D88" s="309"/>
      <c r="E88" s="309"/>
      <c r="F88" s="309"/>
      <c r="G88" s="309"/>
      <c r="H88" s="309"/>
      <c r="I88" s="310"/>
      <c r="J88" s="97"/>
      <c r="K88" s="52"/>
      <c r="M88" s="9"/>
      <c r="N88" s="9"/>
      <c r="O88" s="80"/>
      <c r="P88" s="80"/>
      <c r="Q88" s="80"/>
      <c r="R88" s="80"/>
    </row>
    <row r="89" spans="1:18" ht="12.6" customHeight="1" x14ac:dyDescent="0.2">
      <c r="A89" s="55">
        <v>6</v>
      </c>
      <c r="B89" s="308" t="s">
        <v>103</v>
      </c>
      <c r="C89" s="309"/>
      <c r="D89" s="309"/>
      <c r="E89" s="309"/>
      <c r="F89" s="309"/>
      <c r="G89" s="309"/>
      <c r="H89" s="309"/>
      <c r="I89" s="310"/>
      <c r="J89" s="97"/>
      <c r="K89" s="80"/>
      <c r="L89" s="83"/>
      <c r="M89" s="9"/>
      <c r="N89" s="9"/>
    </row>
    <row r="90" spans="1:18" ht="13.9" customHeight="1" x14ac:dyDescent="0.2">
      <c r="A90" s="55">
        <v>7</v>
      </c>
      <c r="B90" s="322" t="s">
        <v>104</v>
      </c>
      <c r="C90" s="323"/>
      <c r="D90" s="323"/>
      <c r="E90" s="323"/>
      <c r="F90" s="323"/>
      <c r="G90" s="323"/>
      <c r="H90" s="323"/>
      <c r="I90" s="324"/>
      <c r="J90" s="97"/>
      <c r="L90" s="83"/>
      <c r="M90" s="9"/>
      <c r="N90" s="9"/>
    </row>
    <row r="91" spans="1:18" ht="13.9" customHeight="1" x14ac:dyDescent="0.2">
      <c r="A91" s="55">
        <v>8</v>
      </c>
      <c r="B91" s="308" t="s">
        <v>105</v>
      </c>
      <c r="C91" s="309"/>
      <c r="D91" s="309"/>
      <c r="E91" s="310"/>
      <c r="F91" s="72" t="s">
        <v>106</v>
      </c>
      <c r="G91" s="97"/>
      <c r="H91" s="72" t="s">
        <v>98</v>
      </c>
      <c r="I91" s="97"/>
      <c r="J91" s="64">
        <f>G91-I91</f>
        <v>0</v>
      </c>
      <c r="K91" s="83"/>
      <c r="L91" s="83"/>
      <c r="M91" s="83"/>
      <c r="N91" s="9"/>
      <c r="O91" s="83"/>
      <c r="P91" s="83"/>
    </row>
    <row r="92" spans="1:18" ht="13.9" customHeight="1" x14ac:dyDescent="0.2">
      <c r="A92" s="55">
        <v>9</v>
      </c>
      <c r="B92" s="308" t="s">
        <v>107</v>
      </c>
      <c r="C92" s="309"/>
      <c r="D92" s="309"/>
      <c r="E92" s="310"/>
      <c r="F92" s="72" t="s">
        <v>97</v>
      </c>
      <c r="G92" s="97"/>
      <c r="H92" s="72" t="s">
        <v>108</v>
      </c>
      <c r="I92" s="266">
        <v>0.88</v>
      </c>
      <c r="J92" s="64">
        <f>G92*I92</f>
        <v>0</v>
      </c>
      <c r="K92" s="51"/>
      <c r="L92" s="83"/>
      <c r="M92" s="83"/>
      <c r="N92" s="9"/>
      <c r="O92" s="83"/>
      <c r="P92" s="83"/>
    </row>
    <row r="93" spans="1:18" ht="21.75" customHeight="1" x14ac:dyDescent="0.2">
      <c r="A93" s="53"/>
      <c r="B93" s="53"/>
      <c r="C93" s="53"/>
      <c r="D93" s="53"/>
      <c r="E93" s="53"/>
      <c r="F93" s="53"/>
      <c r="G93" s="53"/>
      <c r="H93" s="53"/>
      <c r="I93" s="53"/>
      <c r="J93" s="53"/>
      <c r="K93" s="8"/>
      <c r="M93" s="146"/>
    </row>
    <row r="94" spans="1:18" ht="15" customHeight="1" x14ac:dyDescent="0.2">
      <c r="A94" s="311" t="s">
        <v>109</v>
      </c>
      <c r="B94" s="311"/>
      <c r="C94" s="311"/>
      <c r="D94" s="311"/>
      <c r="E94" s="311"/>
      <c r="F94" s="311"/>
      <c r="G94" s="311"/>
      <c r="H94" s="311"/>
      <c r="I94" s="311"/>
      <c r="J94" s="311"/>
      <c r="K94" s="62"/>
      <c r="L94" s="52"/>
      <c r="O94" s="52"/>
      <c r="P94" s="52"/>
      <c r="Q94" s="52"/>
      <c r="R94" s="52"/>
    </row>
    <row r="95" spans="1:18" ht="48" x14ac:dyDescent="0.2">
      <c r="A95" s="47" t="s">
        <v>110</v>
      </c>
      <c r="B95" s="5" t="s">
        <v>111</v>
      </c>
      <c r="C95" s="321" t="s">
        <v>112</v>
      </c>
      <c r="D95" s="321"/>
      <c r="E95" s="44" t="s">
        <v>113</v>
      </c>
      <c r="F95" s="317" t="s">
        <v>114</v>
      </c>
      <c r="G95" s="318"/>
      <c r="H95" s="47" t="s">
        <v>115</v>
      </c>
      <c r="I95" s="325" t="s">
        <v>116</v>
      </c>
      <c r="J95" s="326"/>
      <c r="K95" s="66"/>
      <c r="L95" s="83"/>
      <c r="M95" s="9"/>
      <c r="N95" s="9"/>
    </row>
    <row r="96" spans="1:18" ht="36" x14ac:dyDescent="0.2">
      <c r="A96" s="48">
        <v>680019</v>
      </c>
      <c r="B96" s="49" t="s">
        <v>117</v>
      </c>
      <c r="C96" s="312" t="s">
        <v>118</v>
      </c>
      <c r="D96" s="312"/>
      <c r="E96" s="155">
        <f>J77</f>
        <v>0.13636100000000001</v>
      </c>
      <c r="F96" s="313">
        <v>1.29</v>
      </c>
      <c r="G96" s="314"/>
      <c r="H96" s="97"/>
      <c r="I96" s="319"/>
      <c r="J96" s="320"/>
      <c r="K96" s="268"/>
      <c r="L96" s="83"/>
      <c r="M96" s="83"/>
      <c r="N96" s="9"/>
    </row>
    <row r="97" spans="1:14" ht="36" x14ac:dyDescent="0.2">
      <c r="A97" s="67">
        <v>680020</v>
      </c>
      <c r="B97" s="49" t="s">
        <v>119</v>
      </c>
      <c r="C97" s="312" t="s">
        <v>118</v>
      </c>
      <c r="D97" s="312"/>
      <c r="E97" s="155">
        <f>J78</f>
        <v>0.113636</v>
      </c>
      <c r="F97" s="315">
        <v>1</v>
      </c>
      <c r="G97" s="316"/>
      <c r="H97" s="97"/>
      <c r="I97" s="319"/>
      <c r="J97" s="320"/>
      <c r="K97" s="95"/>
      <c r="L97" s="83"/>
      <c r="M97" s="83"/>
      <c r="N97" s="9"/>
    </row>
    <row r="98" spans="1:14" ht="15" customHeight="1" x14ac:dyDescent="0.2">
      <c r="A98" s="6"/>
      <c r="B98" s="6"/>
      <c r="C98" s="6"/>
      <c r="D98" s="6"/>
      <c r="E98" s="6"/>
      <c r="F98" s="6"/>
      <c r="G98" s="6"/>
      <c r="H98" s="6"/>
      <c r="I98" s="6"/>
      <c r="J98" s="6"/>
      <c r="K98" s="95"/>
      <c r="M98" s="83"/>
    </row>
    <row r="99" spans="1:14" ht="15" customHeight="1" x14ac:dyDescent="0.2">
      <c r="A99" s="311" t="s">
        <v>120</v>
      </c>
      <c r="B99" s="311"/>
      <c r="C99" s="311"/>
      <c r="D99" s="311"/>
      <c r="E99" s="311"/>
      <c r="F99" s="311"/>
      <c r="G99" s="311"/>
      <c r="H99" s="311"/>
      <c r="I99" s="311"/>
      <c r="J99" s="311"/>
    </row>
    <row r="100" spans="1:14" ht="36" x14ac:dyDescent="0.2">
      <c r="A100" s="5" t="s">
        <v>308</v>
      </c>
      <c r="B100" s="274" t="s">
        <v>21</v>
      </c>
      <c r="C100" s="275"/>
      <c r="D100" s="275"/>
      <c r="E100" s="275"/>
      <c r="F100" s="276"/>
      <c r="G100" s="5" t="s">
        <v>121</v>
      </c>
      <c r="H100" s="5" t="s">
        <v>122</v>
      </c>
      <c r="I100" s="5" t="s">
        <v>123</v>
      </c>
      <c r="J100" s="5" t="s">
        <v>124</v>
      </c>
    </row>
    <row r="101" spans="1:14" ht="12" x14ac:dyDescent="0.2">
      <c r="A101" s="4">
        <v>1</v>
      </c>
      <c r="B101" s="296" t="s">
        <v>300</v>
      </c>
      <c r="C101" s="297"/>
      <c r="D101" s="297"/>
      <c r="E101" s="297"/>
      <c r="F101" s="298"/>
      <c r="G101" s="98">
        <v>0.02</v>
      </c>
      <c r="H101" s="42">
        <f>ROUND((1+$F$8)*(1+$F$9)/(1-$F$11-$F$10-$F$12-$G101)-1,4)</f>
        <v>2.0400000000000001E-2</v>
      </c>
      <c r="I101" s="97"/>
      <c r="J101" s="277">
        <v>1</v>
      </c>
    </row>
    <row r="102" spans="1:14" ht="12" customHeight="1" x14ac:dyDescent="0.2">
      <c r="A102" s="4">
        <v>2</v>
      </c>
      <c r="B102" s="296" t="s">
        <v>301</v>
      </c>
      <c r="C102" s="297"/>
      <c r="D102" s="297"/>
      <c r="E102" s="297"/>
      <c r="F102" s="298"/>
      <c r="G102" s="98">
        <v>0.02</v>
      </c>
      <c r="H102" s="42">
        <f t="shared" ref="H102:H109" si="0">ROUND((1+$F$8)*(1+$F$9)/(1-$F$11-$F$10-$F$12-$G102)-1,4)</f>
        <v>2.0400000000000001E-2</v>
      </c>
      <c r="I102" s="97"/>
      <c r="J102" s="277">
        <v>1</v>
      </c>
    </row>
    <row r="103" spans="1:14" ht="12" x14ac:dyDescent="0.2">
      <c r="A103" s="4">
        <v>3</v>
      </c>
      <c r="B103" s="296" t="s">
        <v>302</v>
      </c>
      <c r="C103" s="297"/>
      <c r="D103" s="297"/>
      <c r="E103" s="297"/>
      <c r="F103" s="298"/>
      <c r="G103" s="98">
        <v>0.02</v>
      </c>
      <c r="H103" s="42">
        <f t="shared" si="0"/>
        <v>2.0400000000000001E-2</v>
      </c>
      <c r="I103" s="97"/>
      <c r="J103" s="277">
        <v>1</v>
      </c>
    </row>
    <row r="104" spans="1:14" ht="12" x14ac:dyDescent="0.2">
      <c r="A104" s="4">
        <v>4</v>
      </c>
      <c r="B104" s="296" t="s">
        <v>303</v>
      </c>
      <c r="C104" s="297"/>
      <c r="D104" s="297"/>
      <c r="E104" s="297"/>
      <c r="F104" s="298"/>
      <c r="G104" s="98">
        <v>0.02</v>
      </c>
      <c r="H104" s="42">
        <f t="shared" si="0"/>
        <v>2.0400000000000001E-2</v>
      </c>
      <c r="I104" s="97"/>
      <c r="J104" s="277">
        <v>1</v>
      </c>
    </row>
    <row r="105" spans="1:14" ht="12" x14ac:dyDescent="0.2">
      <c r="A105" s="4">
        <v>5</v>
      </c>
      <c r="B105" s="296" t="s">
        <v>304</v>
      </c>
      <c r="C105" s="297"/>
      <c r="D105" s="297"/>
      <c r="E105" s="297"/>
      <c r="F105" s="298"/>
      <c r="G105" s="98">
        <v>0.02</v>
      </c>
      <c r="H105" s="42">
        <f t="shared" si="0"/>
        <v>2.0400000000000001E-2</v>
      </c>
      <c r="I105" s="97"/>
      <c r="J105" s="277">
        <v>1</v>
      </c>
    </row>
    <row r="106" spans="1:14" ht="12" x14ac:dyDescent="0.2">
      <c r="A106" s="4">
        <v>6</v>
      </c>
      <c r="B106" s="296" t="s">
        <v>309</v>
      </c>
      <c r="C106" s="297"/>
      <c r="D106" s="297"/>
      <c r="E106" s="297"/>
      <c r="F106" s="298"/>
      <c r="G106" s="98">
        <v>0.02</v>
      </c>
      <c r="H106" s="42">
        <f t="shared" si="0"/>
        <v>2.0400000000000001E-2</v>
      </c>
      <c r="I106" s="97"/>
      <c r="J106" s="277">
        <v>1</v>
      </c>
      <c r="L106" s="83"/>
    </row>
    <row r="107" spans="1:14" ht="12" customHeight="1" x14ac:dyDescent="0.2">
      <c r="A107" s="4">
        <v>7</v>
      </c>
      <c r="B107" s="296" t="s">
        <v>305</v>
      </c>
      <c r="C107" s="297"/>
      <c r="D107" s="297"/>
      <c r="E107" s="297"/>
      <c r="F107" s="298"/>
      <c r="G107" s="98">
        <v>0.02</v>
      </c>
      <c r="H107" s="42">
        <f t="shared" si="0"/>
        <v>2.0400000000000001E-2</v>
      </c>
      <c r="I107" s="97"/>
      <c r="J107" s="277">
        <v>1</v>
      </c>
    </row>
    <row r="108" spans="1:14" ht="12" customHeight="1" x14ac:dyDescent="0.2">
      <c r="A108" s="4">
        <v>8</v>
      </c>
      <c r="B108" s="296" t="s">
        <v>306</v>
      </c>
      <c r="C108" s="297"/>
      <c r="D108" s="297"/>
      <c r="E108" s="297"/>
      <c r="F108" s="298"/>
      <c r="G108" s="98">
        <v>0.02</v>
      </c>
      <c r="H108" s="42">
        <f t="shared" si="0"/>
        <v>2.0400000000000001E-2</v>
      </c>
      <c r="I108" s="97"/>
      <c r="J108" s="277">
        <v>1</v>
      </c>
    </row>
    <row r="109" spans="1:14" ht="12" customHeight="1" x14ac:dyDescent="0.2">
      <c r="A109" s="4">
        <v>9</v>
      </c>
      <c r="B109" s="296" t="s">
        <v>307</v>
      </c>
      <c r="C109" s="297"/>
      <c r="D109" s="297"/>
      <c r="E109" s="297"/>
      <c r="F109" s="298"/>
      <c r="G109" s="98">
        <v>0.02</v>
      </c>
      <c r="H109" s="42">
        <f t="shared" si="0"/>
        <v>2.0400000000000001E-2</v>
      </c>
      <c r="I109" s="97"/>
      <c r="J109" s="277">
        <v>1</v>
      </c>
    </row>
    <row r="110" spans="1:14" ht="15" customHeight="1" x14ac:dyDescent="0.2">
      <c r="A110" s="9"/>
      <c r="B110" s="9"/>
      <c r="C110" s="9"/>
      <c r="D110" s="9"/>
      <c r="E110" s="9"/>
      <c r="F110" s="9"/>
      <c r="G110" s="9"/>
      <c r="H110" s="9"/>
      <c r="I110" s="9"/>
      <c r="J110" s="9"/>
    </row>
    <row r="111" spans="1:14" ht="15" customHeight="1" x14ac:dyDescent="0.2">
      <c r="A111" s="302" t="s">
        <v>125</v>
      </c>
      <c r="B111" s="303"/>
      <c r="C111" s="303"/>
      <c r="D111" s="303"/>
      <c r="E111" s="303"/>
      <c r="F111" s="303"/>
      <c r="G111" s="303"/>
      <c r="H111" s="303"/>
      <c r="I111" s="303"/>
      <c r="J111" s="304"/>
    </row>
    <row r="112" spans="1:14" s="77" customFormat="1" ht="15" customHeight="1" x14ac:dyDescent="0.2">
      <c r="A112" s="305" t="s">
        <v>126</v>
      </c>
      <c r="B112" s="306"/>
      <c r="C112" s="306"/>
      <c r="D112" s="306"/>
      <c r="E112" s="306"/>
      <c r="F112" s="306"/>
      <c r="G112" s="306"/>
      <c r="H112" s="306"/>
      <c r="I112" s="306"/>
      <c r="J112" s="307"/>
      <c r="M112" s="99"/>
      <c r="N112" s="99"/>
    </row>
    <row r="113" spans="1:14" s="77" customFormat="1" ht="15" customHeight="1" x14ac:dyDescent="0.2">
      <c r="G113" s="78"/>
      <c r="I113" s="78"/>
      <c r="M113" s="99"/>
      <c r="N113" s="99"/>
    </row>
    <row r="114" spans="1:14" s="69" customFormat="1" x14ac:dyDescent="0.2">
      <c r="A114" s="101"/>
      <c r="B114" s="101"/>
      <c r="C114" s="101"/>
      <c r="D114" s="101"/>
      <c r="E114" s="101"/>
      <c r="F114" s="101"/>
      <c r="G114" s="101"/>
      <c r="H114" s="101"/>
      <c r="I114" s="101"/>
      <c r="J114" s="101"/>
      <c r="M114" s="102"/>
      <c r="N114" s="102"/>
    </row>
    <row r="115" spans="1:14" s="69" customFormat="1" ht="15" customHeight="1" x14ac:dyDescent="0.2">
      <c r="G115" s="103"/>
      <c r="I115" s="103"/>
      <c r="M115" s="102"/>
      <c r="N115" s="102"/>
    </row>
    <row r="116" spans="1:14" s="69" customFormat="1" ht="15" customHeight="1" x14ac:dyDescent="0.2">
      <c r="G116" s="103"/>
      <c r="I116" s="103"/>
      <c r="M116" s="102"/>
      <c r="N116" s="102"/>
    </row>
    <row r="117" spans="1:14" s="69" customFormat="1" ht="15" customHeight="1" x14ac:dyDescent="0.2">
      <c r="G117" s="103"/>
      <c r="I117" s="103"/>
      <c r="M117" s="102"/>
      <c r="N117" s="102"/>
    </row>
    <row r="118" spans="1:14" s="69" customFormat="1" ht="15" customHeight="1" x14ac:dyDescent="0.2">
      <c r="G118" s="103"/>
      <c r="I118" s="103"/>
      <c r="M118" s="102"/>
      <c r="N118" s="102"/>
    </row>
    <row r="119" spans="1:14" s="69" customFormat="1" ht="15" customHeight="1" x14ac:dyDescent="0.2">
      <c r="G119" s="103"/>
      <c r="I119" s="103"/>
      <c r="M119" s="102"/>
      <c r="N119" s="102"/>
    </row>
    <row r="120" spans="1:14" s="69" customFormat="1" ht="15" customHeight="1" x14ac:dyDescent="0.2">
      <c r="G120" s="103"/>
      <c r="I120" s="103"/>
      <c r="M120" s="102"/>
      <c r="N120" s="102"/>
    </row>
    <row r="121" spans="1:14" s="69" customFormat="1" ht="15" customHeight="1" x14ac:dyDescent="0.2">
      <c r="G121" s="103"/>
      <c r="I121" s="103"/>
      <c r="M121" s="102"/>
      <c r="N121" s="102"/>
    </row>
    <row r="122" spans="1:14" s="69" customFormat="1" ht="15" customHeight="1" x14ac:dyDescent="0.2">
      <c r="G122" s="103"/>
      <c r="I122" s="103"/>
      <c r="M122" s="102"/>
      <c r="N122" s="102"/>
    </row>
    <row r="123" spans="1:14" s="69" customFormat="1" ht="15" customHeight="1" x14ac:dyDescent="0.2">
      <c r="G123" s="103"/>
      <c r="I123" s="103"/>
      <c r="M123" s="102"/>
      <c r="N123" s="102"/>
    </row>
    <row r="124" spans="1:14" s="69" customFormat="1" ht="15" customHeight="1" x14ac:dyDescent="0.2">
      <c r="G124" s="103"/>
      <c r="I124" s="103"/>
      <c r="M124" s="102"/>
      <c r="N124" s="102"/>
    </row>
    <row r="125" spans="1:14" s="69" customFormat="1" ht="15" customHeight="1" x14ac:dyDescent="0.2">
      <c r="G125" s="103"/>
      <c r="I125" s="103"/>
      <c r="M125" s="102"/>
      <c r="N125" s="102"/>
    </row>
    <row r="126" spans="1:14" s="69" customFormat="1" ht="15" customHeight="1" x14ac:dyDescent="0.2">
      <c r="G126" s="103"/>
      <c r="I126" s="103"/>
      <c r="M126" s="102"/>
      <c r="N126" s="102"/>
    </row>
    <row r="127" spans="1:14" s="69" customFormat="1" ht="15" customHeight="1" x14ac:dyDescent="0.2">
      <c r="G127" s="103"/>
      <c r="I127" s="103"/>
      <c r="M127" s="102"/>
      <c r="N127" s="102"/>
    </row>
    <row r="128" spans="1:14" s="69" customFormat="1" ht="15" customHeight="1" x14ac:dyDescent="0.2">
      <c r="G128" s="103"/>
      <c r="I128" s="103"/>
      <c r="M128" s="102"/>
      <c r="N128" s="102"/>
    </row>
    <row r="129" spans="1:14" s="69" customFormat="1" ht="15" customHeight="1" x14ac:dyDescent="0.2">
      <c r="G129" s="103"/>
      <c r="I129" s="103"/>
      <c r="M129" s="102"/>
      <c r="N129" s="102"/>
    </row>
    <row r="130" spans="1:14" s="69" customFormat="1" ht="15" customHeight="1" x14ac:dyDescent="0.2">
      <c r="G130" s="103"/>
      <c r="I130" s="103"/>
      <c r="M130" s="102"/>
      <c r="N130" s="102"/>
    </row>
    <row r="131" spans="1:14" s="69" customFormat="1" ht="15" customHeight="1" x14ac:dyDescent="0.2">
      <c r="G131" s="103"/>
      <c r="I131" s="103"/>
      <c r="M131" s="102"/>
      <c r="N131" s="102"/>
    </row>
    <row r="132" spans="1:14" s="19" customFormat="1" ht="15" customHeight="1" x14ac:dyDescent="0.2">
      <c r="G132" s="79"/>
      <c r="I132" s="79"/>
      <c r="M132" s="100"/>
      <c r="N132" s="100"/>
    </row>
    <row r="133" spans="1:14" ht="15" customHeight="1" x14ac:dyDescent="0.2">
      <c r="A133" s="9"/>
      <c r="B133" s="9"/>
      <c r="C133" s="9"/>
      <c r="D133" s="9"/>
      <c r="E133" s="9"/>
      <c r="F133" s="9"/>
      <c r="G133" s="68"/>
      <c r="H133" s="9"/>
      <c r="I133" s="68"/>
      <c r="J133" s="9"/>
    </row>
    <row r="134" spans="1:14" ht="15" customHeight="1" x14ac:dyDescent="0.2">
      <c r="A134" s="9"/>
      <c r="B134" s="9"/>
      <c r="C134" s="9"/>
      <c r="D134" s="9"/>
      <c r="E134" s="9"/>
      <c r="F134" s="9"/>
      <c r="G134" s="68"/>
      <c r="H134" s="9"/>
      <c r="I134" s="68"/>
      <c r="J134" s="77"/>
    </row>
    <row r="135" spans="1:14" ht="15" customHeight="1" x14ac:dyDescent="0.2">
      <c r="A135" s="9"/>
      <c r="B135" s="9"/>
      <c r="C135" s="9"/>
      <c r="D135" s="9"/>
      <c r="E135" s="9"/>
      <c r="F135" s="9"/>
      <c r="G135" s="68"/>
      <c r="H135" s="9"/>
      <c r="I135" s="68"/>
      <c r="J135" s="19"/>
    </row>
    <row r="136" spans="1:14" ht="15" customHeight="1" x14ac:dyDescent="0.2">
      <c r="A136" s="9"/>
      <c r="B136" s="9"/>
      <c r="C136" s="9"/>
      <c r="D136" s="9"/>
      <c r="E136" s="9"/>
      <c r="F136" s="9"/>
      <c r="G136" s="68"/>
      <c r="H136" s="9"/>
      <c r="I136" s="68"/>
      <c r="J136" s="9"/>
    </row>
    <row r="137" spans="1:14" ht="15" customHeight="1" x14ac:dyDescent="0.2">
      <c r="A137" s="9"/>
      <c r="B137" s="9"/>
      <c r="C137" s="9"/>
      <c r="D137" s="9"/>
      <c r="E137" s="9"/>
      <c r="F137" s="9"/>
      <c r="G137" s="68"/>
      <c r="H137" s="9"/>
      <c r="I137" s="68"/>
      <c r="J137" s="9"/>
    </row>
    <row r="138" spans="1:14" ht="15" customHeight="1" x14ac:dyDescent="0.2">
      <c r="A138" s="9"/>
      <c r="B138" s="9"/>
      <c r="C138" s="9"/>
      <c r="D138" s="9"/>
      <c r="E138" s="9"/>
      <c r="F138" s="9"/>
      <c r="G138" s="68"/>
      <c r="H138" s="9"/>
      <c r="I138" s="68"/>
      <c r="J138" s="9"/>
    </row>
    <row r="139" spans="1:14" ht="15" customHeight="1" x14ac:dyDescent="0.2">
      <c r="A139" s="9"/>
      <c r="B139" s="9"/>
      <c r="C139" s="9"/>
      <c r="D139" s="9"/>
      <c r="E139" s="9"/>
      <c r="F139" s="9"/>
      <c r="G139" s="68"/>
      <c r="H139" s="9"/>
      <c r="I139" s="68"/>
      <c r="J139" s="9"/>
    </row>
    <row r="140" spans="1:14" ht="15" customHeight="1" x14ac:dyDescent="0.2">
      <c r="A140" s="9"/>
      <c r="B140" s="9"/>
      <c r="C140" s="9"/>
      <c r="D140" s="9"/>
      <c r="E140" s="9"/>
      <c r="F140" s="9"/>
      <c r="G140" s="68"/>
      <c r="H140" s="9"/>
      <c r="I140" s="68"/>
      <c r="J140" s="9"/>
    </row>
    <row r="141" spans="1:14" ht="15" customHeight="1" x14ac:dyDescent="0.2">
      <c r="A141" s="9"/>
      <c r="B141" s="9"/>
      <c r="C141" s="9"/>
      <c r="D141" s="9"/>
      <c r="E141" s="9"/>
      <c r="F141" s="9"/>
      <c r="G141" s="68"/>
      <c r="H141" s="9"/>
      <c r="I141" s="68"/>
      <c r="J141" s="9"/>
    </row>
    <row r="142" spans="1:14" ht="15" customHeight="1" x14ac:dyDescent="0.2">
      <c r="A142" s="9"/>
      <c r="B142" s="9"/>
      <c r="C142" s="9"/>
      <c r="D142" s="9"/>
      <c r="E142" s="9"/>
      <c r="F142" s="9"/>
      <c r="G142" s="68"/>
      <c r="H142" s="9"/>
      <c r="I142" s="68"/>
      <c r="J142" s="9"/>
    </row>
    <row r="143" spans="1:14" ht="15" customHeight="1" x14ac:dyDescent="0.2">
      <c r="A143" s="9"/>
      <c r="B143" s="9"/>
      <c r="C143" s="9"/>
      <c r="D143" s="9"/>
      <c r="E143" s="9"/>
      <c r="F143" s="9"/>
      <c r="G143" s="68"/>
      <c r="H143" s="9"/>
      <c r="I143" s="68"/>
      <c r="J143" s="9"/>
    </row>
    <row r="144" spans="1:14" ht="15" customHeight="1" x14ac:dyDescent="0.2">
      <c r="A144" s="9"/>
      <c r="B144" s="9"/>
      <c r="C144" s="9"/>
      <c r="D144" s="9"/>
      <c r="E144" s="9"/>
      <c r="F144" s="9"/>
      <c r="G144" s="68"/>
      <c r="H144" s="9"/>
      <c r="I144" s="68"/>
      <c r="J144" s="9"/>
    </row>
    <row r="145" spans="1:10" ht="15" customHeight="1" x14ac:dyDescent="0.2">
      <c r="A145" s="9"/>
      <c r="B145" s="9"/>
      <c r="C145" s="9"/>
      <c r="D145" s="9"/>
      <c r="E145" s="9"/>
      <c r="F145" s="9"/>
      <c r="G145" s="68"/>
      <c r="H145" s="9"/>
      <c r="I145" s="68"/>
      <c r="J145" s="9"/>
    </row>
    <row r="146" spans="1:10" ht="15" customHeight="1" x14ac:dyDescent="0.2">
      <c r="A146" s="9"/>
      <c r="B146" s="9"/>
      <c r="C146" s="9"/>
      <c r="D146" s="9"/>
      <c r="E146" s="9"/>
      <c r="F146" s="9"/>
      <c r="G146" s="68"/>
      <c r="H146" s="9"/>
      <c r="I146" s="68"/>
      <c r="J146" s="9"/>
    </row>
    <row r="147" spans="1:10" ht="15" customHeight="1" x14ac:dyDescent="0.2">
      <c r="A147" s="9"/>
      <c r="B147" s="9"/>
      <c r="C147" s="9"/>
      <c r="D147" s="9"/>
      <c r="E147" s="9"/>
      <c r="F147" s="9"/>
      <c r="G147" s="68"/>
      <c r="H147" s="9"/>
      <c r="I147" s="68"/>
      <c r="J147" s="9"/>
    </row>
    <row r="148" spans="1:10" ht="15" customHeight="1" x14ac:dyDescent="0.2">
      <c r="A148" s="9"/>
      <c r="B148" s="9"/>
      <c r="C148" s="9"/>
      <c r="D148" s="9"/>
      <c r="E148" s="9"/>
      <c r="F148" s="9"/>
      <c r="G148" s="68"/>
      <c r="H148" s="9"/>
      <c r="I148" s="68"/>
      <c r="J148" s="9"/>
    </row>
    <row r="149" spans="1:10" ht="15" customHeight="1" x14ac:dyDescent="0.2">
      <c r="A149" s="9"/>
      <c r="B149" s="9"/>
      <c r="C149" s="9"/>
      <c r="D149" s="9"/>
      <c r="E149" s="9"/>
      <c r="F149" s="9"/>
      <c r="G149" s="68"/>
      <c r="H149" s="9"/>
      <c r="I149" s="68"/>
      <c r="J149" s="9"/>
    </row>
    <row r="150" spans="1:10" ht="15" customHeight="1" x14ac:dyDescent="0.2">
      <c r="A150" s="9"/>
      <c r="B150" s="9"/>
      <c r="C150" s="9"/>
      <c r="D150" s="9"/>
      <c r="E150" s="9"/>
      <c r="F150" s="9"/>
      <c r="G150" s="68"/>
      <c r="H150" s="9"/>
      <c r="I150" s="68"/>
      <c r="J150" s="9"/>
    </row>
    <row r="151" spans="1:10" ht="15" customHeight="1" x14ac:dyDescent="0.2">
      <c r="A151" s="9"/>
      <c r="B151" s="9"/>
      <c r="C151" s="9"/>
      <c r="D151" s="9"/>
      <c r="E151" s="9"/>
      <c r="F151" s="9"/>
      <c r="G151" s="68"/>
      <c r="H151" s="9"/>
      <c r="I151" s="68"/>
      <c r="J151" s="9"/>
    </row>
    <row r="152" spans="1:10" ht="15" customHeight="1" x14ac:dyDescent="0.2">
      <c r="A152" s="9"/>
      <c r="B152" s="9"/>
      <c r="C152" s="9"/>
      <c r="D152" s="9"/>
      <c r="E152" s="9"/>
      <c r="F152" s="9"/>
      <c r="G152" s="68"/>
      <c r="H152" s="9"/>
      <c r="I152" s="68"/>
      <c r="J152" s="9"/>
    </row>
    <row r="153" spans="1:10" ht="15" customHeight="1" x14ac:dyDescent="0.2">
      <c r="A153" s="9"/>
      <c r="B153" s="9"/>
      <c r="C153" s="9"/>
      <c r="D153" s="9"/>
      <c r="E153" s="9"/>
      <c r="F153" s="9"/>
      <c r="G153" s="68"/>
      <c r="H153" s="9"/>
      <c r="I153" s="68"/>
      <c r="J153" s="9"/>
    </row>
    <row r="154" spans="1:10" ht="15" customHeight="1" x14ac:dyDescent="0.2">
      <c r="A154" s="9"/>
      <c r="B154" s="9"/>
      <c r="C154" s="9"/>
      <c r="D154" s="9"/>
      <c r="E154" s="9"/>
      <c r="F154" s="9"/>
      <c r="G154" s="68"/>
      <c r="H154" s="9"/>
      <c r="I154" s="68"/>
      <c r="J154" s="9"/>
    </row>
    <row r="155" spans="1:10" ht="15" customHeight="1" x14ac:dyDescent="0.2">
      <c r="A155" s="9"/>
      <c r="B155" s="9"/>
      <c r="C155" s="9"/>
      <c r="D155" s="9"/>
      <c r="E155" s="9"/>
      <c r="F155" s="9"/>
      <c r="G155" s="68"/>
      <c r="H155" s="9"/>
      <c r="I155" s="68"/>
      <c r="J155" s="9"/>
    </row>
    <row r="156" spans="1:10" ht="15" customHeight="1" x14ac:dyDescent="0.2">
      <c r="A156" s="9"/>
      <c r="B156" s="9"/>
      <c r="C156" s="9"/>
      <c r="D156" s="9"/>
      <c r="E156" s="9"/>
      <c r="F156" s="9"/>
      <c r="G156" s="68"/>
      <c r="H156" s="9"/>
      <c r="I156" s="68"/>
      <c r="J156" s="9"/>
    </row>
    <row r="157" spans="1:10" ht="15" customHeight="1" x14ac:dyDescent="0.2">
      <c r="A157" s="9"/>
      <c r="B157" s="9"/>
      <c r="C157" s="9"/>
      <c r="D157" s="9"/>
      <c r="E157" s="9"/>
      <c r="F157" s="9"/>
      <c r="G157" s="68"/>
      <c r="H157" s="9"/>
      <c r="I157" s="68"/>
      <c r="J157" s="9"/>
    </row>
    <row r="158" spans="1:10" ht="15" customHeight="1" x14ac:dyDescent="0.2">
      <c r="A158" s="9"/>
      <c r="B158" s="9"/>
      <c r="C158" s="9"/>
      <c r="D158" s="9"/>
      <c r="E158" s="9"/>
      <c r="F158" s="9"/>
      <c r="G158" s="68"/>
      <c r="H158" s="9"/>
      <c r="I158" s="68"/>
      <c r="J158" s="9"/>
    </row>
    <row r="159" spans="1:10" ht="15" customHeight="1" x14ac:dyDescent="0.2">
      <c r="A159" s="9"/>
      <c r="B159" s="9"/>
      <c r="C159" s="9"/>
      <c r="D159" s="9"/>
      <c r="E159" s="9"/>
      <c r="F159" s="9"/>
      <c r="G159" s="68"/>
      <c r="H159" s="9"/>
      <c r="I159" s="68"/>
      <c r="J159" s="9"/>
    </row>
    <row r="160" spans="1:10" ht="15" customHeight="1" x14ac:dyDescent="0.2">
      <c r="A160" s="9"/>
      <c r="B160" s="9"/>
      <c r="C160" s="9"/>
      <c r="D160" s="9"/>
      <c r="E160" s="9"/>
      <c r="F160" s="9"/>
      <c r="G160" s="68"/>
      <c r="H160" s="9"/>
      <c r="I160" s="68"/>
      <c r="J160" s="9"/>
    </row>
    <row r="161" spans="1:10" ht="15" customHeight="1" x14ac:dyDescent="0.2">
      <c r="A161" s="9"/>
      <c r="B161" s="9"/>
      <c r="C161" s="9"/>
      <c r="D161" s="9"/>
      <c r="E161" s="9"/>
      <c r="F161" s="9"/>
      <c r="G161" s="68"/>
      <c r="H161" s="9"/>
      <c r="I161" s="68"/>
      <c r="J161" s="9"/>
    </row>
    <row r="162" spans="1:10" ht="15" customHeight="1" x14ac:dyDescent="0.2">
      <c r="A162" s="9"/>
      <c r="B162" s="9"/>
      <c r="C162" s="9"/>
      <c r="D162" s="9"/>
      <c r="E162" s="9"/>
      <c r="F162" s="9"/>
      <c r="G162" s="68"/>
      <c r="H162" s="9"/>
      <c r="I162" s="68"/>
      <c r="J162" s="9"/>
    </row>
    <row r="163" spans="1:10" ht="15" customHeight="1" x14ac:dyDescent="0.2">
      <c r="A163" s="9"/>
      <c r="B163" s="9"/>
      <c r="C163" s="9"/>
      <c r="D163" s="9"/>
      <c r="E163" s="9"/>
      <c r="F163" s="9"/>
      <c r="G163" s="68"/>
      <c r="H163" s="9"/>
      <c r="I163" s="68"/>
      <c r="J163" s="9"/>
    </row>
    <row r="164" spans="1:10" ht="15" customHeight="1" x14ac:dyDescent="0.2">
      <c r="A164" s="9"/>
      <c r="B164" s="9"/>
      <c r="C164" s="9"/>
      <c r="D164" s="9"/>
      <c r="E164" s="9"/>
      <c r="F164" s="9"/>
      <c r="G164" s="68"/>
      <c r="H164" s="9"/>
      <c r="I164" s="68"/>
      <c r="J164" s="9"/>
    </row>
    <row r="165" spans="1:10" ht="15" customHeight="1" x14ac:dyDescent="0.2">
      <c r="A165" s="9"/>
      <c r="B165" s="9"/>
      <c r="C165" s="9"/>
      <c r="D165" s="9"/>
      <c r="E165" s="9"/>
      <c r="F165" s="9"/>
      <c r="G165" s="68"/>
      <c r="H165" s="9"/>
      <c r="I165" s="68"/>
      <c r="J165" s="9"/>
    </row>
    <row r="166" spans="1:10" ht="15" customHeight="1" x14ac:dyDescent="0.2">
      <c r="A166" s="9"/>
      <c r="B166" s="9"/>
      <c r="C166" s="9"/>
      <c r="D166" s="9"/>
      <c r="E166" s="9"/>
      <c r="F166" s="9"/>
      <c r="G166" s="9"/>
      <c r="H166" s="9"/>
      <c r="I166" s="9"/>
      <c r="J166" s="9"/>
    </row>
    <row r="167" spans="1:10" ht="15" customHeight="1" x14ac:dyDescent="0.2">
      <c r="A167" s="9"/>
      <c r="B167" s="9"/>
      <c r="C167" s="9"/>
      <c r="D167" s="9"/>
      <c r="E167" s="9"/>
      <c r="F167" s="9"/>
      <c r="G167" s="9"/>
      <c r="H167" s="9"/>
      <c r="I167" s="9"/>
      <c r="J167" s="9"/>
    </row>
    <row r="168" spans="1:10" ht="15" customHeight="1" x14ac:dyDescent="0.2">
      <c r="A168" s="9"/>
      <c r="B168" s="9"/>
      <c r="C168" s="9"/>
      <c r="D168" s="9"/>
      <c r="E168" s="9"/>
      <c r="F168" s="9"/>
      <c r="G168" s="9"/>
      <c r="H168" s="9"/>
      <c r="I168" s="9"/>
      <c r="J168" s="9"/>
    </row>
    <row r="169" spans="1:10" ht="15" customHeight="1" x14ac:dyDescent="0.2">
      <c r="A169" s="9"/>
      <c r="B169" s="9"/>
      <c r="C169" s="9"/>
      <c r="D169" s="9"/>
      <c r="E169" s="9"/>
      <c r="F169" s="9"/>
      <c r="G169" s="9"/>
      <c r="H169" s="9"/>
      <c r="I169" s="9"/>
      <c r="J169" s="9"/>
    </row>
    <row r="170" spans="1:10" ht="15" customHeight="1" x14ac:dyDescent="0.2">
      <c r="A170" s="9"/>
      <c r="B170" s="9"/>
      <c r="C170" s="9"/>
      <c r="D170" s="9"/>
      <c r="E170" s="9"/>
      <c r="F170" s="9"/>
      <c r="G170" s="9"/>
      <c r="H170" s="9"/>
      <c r="I170" s="9"/>
      <c r="J170" s="9"/>
    </row>
    <row r="171" spans="1:10" ht="15" customHeight="1" x14ac:dyDescent="0.2">
      <c r="A171" s="9"/>
      <c r="B171" s="9"/>
      <c r="C171" s="9"/>
      <c r="D171" s="9"/>
      <c r="E171" s="9"/>
      <c r="F171" s="9"/>
      <c r="G171" s="9"/>
      <c r="H171" s="9"/>
      <c r="I171" s="9"/>
      <c r="J171" s="9"/>
    </row>
  </sheetData>
  <sheetProtection algorithmName="SHA-512" hashValue="AyZ9ePebu6R0Y7QL94M0ecejqL+DRdMgL5lfn90lRLQlaM58o8NQUCrNQyWExYJL1+H8dEinku8i5SWWPr/gXQ==" saltValue="m/R5Js10dQcOyZLXUZxUyA==" spinCount="100000" sheet="1" objects="1" scenarios="1"/>
  <dataConsolidate/>
  <mergeCells count="118">
    <mergeCell ref="A34:I34"/>
    <mergeCell ref="A36:J36"/>
    <mergeCell ref="B37:I37"/>
    <mergeCell ref="B49:I49"/>
    <mergeCell ref="A80:J80"/>
    <mergeCell ref="B77:I77"/>
    <mergeCell ref="B78:I78"/>
    <mergeCell ref="B58:I58"/>
    <mergeCell ref="B59:I59"/>
    <mergeCell ref="B50:I50"/>
    <mergeCell ref="B55:I55"/>
    <mergeCell ref="B54:I54"/>
    <mergeCell ref="B56:I56"/>
    <mergeCell ref="B57:I57"/>
    <mergeCell ref="A62:I62"/>
    <mergeCell ref="A60:I60"/>
    <mergeCell ref="A70:I70"/>
    <mergeCell ref="A64:J64"/>
    <mergeCell ref="B65:I65"/>
    <mergeCell ref="B66:I66"/>
    <mergeCell ref="B67:I67"/>
    <mergeCell ref="B68:H68"/>
    <mergeCell ref="B69:I69"/>
    <mergeCell ref="B38:I38"/>
    <mergeCell ref="B39:I39"/>
    <mergeCell ref="B91:E91"/>
    <mergeCell ref="B41:I41"/>
    <mergeCell ref="B42:I42"/>
    <mergeCell ref="A53:J53"/>
    <mergeCell ref="A47:J47"/>
    <mergeCell ref="A45:I45"/>
    <mergeCell ref="A51:I51"/>
    <mergeCell ref="A72:J72"/>
    <mergeCell ref="A83:J83"/>
    <mergeCell ref="B73:I73"/>
    <mergeCell ref="B74:I74"/>
    <mergeCell ref="B75:I75"/>
    <mergeCell ref="B76:I76"/>
    <mergeCell ref="A81:J81"/>
    <mergeCell ref="B43:I43"/>
    <mergeCell ref="B48:I48"/>
    <mergeCell ref="B40:I40"/>
    <mergeCell ref="B88:I88"/>
    <mergeCell ref="B82:I82"/>
    <mergeCell ref="B87:I87"/>
    <mergeCell ref="B86:E86"/>
    <mergeCell ref="B85:I85"/>
    <mergeCell ref="B89:I89"/>
    <mergeCell ref="B28:I28"/>
    <mergeCell ref="B29:I29"/>
    <mergeCell ref="B33:I33"/>
    <mergeCell ref="B17:I17"/>
    <mergeCell ref="B18:I18"/>
    <mergeCell ref="B19:I19"/>
    <mergeCell ref="B20:I20"/>
    <mergeCell ref="B21:I21"/>
    <mergeCell ref="B27:I27"/>
    <mergeCell ref="A32:J32"/>
    <mergeCell ref="A24:I24"/>
    <mergeCell ref="A30:I30"/>
    <mergeCell ref="A8:E8"/>
    <mergeCell ref="A9:E9"/>
    <mergeCell ref="F6:H6"/>
    <mergeCell ref="I6:J6"/>
    <mergeCell ref="B16:I16"/>
    <mergeCell ref="A12:E12"/>
    <mergeCell ref="F12:J12"/>
    <mergeCell ref="A7:E7"/>
    <mergeCell ref="F11:J11"/>
    <mergeCell ref="A15:I15"/>
    <mergeCell ref="B92:E92"/>
    <mergeCell ref="B102:F102"/>
    <mergeCell ref="A1:J1"/>
    <mergeCell ref="A2:E2"/>
    <mergeCell ref="A26:J26"/>
    <mergeCell ref="A10:E10"/>
    <mergeCell ref="A11:E11"/>
    <mergeCell ref="A3:E3"/>
    <mergeCell ref="A4:E4"/>
    <mergeCell ref="A5:E5"/>
    <mergeCell ref="A6:E6"/>
    <mergeCell ref="A13:E13"/>
    <mergeCell ref="F2:J2"/>
    <mergeCell ref="F3:J3"/>
    <mergeCell ref="F7:J7"/>
    <mergeCell ref="F8:J8"/>
    <mergeCell ref="F9:J9"/>
    <mergeCell ref="F10:J10"/>
    <mergeCell ref="G13:J13"/>
    <mergeCell ref="B22:I22"/>
    <mergeCell ref="B23:I23"/>
    <mergeCell ref="F4:H4"/>
    <mergeCell ref="F5:H5"/>
    <mergeCell ref="I5:J5"/>
    <mergeCell ref="B103:F103"/>
    <mergeCell ref="B104:F104"/>
    <mergeCell ref="B105:F105"/>
    <mergeCell ref="B44:I44"/>
    <mergeCell ref="A111:J111"/>
    <mergeCell ref="A112:J112"/>
    <mergeCell ref="B106:F106"/>
    <mergeCell ref="B101:F101"/>
    <mergeCell ref="B84:E84"/>
    <mergeCell ref="A94:J94"/>
    <mergeCell ref="C97:D97"/>
    <mergeCell ref="F96:G96"/>
    <mergeCell ref="F97:G97"/>
    <mergeCell ref="F95:G95"/>
    <mergeCell ref="I97:J97"/>
    <mergeCell ref="A99:J99"/>
    <mergeCell ref="B109:F109"/>
    <mergeCell ref="B108:F108"/>
    <mergeCell ref="B107:F107"/>
    <mergeCell ref="C96:D96"/>
    <mergeCell ref="C95:D95"/>
    <mergeCell ref="B90:I90"/>
    <mergeCell ref="I95:J95"/>
    <mergeCell ref="I96:J96"/>
  </mergeCells>
  <conditionalFormatting sqref="B90">
    <cfRule type="cellIs" dxfId="6" priority="5" operator="greaterThan">
      <formula>0</formula>
    </cfRule>
  </conditionalFormatting>
  <conditionalFormatting sqref="F6">
    <cfRule type="notContainsBlanks" dxfId="5" priority="82">
      <formula>LEN(TRIM(F6))&gt;0</formula>
    </cfRule>
  </conditionalFormatting>
  <conditionalFormatting sqref="F7:F13">
    <cfRule type="cellIs" dxfId="4" priority="9" operator="greaterThan">
      <formula>0</formula>
    </cfRule>
  </conditionalFormatting>
  <conditionalFormatting sqref="F12">
    <cfRule type="cellIs" dxfId="3" priority="8" operator="greaterThan">
      <formula>0</formula>
    </cfRule>
  </conditionalFormatting>
  <conditionalFormatting sqref="I91 G91:G92">
    <cfRule type="cellIs" dxfId="2" priority="1" operator="greaterThan">
      <formula>0</formula>
    </cfRule>
  </conditionalFormatting>
  <conditionalFormatting sqref="J4 F4:F5 J82 G84 I84 J85 G86 I86 J87:J90 H96:I97 G101:I109">
    <cfRule type="cellIs" dxfId="1" priority="16" operator="greaterThan">
      <formula>0</formula>
    </cfRule>
  </conditionalFormatting>
  <dataValidations count="4">
    <dataValidation type="decimal" operator="greaterThanOrEqual" allowBlank="1" showInputMessage="1" showErrorMessage="1" sqref="F7:F13 J68 G101:J109" xr:uid="{00000000-0002-0000-0200-000000000000}">
      <formula1>0</formula1>
    </dataValidation>
    <dataValidation type="list" showInputMessage="1" showErrorMessage="1" sqref="F6" xr:uid="{00000000-0002-0000-0200-000001000000}">
      <formula1>$N$1:$N$3</formula1>
    </dataValidation>
    <dataValidation operator="greaterThanOrEqual" allowBlank="1" showInputMessage="1" showErrorMessage="1" sqref="G13 H96:I97" xr:uid="{00000000-0002-0000-0200-000002000000}"/>
    <dataValidation type="list" operator="greaterThan" allowBlank="1" showInputMessage="1" showErrorMessage="1" sqref="F5" xr:uid="{00000000-0002-0000-0200-000003000000}">
      <formula1>$M$1:$M$2</formula1>
    </dataValidation>
  </dataValidations>
  <printOptions horizontalCentered="1"/>
  <pageMargins left="0.35433070866141736" right="0.15748031496062992" top="0.43307086614173229" bottom="0.59055118110236227" header="0.23622047244094491" footer="0.31496062992125984"/>
  <pageSetup paperSize="9" scale="69" orientation="portrait" r:id="rId1"/>
  <headerFooter>
    <oddHeader>&amp;C&amp;"-,Negrito"PLANILHA DE COMPOSIÇÃO DE CUSTOS</oddHeader>
    <oddFooter>&amp;C&amp;P</oddFooter>
  </headerFooter>
  <rowBreaks count="2" manualBreakCount="2">
    <brk id="63" max="16383" man="1"/>
    <brk id="133" max="9" man="1"/>
  </rowBreaks>
  <ignoredErrors>
    <ignoredError sqref="J86 J84"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MJ250"/>
  <sheetViews>
    <sheetView showGridLines="0" zoomScaleNormal="100" workbookViewId="0">
      <pane xSplit="4" ySplit="2" topLeftCell="E3" activePane="bottomRight" state="frozen"/>
      <selection pane="topRight" activeCell="P23" sqref="P23"/>
      <selection pane="bottomLeft" activeCell="P23" sqref="P23"/>
      <selection pane="bottomRight" activeCell="C6" sqref="C6"/>
    </sheetView>
  </sheetViews>
  <sheetFormatPr defaultColWidth="9.140625" defaultRowHeight="12" x14ac:dyDescent="0.25"/>
  <cols>
    <col min="1" max="1" width="8" style="6" customWidth="1"/>
    <col min="2" max="2" width="11.28515625" style="6" customWidth="1"/>
    <col min="3" max="3" width="7.7109375" style="6" customWidth="1"/>
    <col min="4" max="4" width="36.7109375" style="28" customWidth="1"/>
    <col min="5" max="5" width="9.5703125" style="28" customWidth="1"/>
    <col min="6" max="6" width="5.140625" style="28" customWidth="1"/>
    <col min="7" max="7" width="10.7109375" style="28" customWidth="1"/>
    <col min="8" max="8" width="8.7109375" style="28" customWidth="1"/>
    <col min="9" max="10" width="9.140625" style="28" customWidth="1"/>
    <col min="11" max="11" width="7.28515625" style="29" customWidth="1"/>
    <col min="12" max="15" width="10" style="29" customWidth="1"/>
    <col min="16" max="16" width="12" style="30" customWidth="1"/>
    <col min="17" max="17" width="10" style="29" customWidth="1"/>
    <col min="18" max="18" width="11.5703125" style="29" bestFit="1" customWidth="1"/>
    <col min="19" max="19" width="12.5703125" style="29" bestFit="1" customWidth="1"/>
    <col min="20" max="20" width="8" style="29" customWidth="1"/>
    <col min="21" max="21" width="6.42578125" style="40" customWidth="1"/>
    <col min="22" max="22" width="9" style="30" customWidth="1"/>
    <col min="23" max="23" width="11" style="6" bestFit="1" customWidth="1"/>
    <col min="24" max="24" width="13.28515625" style="25" customWidth="1"/>
    <col min="25" max="25" width="0.42578125" style="25" customWidth="1"/>
    <col min="26" max="26" width="9.28515625" style="25" customWidth="1"/>
    <col min="27" max="27" width="8.42578125" style="25" customWidth="1"/>
    <col min="28" max="28" width="13.42578125" style="25" customWidth="1"/>
    <col min="29" max="29" width="0.5703125" style="25" customWidth="1"/>
    <col min="30" max="30" width="8.7109375" style="25" hidden="1" customWidth="1"/>
    <col min="31" max="31" width="8.7109375" style="25" customWidth="1"/>
    <col min="32" max="37" width="9.140625" style="25"/>
    <col min="38" max="38" width="10" style="25" bestFit="1" customWidth="1"/>
    <col min="39" max="348" width="9.140625" style="25"/>
    <col min="349" max="16384" width="9.140625" style="6"/>
  </cols>
  <sheetData>
    <row r="1" spans="1:348" x14ac:dyDescent="0.25">
      <c r="A1" s="353" t="s">
        <v>308</v>
      </c>
      <c r="B1" s="353" t="s">
        <v>127</v>
      </c>
      <c r="C1" s="353" t="s">
        <v>110</v>
      </c>
      <c r="D1" s="353" t="s">
        <v>111</v>
      </c>
      <c r="E1" s="355" t="s">
        <v>112</v>
      </c>
      <c r="F1" s="353" t="s">
        <v>128</v>
      </c>
      <c r="G1" s="353" t="s">
        <v>129</v>
      </c>
      <c r="H1" s="355" t="s">
        <v>130</v>
      </c>
      <c r="I1" s="355" t="s">
        <v>131</v>
      </c>
      <c r="J1" s="355" t="s">
        <v>132</v>
      </c>
      <c r="K1" s="355" t="s">
        <v>133</v>
      </c>
      <c r="L1" s="357" t="s">
        <v>134</v>
      </c>
      <c r="M1" s="357"/>
      <c r="N1" s="357"/>
      <c r="O1" s="357"/>
      <c r="P1" s="357"/>
      <c r="Q1" s="357"/>
      <c r="R1" s="357"/>
      <c r="S1" s="355" t="s">
        <v>135</v>
      </c>
      <c r="T1" s="355" t="s">
        <v>136</v>
      </c>
      <c r="U1" s="355" t="s">
        <v>137</v>
      </c>
      <c r="V1" s="355" t="s">
        <v>138</v>
      </c>
      <c r="W1" s="355" t="s">
        <v>139</v>
      </c>
      <c r="X1" s="355" t="s">
        <v>140</v>
      </c>
      <c r="Y1" s="20"/>
      <c r="Z1" s="355" t="s">
        <v>141</v>
      </c>
      <c r="AA1" s="355" t="s">
        <v>142</v>
      </c>
      <c r="AB1" s="355" t="s">
        <v>143</v>
      </c>
      <c r="AD1" s="355" t="s">
        <v>144</v>
      </c>
      <c r="AE1" s="355" t="s">
        <v>145</v>
      </c>
      <c r="MJ1" s="6"/>
    </row>
    <row r="2" spans="1:348" ht="36" x14ac:dyDescent="0.25">
      <c r="A2" s="354"/>
      <c r="B2" s="354"/>
      <c r="C2" s="354"/>
      <c r="D2" s="354"/>
      <c r="E2" s="356"/>
      <c r="F2" s="354"/>
      <c r="G2" s="354"/>
      <c r="H2" s="356"/>
      <c r="I2" s="356"/>
      <c r="J2" s="356"/>
      <c r="K2" s="356"/>
      <c r="L2" s="112" t="s">
        <v>69</v>
      </c>
      <c r="M2" s="112" t="s">
        <v>146</v>
      </c>
      <c r="N2" s="112" t="s">
        <v>147</v>
      </c>
      <c r="O2" s="112" t="s">
        <v>95</v>
      </c>
      <c r="P2" s="145" t="s">
        <v>148</v>
      </c>
      <c r="Q2" s="112" t="s">
        <v>149</v>
      </c>
      <c r="R2" s="112" t="s">
        <v>150</v>
      </c>
      <c r="S2" s="356"/>
      <c r="T2" s="356"/>
      <c r="U2" s="356"/>
      <c r="V2" s="356"/>
      <c r="W2" s="356"/>
      <c r="X2" s="356"/>
      <c r="Y2" s="20"/>
      <c r="Z2" s="356"/>
      <c r="AA2" s="356"/>
      <c r="AB2" s="356"/>
      <c r="AD2" s="356"/>
      <c r="AE2" s="356"/>
      <c r="AG2" s="31"/>
      <c r="MJ2" s="6"/>
    </row>
    <row r="3" spans="1:348" s="26" customFormat="1" ht="47.25" customHeight="1" x14ac:dyDescent="0.25">
      <c r="A3" s="21">
        <v>1</v>
      </c>
      <c r="B3" s="22" t="str">
        <f>VLOOKUP($A3,'Indicadores Financeiros'!$A$101:$J$210,2,FALSE)</f>
        <v>Fórum Regional do Butantã</v>
      </c>
      <c r="C3" s="4">
        <v>680020</v>
      </c>
      <c r="D3" s="7" t="str">
        <f>VLOOKUP($C3,'Indicadores Financeiros'!$A$96:$J$97,2,FALSE)</f>
        <v>Porteiro/Controlador de Acesso - com almocista (repositor) - 44 horas semanais - diurno - segunda a sexta</v>
      </c>
      <c r="E3" s="7" t="str">
        <f>VLOOKUP($C3,'Indicadores Financeiros'!$A$96:$M$97,3,FALSE)</f>
        <v>Posto/Dia</v>
      </c>
      <c r="F3" s="4">
        <f>VLOOKUP($A3,'Indicadores Financeiros'!$A$101:$J$109,10,FALSE)</f>
        <v>1</v>
      </c>
      <c r="G3" s="152">
        <f>VLOOKUP($C3,'Indicadores Financeiros'!$A$96:$M$97,6,FALSE)</f>
        <v>1</v>
      </c>
      <c r="H3" s="154">
        <f>'Indicadores Financeiros'!$J$74</f>
        <v>20.75</v>
      </c>
      <c r="I3" s="158">
        <f>'Indicadores Financeiros'!$J$76</f>
        <v>21</v>
      </c>
      <c r="J3" s="161">
        <v>4</v>
      </c>
      <c r="K3" s="70">
        <f>IF(E3="Posto/Dia",I3*J3,J3)</f>
        <v>84</v>
      </c>
      <c r="L3" s="71">
        <f>IF('Indicadores Financeiros'!$J$82=0,0,'Indicadores Financeiros'!$J$82)</f>
        <v>0</v>
      </c>
      <c r="M3" s="71">
        <f>ROUND((G3-1)*L3,2)</f>
        <v>0</v>
      </c>
      <c r="N3" s="71">
        <f>ROUND(SUM($L3:$M3)*'Indicadores Financeiros'!$J$62,2)</f>
        <v>0</v>
      </c>
      <c r="O3" s="46">
        <f>ROUND(SUM('Indicadores Financeiros'!$J$84:$J$90)+'Indicadores Financeiros'!$J$92+ROUND(('Indicadores Financeiros'!$J$91*'Relatório Custo'!$H3),2),2)+IF(ROUND((VLOOKUP($A3,'Indicadores Financeiros'!$A$101:$J$109,9,FALSE)*H3)-('Indicadores Financeiros'!$J$82*6%),2)&lt;0,0,ROUND((VLOOKUP($A3,'Indicadores Financeiros'!$A$101:$J$109,9,FALSE)*H3)-('Indicadores Financeiros'!$J$82*6%),2))</f>
        <v>0</v>
      </c>
      <c r="P3" s="46">
        <f>VLOOKUP($C3,'Indicadores Financeiros'!$A$96:$J$97,9,FALSE)+VLOOKUP($C3,'Indicadores Financeiros'!$A$96:$J$97,8,FALSE)</f>
        <v>0</v>
      </c>
      <c r="Q3" s="46">
        <f>ROUND((L3+N3+O3+P3+M3)*VLOOKUP($C3,'Indicadores Financeiros'!$A$96:$M$97,5,FALSE),2)</f>
        <v>0</v>
      </c>
      <c r="R3" s="73">
        <f>SUM($L3:$Q3)</f>
        <v>0</v>
      </c>
      <c r="S3" s="73">
        <f>ROUND(SUM($O3:$P3)*G3+N3+M3+L3+Q3,2)</f>
        <v>0</v>
      </c>
      <c r="T3" s="74">
        <f>ROUND(S3/H3,2)</f>
        <v>0</v>
      </c>
      <c r="U3" s="45">
        <f>VLOOKUP($A3,'Indicadores Financeiros'!$A$101:$J$210,8,FALSE)</f>
        <v>2.0400000000000001E-2</v>
      </c>
      <c r="V3" s="75">
        <f>ROUND(T3*(1+U3),2)</f>
        <v>0</v>
      </c>
      <c r="W3" s="24">
        <f>IF(E3="Posto/Dia",IFERROR(ROUND(K3*V3,2),0),K3*V3)</f>
        <v>0</v>
      </c>
      <c r="X3" s="84">
        <f>ROUND(W3*('Indicadores Financeiros'!$F$13-F3+1),2)</f>
        <v>0</v>
      </c>
      <c r="Y3" s="20"/>
      <c r="Z3" s="105">
        <f>ROUND(L3*G3*J3,2)</f>
        <v>0</v>
      </c>
      <c r="AA3" s="43">
        <f>IF(E3="posto/dia",'Indicadores Financeiros'!$J$70,0)</f>
        <v>0.31359999999999999</v>
      </c>
      <c r="AB3" s="41">
        <f t="shared" ref="AB3:AB5" si="0">ROUND(Z3*$AA3,2)</f>
        <v>0</v>
      </c>
      <c r="AC3" s="25"/>
      <c r="AD3" s="23">
        <f>IF(E3="posto/dia",ROUND((ROUND(((VLOOKUP($A3,'Indicadores Financeiros'!$A$101:$J$210,9,FALSE)*H3)-ROUND(('Indicadores Financeiros'!$J$82*6%),2))/H3,2)+'Indicadores Financeiros'!$J$91+ROUND(VLOOKUP($C3,'Indicadores Financeiros'!$A$96:$J$97,9,FALSE)/H3,2)+ROUND(((L3*'Indicadores Financeiros'!$J$60)/H3),2))*(1+U3),2),0)</f>
        <v>0</v>
      </c>
      <c r="AE3" s="23">
        <f t="shared" ref="AE3:AE5" si="1">IF(E3="Posto/Dia",ROUND(V3/IF(OR(C3=680019),540,600),2),0)</f>
        <v>0</v>
      </c>
      <c r="AF3" s="113"/>
      <c r="AG3" s="114"/>
      <c r="AH3" s="114"/>
      <c r="AI3" s="31"/>
      <c r="AJ3" s="31"/>
      <c r="AK3" s="31"/>
      <c r="AL3" s="31"/>
      <c r="AM3" s="25"/>
      <c r="AN3" s="25"/>
      <c r="AO3" s="25"/>
      <c r="AP3" s="25"/>
      <c r="AQ3" s="25"/>
      <c r="AR3" s="25"/>
      <c r="AS3" s="25"/>
      <c r="AT3" s="25"/>
      <c r="AU3" s="25"/>
      <c r="AV3" s="25"/>
      <c r="AW3" s="25"/>
      <c r="AX3" s="25"/>
      <c r="AY3" s="25"/>
      <c r="AZ3" s="25"/>
      <c r="BA3" s="25"/>
      <c r="BB3" s="25"/>
      <c r="BC3" s="25"/>
      <c r="BD3" s="25"/>
      <c r="BE3" s="25"/>
      <c r="BF3" s="25"/>
      <c r="BG3" s="25"/>
      <c r="BH3" s="25"/>
      <c r="BI3" s="25"/>
      <c r="BJ3" s="25"/>
      <c r="BK3" s="25"/>
      <c r="BL3" s="25"/>
      <c r="BM3" s="25"/>
      <c r="BN3" s="25"/>
      <c r="BO3" s="25"/>
      <c r="BP3" s="25"/>
      <c r="BQ3" s="25"/>
      <c r="BR3" s="25"/>
      <c r="BS3" s="25"/>
      <c r="BT3" s="25"/>
      <c r="BU3" s="25"/>
      <c r="BV3" s="25"/>
      <c r="BW3" s="25"/>
      <c r="BX3" s="25"/>
      <c r="BY3" s="25"/>
      <c r="BZ3" s="25"/>
      <c r="CA3" s="25"/>
      <c r="CB3" s="25"/>
      <c r="CC3" s="25"/>
      <c r="CD3" s="25"/>
      <c r="CE3" s="25"/>
      <c r="CF3" s="25"/>
      <c r="CG3" s="25"/>
      <c r="CH3" s="25"/>
      <c r="CI3" s="25"/>
      <c r="CJ3" s="25"/>
      <c r="CK3" s="25"/>
      <c r="CL3" s="25"/>
      <c r="CM3" s="25"/>
      <c r="CN3" s="25"/>
      <c r="CO3" s="25"/>
      <c r="CP3" s="25"/>
      <c r="CQ3" s="25"/>
      <c r="CR3" s="25"/>
      <c r="CS3" s="25"/>
      <c r="CT3" s="25"/>
      <c r="CU3" s="25"/>
      <c r="CV3" s="25"/>
      <c r="CW3" s="25"/>
      <c r="CX3" s="25"/>
      <c r="CY3" s="25"/>
      <c r="CZ3" s="25"/>
      <c r="DA3" s="25"/>
      <c r="DB3" s="25"/>
      <c r="DC3" s="25"/>
      <c r="DD3" s="25"/>
      <c r="DE3" s="25"/>
      <c r="DF3" s="25"/>
      <c r="DG3" s="25"/>
      <c r="DH3" s="25"/>
      <c r="DI3" s="25"/>
      <c r="DJ3" s="25"/>
      <c r="DK3" s="25"/>
      <c r="DL3" s="25"/>
      <c r="DM3" s="25"/>
      <c r="DN3" s="25"/>
      <c r="DO3" s="25"/>
      <c r="DP3" s="25"/>
      <c r="DQ3" s="25"/>
      <c r="DR3" s="25"/>
      <c r="DS3" s="25"/>
      <c r="DT3" s="25"/>
      <c r="DU3" s="25"/>
      <c r="DV3" s="25"/>
      <c r="DW3" s="25"/>
      <c r="DX3" s="25"/>
      <c r="DY3" s="25"/>
      <c r="DZ3" s="25"/>
      <c r="EA3" s="25"/>
      <c r="EB3" s="25"/>
      <c r="EC3" s="25"/>
      <c r="ED3" s="25"/>
      <c r="EE3" s="25"/>
      <c r="EF3" s="25"/>
      <c r="EG3" s="25"/>
      <c r="EH3" s="25"/>
      <c r="EI3" s="25"/>
      <c r="EJ3" s="25"/>
      <c r="EK3" s="25"/>
      <c r="EL3" s="25"/>
      <c r="EM3" s="25"/>
      <c r="EN3" s="25"/>
      <c r="EO3" s="25"/>
      <c r="EP3" s="25"/>
      <c r="EQ3" s="25"/>
      <c r="ER3" s="25"/>
      <c r="ES3" s="25"/>
      <c r="ET3" s="25"/>
      <c r="EU3" s="25"/>
      <c r="EV3" s="25"/>
      <c r="EW3" s="25"/>
      <c r="EX3" s="25"/>
      <c r="EY3" s="25"/>
      <c r="EZ3" s="25"/>
      <c r="FA3" s="25"/>
      <c r="FB3" s="25"/>
      <c r="FC3" s="25"/>
      <c r="FD3" s="25"/>
      <c r="FE3" s="25"/>
      <c r="FF3" s="25"/>
      <c r="FG3" s="25"/>
      <c r="FH3" s="25"/>
      <c r="FI3" s="25"/>
      <c r="FJ3" s="25"/>
      <c r="FK3" s="25"/>
      <c r="FL3" s="25"/>
      <c r="FM3" s="25"/>
      <c r="FN3" s="25"/>
      <c r="FO3" s="25"/>
      <c r="FP3" s="25"/>
      <c r="FQ3" s="25"/>
      <c r="FR3" s="25"/>
      <c r="FS3" s="25"/>
      <c r="FT3" s="25"/>
      <c r="FU3" s="25"/>
      <c r="FV3" s="25"/>
      <c r="FW3" s="25"/>
      <c r="FX3" s="25"/>
      <c r="FY3" s="25"/>
      <c r="FZ3" s="25"/>
      <c r="GA3" s="25"/>
      <c r="GB3" s="25"/>
      <c r="GC3" s="25"/>
      <c r="GD3" s="25"/>
      <c r="GE3" s="25"/>
      <c r="GF3" s="25"/>
      <c r="GG3" s="25"/>
      <c r="GH3" s="25"/>
      <c r="GI3" s="25"/>
      <c r="GJ3" s="25"/>
      <c r="GK3" s="25"/>
      <c r="GL3" s="25"/>
      <c r="GM3" s="25"/>
      <c r="GN3" s="25"/>
      <c r="GO3" s="25"/>
      <c r="GP3" s="25"/>
      <c r="GQ3" s="25"/>
      <c r="GR3" s="25"/>
      <c r="GS3" s="25"/>
      <c r="GT3" s="25"/>
      <c r="GU3" s="25"/>
      <c r="GV3" s="25"/>
      <c r="GW3" s="25"/>
      <c r="GX3" s="25"/>
      <c r="GY3" s="25"/>
      <c r="GZ3" s="25"/>
      <c r="HA3" s="25"/>
      <c r="HB3" s="25"/>
      <c r="HC3" s="25"/>
      <c r="HD3" s="25"/>
      <c r="HE3" s="25"/>
      <c r="HF3" s="25"/>
      <c r="HG3" s="25"/>
      <c r="HH3" s="25"/>
      <c r="HI3" s="25"/>
      <c r="HJ3" s="25"/>
      <c r="HK3" s="25"/>
      <c r="HL3" s="25"/>
      <c r="HM3" s="25"/>
      <c r="HN3" s="25"/>
      <c r="HO3" s="25"/>
      <c r="HP3" s="25"/>
      <c r="HQ3" s="25"/>
      <c r="HR3" s="25"/>
      <c r="HS3" s="25"/>
      <c r="HT3" s="25"/>
      <c r="HU3" s="25"/>
      <c r="HV3" s="25"/>
      <c r="HW3" s="25"/>
      <c r="HX3" s="25"/>
      <c r="HY3" s="25"/>
      <c r="HZ3" s="25"/>
      <c r="IA3" s="25"/>
      <c r="IB3" s="25"/>
      <c r="IC3" s="25"/>
      <c r="ID3" s="25"/>
      <c r="IE3" s="25"/>
      <c r="IF3" s="25"/>
      <c r="IG3" s="25"/>
      <c r="IH3" s="25"/>
      <c r="II3" s="25"/>
      <c r="IJ3" s="25"/>
      <c r="IK3" s="25"/>
      <c r="IL3" s="25"/>
      <c r="IM3" s="25"/>
      <c r="IN3" s="25"/>
      <c r="IO3" s="25"/>
      <c r="IP3" s="25"/>
      <c r="IQ3" s="25"/>
      <c r="IR3" s="25"/>
      <c r="IS3" s="25"/>
      <c r="IT3" s="25"/>
      <c r="IU3" s="25"/>
      <c r="IV3" s="25"/>
      <c r="IW3" s="25"/>
      <c r="IX3" s="25"/>
      <c r="IY3" s="25"/>
      <c r="IZ3" s="25"/>
      <c r="JA3" s="25"/>
      <c r="JB3" s="25"/>
      <c r="JC3" s="25"/>
      <c r="JD3" s="25"/>
      <c r="JE3" s="25"/>
      <c r="JF3" s="25"/>
      <c r="JG3" s="25"/>
      <c r="JH3" s="25"/>
      <c r="JI3" s="25"/>
      <c r="JJ3" s="25"/>
      <c r="JK3" s="25"/>
      <c r="JL3" s="25"/>
      <c r="JM3" s="25"/>
      <c r="JN3" s="25"/>
      <c r="JO3" s="25"/>
      <c r="JP3" s="25"/>
      <c r="JQ3" s="25"/>
      <c r="JR3" s="25"/>
      <c r="JS3" s="25"/>
      <c r="JT3" s="25"/>
      <c r="JU3" s="25"/>
      <c r="JV3" s="25"/>
      <c r="JW3" s="25"/>
      <c r="JX3" s="25"/>
      <c r="JY3" s="25"/>
      <c r="JZ3" s="25"/>
      <c r="KA3" s="25"/>
      <c r="KB3" s="25"/>
      <c r="KC3" s="25"/>
      <c r="KD3" s="25"/>
      <c r="KE3" s="25"/>
      <c r="KF3" s="25"/>
      <c r="KG3" s="25"/>
      <c r="KH3" s="25"/>
      <c r="KI3" s="25"/>
      <c r="KJ3" s="25"/>
      <c r="KK3" s="25"/>
      <c r="KL3" s="25"/>
      <c r="KM3" s="25"/>
      <c r="KN3" s="25"/>
      <c r="KO3" s="25"/>
      <c r="KP3" s="25"/>
      <c r="KQ3" s="25"/>
      <c r="KR3" s="25"/>
      <c r="KS3" s="25"/>
      <c r="KT3" s="25"/>
      <c r="KU3" s="25"/>
      <c r="KV3" s="25"/>
      <c r="KW3" s="25"/>
      <c r="KX3" s="25"/>
      <c r="KY3" s="25"/>
      <c r="KZ3" s="25"/>
      <c r="LA3" s="25"/>
      <c r="LB3" s="25"/>
      <c r="LC3" s="25"/>
      <c r="LD3" s="25"/>
      <c r="LE3" s="25"/>
      <c r="LF3" s="25"/>
      <c r="LG3" s="25"/>
      <c r="LH3" s="25"/>
      <c r="LI3" s="25"/>
      <c r="LJ3" s="25"/>
      <c r="LK3" s="25"/>
      <c r="LL3" s="25"/>
      <c r="LM3" s="25"/>
      <c r="LN3" s="25"/>
      <c r="LO3" s="25"/>
      <c r="LP3" s="25"/>
      <c r="LQ3" s="25"/>
      <c r="LR3" s="25"/>
      <c r="LS3" s="25"/>
      <c r="LT3" s="25"/>
      <c r="LU3" s="25"/>
      <c r="LV3" s="25"/>
      <c r="LW3" s="25"/>
      <c r="LX3" s="25"/>
      <c r="LY3" s="25"/>
      <c r="LZ3" s="25"/>
      <c r="MA3" s="25"/>
      <c r="MB3" s="25"/>
      <c r="MC3" s="25"/>
      <c r="MD3" s="25"/>
      <c r="ME3" s="25"/>
      <c r="MF3" s="25"/>
      <c r="MG3" s="25"/>
      <c r="MH3" s="25"/>
      <c r="MI3" s="25"/>
    </row>
    <row r="4" spans="1:348" s="26" customFormat="1" ht="47.25" customHeight="1" x14ac:dyDescent="0.25">
      <c r="A4" s="21">
        <v>2</v>
      </c>
      <c r="B4" s="22" t="str">
        <f>VLOOKUP($A4,'Indicadores Financeiros'!$A$101:$J$210,2,FALSE)</f>
        <v>Fórum Criminal Complexo Judiciário Ministro Mário Guimarães</v>
      </c>
      <c r="C4" s="4">
        <v>680019</v>
      </c>
      <c r="D4" s="7" t="str">
        <f>VLOOKUP($C4,'Indicadores Financeiros'!$A$96:$J$97,2,FALSE)</f>
        <v>Porteiro/Controlador de Acesso - com almocista (repositor) - 08 horas diárias - diurno - segunda a domingo</v>
      </c>
      <c r="E4" s="7" t="str">
        <f>VLOOKUP($C4,'Indicadores Financeiros'!$A$96:$M$97,3,FALSE)</f>
        <v>Posto/Dia</v>
      </c>
      <c r="F4" s="4">
        <f>VLOOKUP($A4,'Indicadores Financeiros'!$A$101:$J$109,10,FALSE)</f>
        <v>1</v>
      </c>
      <c r="G4" s="152">
        <f>VLOOKUP($C4,'Indicadores Financeiros'!$A$96:$M$97,6,FALSE)</f>
        <v>1.29</v>
      </c>
      <c r="H4" s="154">
        <f>'Indicadores Financeiros'!$J$73</f>
        <v>29.03</v>
      </c>
      <c r="I4" s="158">
        <f>'Indicadores Financeiros'!$J$75</f>
        <v>31</v>
      </c>
      <c r="J4" s="161">
        <v>3</v>
      </c>
      <c r="K4" s="70">
        <f>IF(E4="Posto/Dia",I4*J4,J4)</f>
        <v>93</v>
      </c>
      <c r="L4" s="71">
        <f>IF('Indicadores Financeiros'!$J$82=0,0,'Indicadores Financeiros'!$J$82)</f>
        <v>0</v>
      </c>
      <c r="M4" s="71">
        <f>ROUND((G4-1)*L4,2)</f>
        <v>0</v>
      </c>
      <c r="N4" s="71">
        <f>ROUND(SUM($L4:$M4)*'Indicadores Financeiros'!$J$62,2)</f>
        <v>0</v>
      </c>
      <c r="O4" s="46">
        <f>ROUND(SUM('Indicadores Financeiros'!$J$84:$J$90)+'Indicadores Financeiros'!$J$92+ROUND(('Indicadores Financeiros'!$J$91*'Relatório Custo'!$H4),2),2)+IF(ROUND((VLOOKUP($A4,'Indicadores Financeiros'!$A$101:$J$109,9,FALSE)*H4)-('Indicadores Financeiros'!$J$82*6%),2)&lt;0,0,ROUND((VLOOKUP($A4,'Indicadores Financeiros'!$A$101:$J$109,9,FALSE)*H4)-('Indicadores Financeiros'!$J$82*6%),2))</f>
        <v>0</v>
      </c>
      <c r="P4" s="46">
        <f>VLOOKUP($C4,'Indicadores Financeiros'!$A$96:$J$97,9,FALSE)+VLOOKUP($C4,'Indicadores Financeiros'!$A$96:$J$97,8,FALSE)</f>
        <v>0</v>
      </c>
      <c r="Q4" s="46">
        <f>ROUND((L4+N4+O4+P4+M4)*VLOOKUP($C4,'Indicadores Financeiros'!$A$96:$M$97,5,FALSE),2)</f>
        <v>0</v>
      </c>
      <c r="R4" s="73">
        <f>SUM($L4:$Q4)</f>
        <v>0</v>
      </c>
      <c r="S4" s="73">
        <f>ROUND(SUM($O4:$P4)*G4+N4+M4+L4+Q4,2)</f>
        <v>0</v>
      </c>
      <c r="T4" s="74">
        <f t="shared" ref="T4:T5" si="2">ROUND(S4/H4,2)</f>
        <v>0</v>
      </c>
      <c r="U4" s="45">
        <f>VLOOKUP($A4,'Indicadores Financeiros'!$A$101:$J$210,8,FALSE)</f>
        <v>2.0400000000000001E-2</v>
      </c>
      <c r="V4" s="75">
        <f>ROUND(T4*(1+U4),2)</f>
        <v>0</v>
      </c>
      <c r="W4" s="24">
        <f>IF(E4="Posto/Dia",IFERROR(ROUND(K4*V4,2),0),K4*V4)</f>
        <v>0</v>
      </c>
      <c r="X4" s="84">
        <f>ROUND(W4*('Indicadores Financeiros'!$F$13-F4+1),2)</f>
        <v>0</v>
      </c>
      <c r="Y4" s="20"/>
      <c r="Z4" s="105">
        <f>ROUND(L4*G4*J4,2)</f>
        <v>0</v>
      </c>
      <c r="AA4" s="43">
        <f>IF(E4="posto/dia",'Indicadores Financeiros'!$J$70,0)</f>
        <v>0.31359999999999999</v>
      </c>
      <c r="AB4" s="41">
        <f t="shared" ref="AB4" si="3">ROUND(Z4*$AA4,2)</f>
        <v>0</v>
      </c>
      <c r="AC4" s="25"/>
      <c r="AD4" s="23">
        <f>IF(E4="posto/dia",ROUND((ROUND(((VLOOKUP($A4,'Indicadores Financeiros'!$A$101:$J$210,9,FALSE)*H4)-ROUND(('Indicadores Financeiros'!$J$82*6%),2))/H4,2)+'Indicadores Financeiros'!$J$91+ROUND(VLOOKUP($C4,'Indicadores Financeiros'!$A$96:$J$97,9,FALSE)/H4,2)+ROUND(((L4*'Indicadores Financeiros'!$J$60)/H4),2))*(1+U4),2),0)</f>
        <v>0</v>
      </c>
      <c r="AE4" s="23">
        <f t="shared" ref="AE4" si="4">IF(E4="Posto/Dia",ROUND(V4/IF(OR(C4=680019),540,600),2),0)</f>
        <v>0</v>
      </c>
      <c r="AF4" s="113"/>
      <c r="AG4" s="114"/>
      <c r="AH4" s="114"/>
      <c r="AI4" s="31"/>
      <c r="AJ4" s="31"/>
      <c r="AK4" s="31"/>
      <c r="AL4" s="31"/>
      <c r="AM4" s="25"/>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c r="DB4" s="25"/>
      <c r="DC4" s="25"/>
      <c r="DD4" s="25"/>
      <c r="DE4" s="25"/>
      <c r="DF4" s="25"/>
      <c r="DG4" s="25"/>
      <c r="DH4" s="25"/>
      <c r="DI4" s="25"/>
      <c r="DJ4" s="25"/>
      <c r="DK4" s="25"/>
      <c r="DL4" s="25"/>
      <c r="DM4" s="25"/>
      <c r="DN4" s="25"/>
      <c r="DO4" s="25"/>
      <c r="DP4" s="25"/>
      <c r="DQ4" s="25"/>
      <c r="DR4" s="25"/>
      <c r="DS4" s="25"/>
      <c r="DT4" s="25"/>
      <c r="DU4" s="25"/>
      <c r="DV4" s="25"/>
      <c r="DW4" s="25"/>
      <c r="DX4" s="25"/>
      <c r="DY4" s="25"/>
      <c r="DZ4" s="25"/>
      <c r="EA4" s="25"/>
      <c r="EB4" s="25"/>
      <c r="EC4" s="25"/>
      <c r="ED4" s="25"/>
      <c r="EE4" s="25"/>
      <c r="EF4" s="25"/>
      <c r="EG4" s="25"/>
      <c r="EH4" s="25"/>
      <c r="EI4" s="25"/>
      <c r="EJ4" s="25"/>
      <c r="EK4" s="25"/>
      <c r="EL4" s="25"/>
      <c r="EM4" s="25"/>
      <c r="EN4" s="25"/>
      <c r="EO4" s="25"/>
      <c r="EP4" s="25"/>
      <c r="EQ4" s="25"/>
      <c r="ER4" s="25"/>
      <c r="ES4" s="25"/>
      <c r="ET4" s="25"/>
      <c r="EU4" s="25"/>
      <c r="EV4" s="25"/>
      <c r="EW4" s="25"/>
      <c r="EX4" s="25"/>
      <c r="EY4" s="25"/>
      <c r="EZ4" s="25"/>
      <c r="FA4" s="25"/>
      <c r="FB4" s="25"/>
      <c r="FC4" s="25"/>
      <c r="FD4" s="25"/>
      <c r="FE4" s="25"/>
      <c r="FF4" s="25"/>
      <c r="FG4" s="25"/>
      <c r="FH4" s="25"/>
      <c r="FI4" s="25"/>
      <c r="FJ4" s="25"/>
      <c r="FK4" s="25"/>
      <c r="FL4" s="25"/>
      <c r="FM4" s="25"/>
      <c r="FN4" s="25"/>
      <c r="FO4" s="25"/>
      <c r="FP4" s="25"/>
      <c r="FQ4" s="25"/>
      <c r="FR4" s="25"/>
      <c r="FS4" s="25"/>
      <c r="FT4" s="25"/>
      <c r="FU4" s="25"/>
      <c r="FV4" s="25"/>
      <c r="FW4" s="25"/>
      <c r="FX4" s="25"/>
      <c r="FY4" s="25"/>
      <c r="FZ4" s="25"/>
      <c r="GA4" s="25"/>
      <c r="GB4" s="25"/>
      <c r="GC4" s="25"/>
      <c r="GD4" s="25"/>
      <c r="GE4" s="25"/>
      <c r="GF4" s="25"/>
      <c r="GG4" s="25"/>
      <c r="GH4" s="25"/>
      <c r="GI4" s="25"/>
      <c r="GJ4" s="25"/>
      <c r="GK4" s="25"/>
      <c r="GL4" s="25"/>
      <c r="GM4" s="25"/>
      <c r="GN4" s="25"/>
      <c r="GO4" s="25"/>
      <c r="GP4" s="25"/>
      <c r="GQ4" s="25"/>
      <c r="GR4" s="25"/>
      <c r="GS4" s="25"/>
      <c r="GT4" s="25"/>
      <c r="GU4" s="25"/>
      <c r="GV4" s="25"/>
      <c r="GW4" s="25"/>
      <c r="GX4" s="25"/>
      <c r="GY4" s="25"/>
      <c r="GZ4" s="25"/>
      <c r="HA4" s="25"/>
      <c r="HB4" s="25"/>
      <c r="HC4" s="25"/>
      <c r="HD4" s="25"/>
      <c r="HE4" s="25"/>
      <c r="HF4" s="25"/>
      <c r="HG4" s="25"/>
      <c r="HH4" s="25"/>
      <c r="HI4" s="25"/>
      <c r="HJ4" s="25"/>
      <c r="HK4" s="25"/>
      <c r="HL4" s="25"/>
      <c r="HM4" s="25"/>
      <c r="HN4" s="25"/>
      <c r="HO4" s="25"/>
      <c r="HP4" s="25"/>
      <c r="HQ4" s="25"/>
      <c r="HR4" s="25"/>
      <c r="HS4" s="25"/>
      <c r="HT4" s="25"/>
      <c r="HU4" s="25"/>
      <c r="HV4" s="25"/>
      <c r="HW4" s="25"/>
      <c r="HX4" s="25"/>
      <c r="HY4" s="25"/>
      <c r="HZ4" s="25"/>
      <c r="IA4" s="25"/>
      <c r="IB4" s="25"/>
      <c r="IC4" s="25"/>
      <c r="ID4" s="25"/>
      <c r="IE4" s="25"/>
      <c r="IF4" s="25"/>
      <c r="IG4" s="25"/>
      <c r="IH4" s="25"/>
      <c r="II4" s="25"/>
      <c r="IJ4" s="25"/>
      <c r="IK4" s="25"/>
      <c r="IL4" s="25"/>
      <c r="IM4" s="25"/>
      <c r="IN4" s="25"/>
      <c r="IO4" s="25"/>
      <c r="IP4" s="25"/>
      <c r="IQ4" s="25"/>
      <c r="IR4" s="25"/>
      <c r="IS4" s="25"/>
      <c r="IT4" s="25"/>
      <c r="IU4" s="25"/>
      <c r="IV4" s="25"/>
      <c r="IW4" s="25"/>
      <c r="IX4" s="25"/>
      <c r="IY4" s="25"/>
      <c r="IZ4" s="25"/>
      <c r="JA4" s="25"/>
      <c r="JB4" s="25"/>
      <c r="JC4" s="25"/>
      <c r="JD4" s="25"/>
      <c r="JE4" s="25"/>
      <c r="JF4" s="25"/>
      <c r="JG4" s="25"/>
      <c r="JH4" s="25"/>
      <c r="JI4" s="25"/>
      <c r="JJ4" s="25"/>
      <c r="JK4" s="25"/>
      <c r="JL4" s="25"/>
      <c r="JM4" s="25"/>
      <c r="JN4" s="25"/>
      <c r="JO4" s="25"/>
      <c r="JP4" s="25"/>
      <c r="JQ4" s="25"/>
      <c r="JR4" s="25"/>
      <c r="JS4" s="25"/>
      <c r="JT4" s="25"/>
      <c r="JU4" s="25"/>
      <c r="JV4" s="25"/>
      <c r="JW4" s="25"/>
      <c r="JX4" s="25"/>
      <c r="JY4" s="25"/>
      <c r="JZ4" s="25"/>
      <c r="KA4" s="25"/>
      <c r="KB4" s="25"/>
      <c r="KC4" s="25"/>
      <c r="KD4" s="25"/>
      <c r="KE4" s="25"/>
      <c r="KF4" s="25"/>
      <c r="KG4" s="25"/>
      <c r="KH4" s="25"/>
      <c r="KI4" s="25"/>
      <c r="KJ4" s="25"/>
      <c r="KK4" s="25"/>
      <c r="KL4" s="25"/>
      <c r="KM4" s="25"/>
      <c r="KN4" s="25"/>
      <c r="KO4" s="25"/>
      <c r="KP4" s="25"/>
      <c r="KQ4" s="25"/>
      <c r="KR4" s="25"/>
      <c r="KS4" s="25"/>
      <c r="KT4" s="25"/>
      <c r="KU4" s="25"/>
      <c r="KV4" s="25"/>
      <c r="KW4" s="25"/>
      <c r="KX4" s="25"/>
      <c r="KY4" s="25"/>
      <c r="KZ4" s="25"/>
      <c r="LA4" s="25"/>
      <c r="LB4" s="25"/>
      <c r="LC4" s="25"/>
      <c r="LD4" s="25"/>
      <c r="LE4" s="25"/>
      <c r="LF4" s="25"/>
      <c r="LG4" s="25"/>
      <c r="LH4" s="25"/>
      <c r="LI4" s="25"/>
      <c r="LJ4" s="25"/>
      <c r="LK4" s="25"/>
      <c r="LL4" s="25"/>
      <c r="LM4" s="25"/>
      <c r="LN4" s="25"/>
      <c r="LO4" s="25"/>
      <c r="LP4" s="25"/>
      <c r="LQ4" s="25"/>
      <c r="LR4" s="25"/>
      <c r="LS4" s="25"/>
      <c r="LT4" s="25"/>
      <c r="LU4" s="25"/>
      <c r="LV4" s="25"/>
      <c r="LW4" s="25"/>
      <c r="LX4" s="25"/>
      <c r="LY4" s="25"/>
      <c r="LZ4" s="25"/>
      <c r="MA4" s="25"/>
      <c r="MB4" s="25"/>
      <c r="MC4" s="25"/>
      <c r="MD4" s="25"/>
      <c r="ME4" s="25"/>
      <c r="MF4" s="25"/>
      <c r="MG4" s="25"/>
      <c r="MH4" s="25"/>
      <c r="MI4" s="25"/>
    </row>
    <row r="5" spans="1:348" s="26" customFormat="1" ht="47.25" customHeight="1" x14ac:dyDescent="0.25">
      <c r="A5" s="21">
        <v>2</v>
      </c>
      <c r="B5" s="22" t="str">
        <f>VLOOKUP($A5,'Indicadores Financeiros'!$A$101:$J$210,2,FALSE)</f>
        <v>Fórum Criminal Complexo Judiciário Ministro Mário Guimarães</v>
      </c>
      <c r="C5" s="4">
        <v>680020</v>
      </c>
      <c r="D5" s="7" t="str">
        <f>VLOOKUP($C5,'Indicadores Financeiros'!$A$96:$J$97,2,FALSE)</f>
        <v>Porteiro/Controlador de Acesso - com almocista (repositor) - 44 horas semanais - diurno - segunda a sexta</v>
      </c>
      <c r="E5" s="7" t="str">
        <f>VLOOKUP($C5,'Indicadores Financeiros'!$A$96:$M$97,3,FALSE)</f>
        <v>Posto/Dia</v>
      </c>
      <c r="F5" s="4">
        <f>VLOOKUP($A5,'Indicadores Financeiros'!$A$101:$J$109,10,FALSE)</f>
        <v>1</v>
      </c>
      <c r="G5" s="152">
        <f>VLOOKUP($C5,'Indicadores Financeiros'!$A$96:$M$97,6,FALSE)</f>
        <v>1</v>
      </c>
      <c r="H5" s="154">
        <f>'Indicadores Financeiros'!$J$74</f>
        <v>20.75</v>
      </c>
      <c r="I5" s="158">
        <f>'Indicadores Financeiros'!$J$76</f>
        <v>21</v>
      </c>
      <c r="J5" s="161">
        <v>24</v>
      </c>
      <c r="K5" s="70">
        <f t="shared" ref="K5" si="5">IF(E5="Posto/Dia",I5*J5,J5)</f>
        <v>504</v>
      </c>
      <c r="L5" s="71">
        <f>IF('Indicadores Financeiros'!$J$82=0,0,'Indicadores Financeiros'!$J$82)</f>
        <v>0</v>
      </c>
      <c r="M5" s="71">
        <f t="shared" ref="M5:M12" si="6">ROUND((G5-1)*L5,2)</f>
        <v>0</v>
      </c>
      <c r="N5" s="71">
        <f>ROUND(SUM($L5:$M5)*'Indicadores Financeiros'!$J$62,2)</f>
        <v>0</v>
      </c>
      <c r="O5" s="46">
        <f>ROUND(SUM('Indicadores Financeiros'!$J$84:$J$90)+'Indicadores Financeiros'!$J$92+ROUND(('Indicadores Financeiros'!$J$91*'Relatório Custo'!$H5),2),2)+IF(ROUND((VLOOKUP($A5,'Indicadores Financeiros'!$A$101:$J$109,9,FALSE)*H5)-('Indicadores Financeiros'!$J$82*6%),2)&lt;0,0,ROUND((VLOOKUP($A5,'Indicadores Financeiros'!$A$101:$J$109,9,FALSE)*H5)-('Indicadores Financeiros'!$J$82*6%),2))</f>
        <v>0</v>
      </c>
      <c r="P5" s="46">
        <f>VLOOKUP($C5,'Indicadores Financeiros'!$A$96:$J$97,9,FALSE)+VLOOKUP($C5,'Indicadores Financeiros'!$A$96:$J$97,8,FALSE)</f>
        <v>0</v>
      </c>
      <c r="Q5" s="46">
        <f>ROUND((L5+N5+O5+P5+M5)*VLOOKUP($C5,'Indicadores Financeiros'!$A$96:$M$97,5,FALSE),2)</f>
        <v>0</v>
      </c>
      <c r="R5" s="73">
        <f>SUM($L5:$Q5)</f>
        <v>0</v>
      </c>
      <c r="S5" s="73">
        <f>ROUND(SUM($O5:$P5)*G5+N5+M5+L5+Q5,2)</f>
        <v>0</v>
      </c>
      <c r="T5" s="74">
        <f t="shared" si="2"/>
        <v>0</v>
      </c>
      <c r="U5" s="45">
        <f>VLOOKUP($A5,'Indicadores Financeiros'!$A$101:$J$210,8,FALSE)</f>
        <v>2.0400000000000001E-2</v>
      </c>
      <c r="V5" s="75">
        <f t="shared" ref="V5" si="7">ROUND(T5*(1+U5),2)</f>
        <v>0</v>
      </c>
      <c r="W5" s="24">
        <f t="shared" ref="W5" si="8">IF(E5="Posto/Dia",IFERROR(ROUND(K5*V5,2),0),K5*V5)</f>
        <v>0</v>
      </c>
      <c r="X5" s="84">
        <f>ROUND(W5*('Indicadores Financeiros'!$F$13-F5+1),2)</f>
        <v>0</v>
      </c>
      <c r="Y5" s="20"/>
      <c r="Z5" s="105">
        <f t="shared" ref="Z5" si="9">ROUND(L5*G5*J5,2)</f>
        <v>0</v>
      </c>
      <c r="AA5" s="43">
        <f>IF(E5="posto/dia",'Indicadores Financeiros'!$J$70,0)</f>
        <v>0.31359999999999999</v>
      </c>
      <c r="AB5" s="41">
        <f t="shared" si="0"/>
        <v>0</v>
      </c>
      <c r="AC5" s="25"/>
      <c r="AD5" s="23">
        <f>IF(E5="posto/dia",ROUND((ROUND(((VLOOKUP($A5,'Indicadores Financeiros'!$A$101:$J$210,9,FALSE)*H5)-ROUND(('Indicadores Financeiros'!$J$82*6%),2))/H5,2)+ROUND('Indicadores Financeiros'!$J$91,2)+ROUND(VLOOKUP($C5,'Indicadores Financeiros'!$A$96:$J$97,9,FALSE)/H5,2)+ROUND((L5*'Indicadores Financeiros'!$J$60/H5),2))*(1+U5),2),0)</f>
        <v>0</v>
      </c>
      <c r="AE5" s="23">
        <f t="shared" si="1"/>
        <v>0</v>
      </c>
      <c r="AF5" s="113"/>
      <c r="AG5" s="114"/>
      <c r="AH5" s="114"/>
      <c r="AI5" s="31"/>
      <c r="AJ5" s="31"/>
      <c r="AK5" s="31"/>
      <c r="AL5" s="31"/>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c r="CS5" s="25"/>
      <c r="CT5" s="25"/>
      <c r="CU5" s="25"/>
      <c r="CV5" s="25"/>
      <c r="CW5" s="25"/>
      <c r="CX5" s="25"/>
      <c r="CY5" s="25"/>
      <c r="CZ5" s="25"/>
      <c r="DA5" s="25"/>
      <c r="DB5" s="25"/>
      <c r="DC5" s="25"/>
      <c r="DD5" s="25"/>
      <c r="DE5" s="25"/>
      <c r="DF5" s="25"/>
      <c r="DG5" s="25"/>
      <c r="DH5" s="25"/>
      <c r="DI5" s="25"/>
      <c r="DJ5" s="25"/>
      <c r="DK5" s="25"/>
      <c r="DL5" s="25"/>
      <c r="DM5" s="25"/>
      <c r="DN5" s="25"/>
      <c r="DO5" s="25"/>
      <c r="DP5" s="25"/>
      <c r="DQ5" s="25"/>
      <c r="DR5" s="25"/>
      <c r="DS5" s="25"/>
      <c r="DT5" s="25"/>
      <c r="DU5" s="25"/>
      <c r="DV5" s="25"/>
      <c r="DW5" s="25"/>
      <c r="DX5" s="25"/>
      <c r="DY5" s="25"/>
      <c r="DZ5" s="25"/>
      <c r="EA5" s="25"/>
      <c r="EB5" s="25"/>
      <c r="EC5" s="25"/>
      <c r="ED5" s="25"/>
      <c r="EE5" s="25"/>
      <c r="EF5" s="25"/>
      <c r="EG5" s="25"/>
      <c r="EH5" s="25"/>
      <c r="EI5" s="25"/>
      <c r="EJ5" s="25"/>
      <c r="EK5" s="25"/>
      <c r="EL5" s="25"/>
      <c r="EM5" s="25"/>
      <c r="EN5" s="25"/>
      <c r="EO5" s="25"/>
      <c r="EP5" s="25"/>
      <c r="EQ5" s="25"/>
      <c r="ER5" s="25"/>
      <c r="ES5" s="25"/>
      <c r="ET5" s="25"/>
      <c r="EU5" s="25"/>
      <c r="EV5" s="25"/>
      <c r="EW5" s="25"/>
      <c r="EX5" s="25"/>
      <c r="EY5" s="25"/>
      <c r="EZ5" s="25"/>
      <c r="FA5" s="25"/>
      <c r="FB5" s="25"/>
      <c r="FC5" s="25"/>
      <c r="FD5" s="25"/>
      <c r="FE5" s="25"/>
      <c r="FF5" s="25"/>
      <c r="FG5" s="25"/>
      <c r="FH5" s="25"/>
      <c r="FI5" s="25"/>
      <c r="FJ5" s="25"/>
      <c r="FK5" s="25"/>
      <c r="FL5" s="25"/>
      <c r="FM5" s="25"/>
      <c r="FN5" s="25"/>
      <c r="FO5" s="25"/>
      <c r="FP5" s="25"/>
      <c r="FQ5" s="25"/>
      <c r="FR5" s="25"/>
      <c r="FS5" s="25"/>
      <c r="FT5" s="25"/>
      <c r="FU5" s="25"/>
      <c r="FV5" s="25"/>
      <c r="FW5" s="25"/>
      <c r="FX5" s="25"/>
      <c r="FY5" s="25"/>
      <c r="FZ5" s="25"/>
      <c r="GA5" s="25"/>
      <c r="GB5" s="25"/>
      <c r="GC5" s="25"/>
      <c r="GD5" s="25"/>
      <c r="GE5" s="25"/>
      <c r="GF5" s="25"/>
      <c r="GG5" s="25"/>
      <c r="GH5" s="25"/>
      <c r="GI5" s="25"/>
      <c r="GJ5" s="25"/>
      <c r="GK5" s="25"/>
      <c r="GL5" s="25"/>
      <c r="GM5" s="25"/>
      <c r="GN5" s="25"/>
      <c r="GO5" s="25"/>
      <c r="GP5" s="25"/>
      <c r="GQ5" s="25"/>
      <c r="GR5" s="25"/>
      <c r="GS5" s="25"/>
      <c r="GT5" s="25"/>
      <c r="GU5" s="25"/>
      <c r="GV5" s="25"/>
      <c r="GW5" s="25"/>
      <c r="GX5" s="25"/>
      <c r="GY5" s="25"/>
      <c r="GZ5" s="25"/>
      <c r="HA5" s="25"/>
      <c r="HB5" s="25"/>
      <c r="HC5" s="25"/>
      <c r="HD5" s="25"/>
      <c r="HE5" s="25"/>
      <c r="HF5" s="25"/>
      <c r="HG5" s="25"/>
      <c r="HH5" s="25"/>
      <c r="HI5" s="25"/>
      <c r="HJ5" s="25"/>
      <c r="HK5" s="25"/>
      <c r="HL5" s="25"/>
      <c r="HM5" s="25"/>
      <c r="HN5" s="25"/>
      <c r="HO5" s="25"/>
      <c r="HP5" s="25"/>
      <c r="HQ5" s="25"/>
      <c r="HR5" s="25"/>
      <c r="HS5" s="25"/>
      <c r="HT5" s="25"/>
      <c r="HU5" s="25"/>
      <c r="HV5" s="25"/>
      <c r="HW5" s="25"/>
      <c r="HX5" s="25"/>
      <c r="HY5" s="25"/>
      <c r="HZ5" s="25"/>
      <c r="IA5" s="25"/>
      <c r="IB5" s="25"/>
      <c r="IC5" s="25"/>
      <c r="ID5" s="25"/>
      <c r="IE5" s="25"/>
      <c r="IF5" s="25"/>
      <c r="IG5" s="25"/>
      <c r="IH5" s="25"/>
      <c r="II5" s="25"/>
      <c r="IJ5" s="25"/>
      <c r="IK5" s="25"/>
      <c r="IL5" s="25"/>
      <c r="IM5" s="25"/>
      <c r="IN5" s="25"/>
      <c r="IO5" s="25"/>
      <c r="IP5" s="25"/>
      <c r="IQ5" s="25"/>
      <c r="IR5" s="25"/>
      <c r="IS5" s="25"/>
      <c r="IT5" s="25"/>
      <c r="IU5" s="25"/>
      <c r="IV5" s="25"/>
      <c r="IW5" s="25"/>
      <c r="IX5" s="25"/>
      <c r="IY5" s="25"/>
      <c r="IZ5" s="25"/>
      <c r="JA5" s="25"/>
      <c r="JB5" s="25"/>
      <c r="JC5" s="25"/>
      <c r="JD5" s="25"/>
      <c r="JE5" s="25"/>
      <c r="JF5" s="25"/>
      <c r="JG5" s="25"/>
      <c r="JH5" s="25"/>
      <c r="JI5" s="25"/>
      <c r="JJ5" s="25"/>
      <c r="JK5" s="25"/>
      <c r="JL5" s="25"/>
      <c r="JM5" s="25"/>
      <c r="JN5" s="25"/>
      <c r="JO5" s="25"/>
      <c r="JP5" s="25"/>
      <c r="JQ5" s="25"/>
      <c r="JR5" s="25"/>
      <c r="JS5" s="25"/>
      <c r="JT5" s="25"/>
      <c r="JU5" s="25"/>
      <c r="JV5" s="25"/>
      <c r="JW5" s="25"/>
      <c r="JX5" s="25"/>
      <c r="JY5" s="25"/>
      <c r="JZ5" s="25"/>
      <c r="KA5" s="25"/>
      <c r="KB5" s="25"/>
      <c r="KC5" s="25"/>
      <c r="KD5" s="25"/>
      <c r="KE5" s="25"/>
      <c r="KF5" s="25"/>
      <c r="KG5" s="25"/>
      <c r="KH5" s="25"/>
      <c r="KI5" s="25"/>
      <c r="KJ5" s="25"/>
      <c r="KK5" s="25"/>
      <c r="KL5" s="25"/>
      <c r="KM5" s="25"/>
      <c r="KN5" s="25"/>
      <c r="KO5" s="25"/>
      <c r="KP5" s="25"/>
      <c r="KQ5" s="25"/>
      <c r="KR5" s="25"/>
      <c r="KS5" s="25"/>
      <c r="KT5" s="25"/>
      <c r="KU5" s="25"/>
      <c r="KV5" s="25"/>
      <c r="KW5" s="25"/>
      <c r="KX5" s="25"/>
      <c r="KY5" s="25"/>
      <c r="KZ5" s="25"/>
      <c r="LA5" s="25"/>
      <c r="LB5" s="25"/>
      <c r="LC5" s="25"/>
      <c r="LD5" s="25"/>
      <c r="LE5" s="25"/>
      <c r="LF5" s="25"/>
      <c r="LG5" s="25"/>
      <c r="LH5" s="25"/>
      <c r="LI5" s="25"/>
      <c r="LJ5" s="25"/>
      <c r="LK5" s="25"/>
      <c r="LL5" s="25"/>
      <c r="LM5" s="25"/>
      <c r="LN5" s="25"/>
      <c r="LO5" s="25"/>
      <c r="LP5" s="25"/>
      <c r="LQ5" s="25"/>
      <c r="LR5" s="25"/>
      <c r="LS5" s="25"/>
      <c r="LT5" s="25"/>
      <c r="LU5" s="25"/>
      <c r="LV5" s="25"/>
      <c r="LW5" s="25"/>
      <c r="LX5" s="25"/>
      <c r="LY5" s="25"/>
      <c r="LZ5" s="25"/>
      <c r="MA5" s="25"/>
      <c r="MB5" s="25"/>
      <c r="MC5" s="25"/>
      <c r="MD5" s="25"/>
      <c r="ME5" s="25"/>
      <c r="MF5" s="25"/>
      <c r="MG5" s="25"/>
      <c r="MH5" s="25"/>
      <c r="MI5" s="25"/>
    </row>
    <row r="6" spans="1:348" s="151" customFormat="1" ht="36" x14ac:dyDescent="0.25">
      <c r="A6" s="21">
        <v>3</v>
      </c>
      <c r="B6" s="22" t="str">
        <f>VLOOKUP($A6,'Indicadores Financeiros'!$A$101:$J$210,2,FALSE)</f>
        <v>Fórum Regional do Ipiranga</v>
      </c>
      <c r="C6" s="4">
        <v>680020</v>
      </c>
      <c r="D6" s="7" t="str">
        <f>VLOOKUP($C6,'Indicadores Financeiros'!$A$96:$J$97,2,FALSE)</f>
        <v>Porteiro/Controlador de Acesso - com almocista (repositor) - 44 horas semanais - diurno - segunda a sexta</v>
      </c>
      <c r="E6" s="7" t="str">
        <f>VLOOKUP($C6,'Indicadores Financeiros'!$A$96:$M$97,3,FALSE)</f>
        <v>Posto/Dia</v>
      </c>
      <c r="F6" s="4">
        <f>VLOOKUP($A6,'Indicadores Financeiros'!$A$101:$J$109,10,FALSE)</f>
        <v>1</v>
      </c>
      <c r="G6" s="152">
        <f>VLOOKUP($C6,'Indicadores Financeiros'!$A$96:$M$97,6,FALSE)</f>
        <v>1</v>
      </c>
      <c r="H6" s="154">
        <f>'Indicadores Financeiros'!$J$74</f>
        <v>20.75</v>
      </c>
      <c r="I6" s="158">
        <f>'Indicadores Financeiros'!$J$76</f>
        <v>21</v>
      </c>
      <c r="J6" s="161">
        <v>4</v>
      </c>
      <c r="K6" s="70">
        <f t="shared" ref="K6:K12" si="10">IF(E6="Posto/Dia",I6*J6,J6)</f>
        <v>84</v>
      </c>
      <c r="L6" s="71">
        <f>IF('Indicadores Financeiros'!$J$82=0,0,'Indicadores Financeiros'!$J$82)</f>
        <v>0</v>
      </c>
      <c r="M6" s="71">
        <f t="shared" si="6"/>
        <v>0</v>
      </c>
      <c r="N6" s="71">
        <f>ROUND(SUM($L6:$M6)*'Indicadores Financeiros'!$J$62,2)</f>
        <v>0</v>
      </c>
      <c r="O6" s="46">
        <f>ROUND(SUM('Indicadores Financeiros'!$J$84:$J$90)+'Indicadores Financeiros'!$J$92+ROUND(('Indicadores Financeiros'!$J$91*'Relatório Custo'!$H6),2),2)+IF(ROUND((VLOOKUP($A6,'Indicadores Financeiros'!$A$101:$J$109,9,FALSE)*H6)-('Indicadores Financeiros'!$J$82*6%),2)&lt;0,0,ROUND((VLOOKUP($A6,'Indicadores Financeiros'!$A$101:$J$109,9,FALSE)*H6)-('Indicadores Financeiros'!$J$82*6%),2))</f>
        <v>0</v>
      </c>
      <c r="P6" s="46">
        <f>VLOOKUP($C6,'Indicadores Financeiros'!$A$96:$J$97,9,FALSE)+VLOOKUP($C6,'Indicadores Financeiros'!$A$96:$J$97,8,FALSE)</f>
        <v>0</v>
      </c>
      <c r="Q6" s="46">
        <f>ROUND((L6+N6+O6+P6+M6)*VLOOKUP($C6,'Indicadores Financeiros'!$A$96:$M$97,5,FALSE),2)</f>
        <v>0</v>
      </c>
      <c r="R6" s="73">
        <f t="shared" ref="R6:R12" si="11">SUM($L6:$Q6)</f>
        <v>0</v>
      </c>
      <c r="S6" s="73">
        <f t="shared" ref="S6:S12" si="12">ROUND(SUM($O6:$P6)*G6+N6+M6+L6+Q6,2)</f>
        <v>0</v>
      </c>
      <c r="T6" s="74">
        <f t="shared" ref="T6:T12" si="13">ROUND(S6/H6,2)</f>
        <v>0</v>
      </c>
      <c r="U6" s="45">
        <f>VLOOKUP($A6,'Indicadores Financeiros'!$A$101:$J$210,8,FALSE)</f>
        <v>2.0400000000000001E-2</v>
      </c>
      <c r="V6" s="75">
        <f t="shared" ref="V6:V12" si="14">ROUND(T6*(1+U6),2)</f>
        <v>0</v>
      </c>
      <c r="W6" s="24">
        <f t="shared" ref="W6:W12" si="15">IF(E6="Posto/Dia",IFERROR(ROUND(K6*V6,2),0),K6*V6)</f>
        <v>0</v>
      </c>
      <c r="X6" s="84">
        <f>ROUND(W6*('Indicadores Financeiros'!$F$13-F6+1),2)</f>
        <v>0</v>
      </c>
      <c r="Y6" s="20"/>
      <c r="Z6" s="105">
        <f t="shared" ref="Z6:Z12" si="16">ROUND(L6*G6*J6,2)</f>
        <v>0</v>
      </c>
      <c r="AA6" s="43">
        <f>IF(E6="posto/dia",'Indicadores Financeiros'!$J$70,0)</f>
        <v>0.31359999999999999</v>
      </c>
      <c r="AB6" s="41">
        <f t="shared" ref="AB6:AB12" si="17">ROUND(Z6*$AA6,2)</f>
        <v>0</v>
      </c>
      <c r="AC6" s="25"/>
      <c r="AD6" s="23">
        <f>IF(E6="posto/dia",ROUND((ROUND(((VLOOKUP($A6,'Indicadores Financeiros'!$A$101:$J$210,9,FALSE)*H6)-ROUND(('Indicadores Financeiros'!$J$82*6%),2))/H6,2)+ROUND('Indicadores Financeiros'!$J$91,2)+ROUND(VLOOKUP($C6,'Indicadores Financeiros'!$A$96:$J$97,9,FALSE)/H6,2)+ROUND((L6*'Indicadores Financeiros'!$J$60/H6),2))*(1+U6),2),0)</f>
        <v>0</v>
      </c>
      <c r="AE6" s="23">
        <f t="shared" ref="AE6:AE12" si="18">IF(E6="Posto/Dia",ROUND(V6/IF(OR(C6=680019),540,600),2),0)</f>
        <v>0</v>
      </c>
      <c r="AF6" s="113"/>
      <c r="AG6" s="114"/>
      <c r="AH6" s="114"/>
      <c r="AI6" s="31"/>
      <c r="AJ6" s="31"/>
      <c r="AK6" s="31"/>
      <c r="AL6" s="31"/>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25"/>
      <c r="DP6" s="25"/>
      <c r="DQ6" s="25"/>
      <c r="DR6" s="25"/>
      <c r="DS6" s="25"/>
      <c r="DT6" s="25"/>
      <c r="DU6" s="25"/>
      <c r="DV6" s="25"/>
      <c r="DW6" s="25"/>
      <c r="DX6" s="25"/>
      <c r="DY6" s="25"/>
      <c r="DZ6" s="25"/>
      <c r="EA6" s="25"/>
      <c r="EB6" s="25"/>
      <c r="EC6" s="25"/>
      <c r="ED6" s="25"/>
      <c r="EE6" s="25"/>
      <c r="EF6" s="25"/>
      <c r="EG6" s="25"/>
      <c r="EH6" s="25"/>
      <c r="EI6" s="25"/>
      <c r="EJ6" s="25"/>
      <c r="EK6" s="25"/>
      <c r="EL6" s="25"/>
      <c r="EM6" s="25"/>
      <c r="EN6" s="25"/>
      <c r="EO6" s="25"/>
      <c r="EP6" s="25"/>
      <c r="EQ6" s="25"/>
      <c r="ER6" s="25"/>
      <c r="ES6" s="25"/>
      <c r="ET6" s="25"/>
      <c r="EU6" s="25"/>
      <c r="EV6" s="25"/>
      <c r="EW6" s="25"/>
      <c r="EX6" s="25"/>
      <c r="EY6" s="25"/>
      <c r="EZ6" s="25"/>
      <c r="FA6" s="25"/>
      <c r="FB6" s="25"/>
      <c r="FC6" s="25"/>
      <c r="FD6" s="25"/>
      <c r="FE6" s="25"/>
      <c r="FF6" s="25"/>
      <c r="FG6" s="25"/>
      <c r="FH6" s="25"/>
      <c r="FI6" s="25"/>
      <c r="FJ6" s="25"/>
      <c r="FK6" s="25"/>
      <c r="FL6" s="25"/>
      <c r="FM6" s="25"/>
      <c r="FN6" s="25"/>
      <c r="FO6" s="25"/>
      <c r="FP6" s="25"/>
      <c r="FQ6" s="25"/>
      <c r="FR6" s="25"/>
      <c r="FS6" s="25"/>
      <c r="FT6" s="25"/>
      <c r="FU6" s="25"/>
      <c r="FV6" s="25"/>
      <c r="FW6" s="25"/>
      <c r="FX6" s="25"/>
      <c r="FY6" s="25"/>
      <c r="FZ6" s="25"/>
      <c r="GA6" s="25"/>
      <c r="GB6" s="25"/>
      <c r="GC6" s="25"/>
      <c r="GD6" s="25"/>
      <c r="GE6" s="25"/>
      <c r="GF6" s="25"/>
      <c r="GG6" s="25"/>
      <c r="GH6" s="25"/>
      <c r="GI6" s="25"/>
      <c r="GJ6" s="25"/>
      <c r="GK6" s="25"/>
      <c r="GL6" s="25"/>
      <c r="GM6" s="25"/>
      <c r="GN6" s="25"/>
      <c r="GO6" s="25"/>
      <c r="GP6" s="25"/>
      <c r="GQ6" s="25"/>
      <c r="GR6" s="25"/>
      <c r="GS6" s="25"/>
      <c r="GT6" s="25"/>
      <c r="GU6" s="25"/>
      <c r="GV6" s="25"/>
      <c r="GW6" s="25"/>
      <c r="GX6" s="25"/>
      <c r="GY6" s="25"/>
      <c r="GZ6" s="25"/>
      <c r="HA6" s="25"/>
      <c r="HB6" s="25"/>
      <c r="HC6" s="25"/>
      <c r="HD6" s="25"/>
      <c r="HE6" s="25"/>
      <c r="HF6" s="25"/>
      <c r="HG6" s="25"/>
      <c r="HH6" s="25"/>
      <c r="HI6" s="25"/>
      <c r="HJ6" s="25"/>
      <c r="HK6" s="25"/>
      <c r="HL6" s="25"/>
      <c r="HM6" s="25"/>
      <c r="HN6" s="25"/>
      <c r="HO6" s="25"/>
      <c r="HP6" s="25"/>
      <c r="HQ6" s="25"/>
      <c r="HR6" s="25"/>
      <c r="HS6" s="25"/>
      <c r="HT6" s="25"/>
      <c r="HU6" s="25"/>
      <c r="HV6" s="25"/>
      <c r="HW6" s="25"/>
      <c r="HX6" s="25"/>
      <c r="HY6" s="25"/>
      <c r="HZ6" s="25"/>
      <c r="IA6" s="25"/>
      <c r="IB6" s="25"/>
      <c r="IC6" s="25"/>
      <c r="ID6" s="25"/>
      <c r="IE6" s="25"/>
      <c r="IF6" s="25"/>
      <c r="IG6" s="25"/>
      <c r="IH6" s="25"/>
      <c r="II6" s="25"/>
      <c r="IJ6" s="25"/>
      <c r="IK6" s="25"/>
      <c r="IL6" s="25"/>
      <c r="IM6" s="25"/>
      <c r="IN6" s="25"/>
      <c r="IO6" s="25"/>
      <c r="IP6" s="25"/>
      <c r="IQ6" s="25"/>
      <c r="IR6" s="25"/>
      <c r="IS6" s="25"/>
      <c r="IT6" s="25"/>
      <c r="IU6" s="25"/>
      <c r="IV6" s="25"/>
      <c r="IW6" s="25"/>
      <c r="IX6" s="25"/>
      <c r="IY6" s="25"/>
      <c r="IZ6" s="25"/>
      <c r="JA6" s="25"/>
      <c r="JB6" s="25"/>
      <c r="JC6" s="25"/>
      <c r="JD6" s="25"/>
      <c r="JE6" s="25"/>
      <c r="JF6" s="25"/>
      <c r="JG6" s="25"/>
      <c r="JH6" s="25"/>
      <c r="JI6" s="25"/>
      <c r="JJ6" s="25"/>
      <c r="JK6" s="25"/>
      <c r="JL6" s="25"/>
      <c r="JM6" s="25"/>
      <c r="JN6" s="25"/>
      <c r="JO6" s="25"/>
      <c r="JP6" s="25"/>
      <c r="JQ6" s="25"/>
      <c r="JR6" s="25"/>
      <c r="JS6" s="25"/>
      <c r="JT6" s="25"/>
      <c r="JU6" s="25"/>
      <c r="JV6" s="25"/>
      <c r="JW6" s="25"/>
      <c r="JX6" s="25"/>
      <c r="JY6" s="25"/>
      <c r="JZ6" s="25"/>
      <c r="KA6" s="25"/>
      <c r="KB6" s="25"/>
      <c r="KC6" s="25"/>
      <c r="KD6" s="25"/>
      <c r="KE6" s="25"/>
      <c r="KF6" s="25"/>
      <c r="KG6" s="25"/>
      <c r="KH6" s="25"/>
      <c r="KI6" s="25"/>
      <c r="KJ6" s="25"/>
      <c r="KK6" s="25"/>
      <c r="KL6" s="25"/>
      <c r="KM6" s="25"/>
      <c r="KN6" s="25"/>
      <c r="KO6" s="25"/>
      <c r="KP6" s="25"/>
      <c r="KQ6" s="25"/>
      <c r="KR6" s="25"/>
      <c r="KS6" s="25"/>
      <c r="KT6" s="25"/>
      <c r="KU6" s="25"/>
      <c r="KV6" s="25"/>
      <c r="KW6" s="25"/>
      <c r="KX6" s="25"/>
      <c r="KY6" s="25"/>
      <c r="KZ6" s="25"/>
      <c r="LA6" s="25"/>
      <c r="LB6" s="25"/>
      <c r="LC6" s="25"/>
      <c r="LD6" s="25"/>
      <c r="LE6" s="25"/>
      <c r="LF6" s="25"/>
      <c r="LG6" s="25"/>
      <c r="LH6" s="25"/>
      <c r="LI6" s="25"/>
      <c r="LJ6" s="25"/>
      <c r="LK6" s="25"/>
      <c r="LL6" s="25"/>
      <c r="LM6" s="25"/>
      <c r="LN6" s="25"/>
      <c r="LO6" s="25"/>
      <c r="LP6" s="25"/>
      <c r="LQ6" s="25"/>
      <c r="LR6" s="25"/>
      <c r="LS6" s="25"/>
      <c r="LT6" s="25"/>
      <c r="LU6" s="25"/>
      <c r="LV6" s="25"/>
      <c r="LW6" s="25"/>
      <c r="LX6" s="25"/>
      <c r="LY6" s="25"/>
      <c r="LZ6" s="25"/>
      <c r="MA6" s="25"/>
      <c r="MB6" s="25"/>
      <c r="MC6" s="25"/>
      <c r="MD6" s="25"/>
      <c r="ME6" s="25"/>
      <c r="MF6" s="25"/>
      <c r="MG6" s="25"/>
      <c r="MH6" s="25"/>
      <c r="MI6" s="25"/>
      <c r="MJ6" s="26"/>
    </row>
    <row r="7" spans="1:348" s="25" customFormat="1" ht="36" x14ac:dyDescent="0.25">
      <c r="A7" s="21">
        <v>4</v>
      </c>
      <c r="B7" s="22" t="str">
        <f>VLOOKUP($A7,'Indicadores Financeiros'!$A$101:$J$210,2,FALSE)</f>
        <v>Fórum Regional do Jabaquara</v>
      </c>
      <c r="C7" s="4">
        <v>680020</v>
      </c>
      <c r="D7" s="7" t="str">
        <f>VLOOKUP($C7,'Indicadores Financeiros'!$A$96:$J$97,2,FALSE)</f>
        <v>Porteiro/Controlador de Acesso - com almocista (repositor) - 44 horas semanais - diurno - segunda a sexta</v>
      </c>
      <c r="E7" s="7" t="str">
        <f>VLOOKUP($C7,'Indicadores Financeiros'!$A$96:$M$97,3,FALSE)</f>
        <v>Posto/Dia</v>
      </c>
      <c r="F7" s="4">
        <f>VLOOKUP($A7,'Indicadores Financeiros'!$A$101:$J$109,10,FALSE)</f>
        <v>1</v>
      </c>
      <c r="G7" s="152">
        <f>VLOOKUP($C7,'Indicadores Financeiros'!$A$96:$M$97,6,FALSE)</f>
        <v>1</v>
      </c>
      <c r="H7" s="154">
        <f>'Indicadores Financeiros'!$J$74</f>
        <v>20.75</v>
      </c>
      <c r="I7" s="158">
        <f>'Indicadores Financeiros'!$J$76</f>
        <v>21</v>
      </c>
      <c r="J7" s="161">
        <v>7</v>
      </c>
      <c r="K7" s="70">
        <f t="shared" si="10"/>
        <v>147</v>
      </c>
      <c r="L7" s="71">
        <f>IF('Indicadores Financeiros'!$J$82=0,0,'Indicadores Financeiros'!$J$82)</f>
        <v>0</v>
      </c>
      <c r="M7" s="71">
        <f t="shared" si="6"/>
        <v>0</v>
      </c>
      <c r="N7" s="71">
        <f>ROUND(SUM($L7:$M7)*'Indicadores Financeiros'!$J$62,2)</f>
        <v>0</v>
      </c>
      <c r="O7" s="46">
        <f>ROUND(SUM('Indicadores Financeiros'!$J$84:$J$90)+'Indicadores Financeiros'!$J$92+ROUND(('Indicadores Financeiros'!$J$91*'Relatório Custo'!$H7),2),2)+IF(ROUND((VLOOKUP($A7,'Indicadores Financeiros'!$A$101:$J$109,9,FALSE)*H7)-('Indicadores Financeiros'!$J$82*6%),2)&lt;0,0,ROUND((VLOOKUP($A7,'Indicadores Financeiros'!$A$101:$J$109,9,FALSE)*H7)-('Indicadores Financeiros'!$J$82*6%),2))</f>
        <v>0</v>
      </c>
      <c r="P7" s="46">
        <f>VLOOKUP($C7,'Indicadores Financeiros'!$A$96:$J$97,9,FALSE)+VLOOKUP($C7,'Indicadores Financeiros'!$A$96:$J$97,8,FALSE)</f>
        <v>0</v>
      </c>
      <c r="Q7" s="46">
        <f>ROUND((L7+N7+O7+P7+M7)*VLOOKUP($C7,'Indicadores Financeiros'!$A$96:$M$97,5,FALSE),2)</f>
        <v>0</v>
      </c>
      <c r="R7" s="73">
        <f t="shared" si="11"/>
        <v>0</v>
      </c>
      <c r="S7" s="73">
        <f t="shared" si="12"/>
        <v>0</v>
      </c>
      <c r="T7" s="74">
        <f t="shared" si="13"/>
        <v>0</v>
      </c>
      <c r="U7" s="45">
        <f>VLOOKUP($A7,'Indicadores Financeiros'!$A$101:$J$210,8,FALSE)</f>
        <v>2.0400000000000001E-2</v>
      </c>
      <c r="V7" s="75">
        <f t="shared" si="14"/>
        <v>0</v>
      </c>
      <c r="W7" s="24">
        <f t="shared" si="15"/>
        <v>0</v>
      </c>
      <c r="X7" s="84">
        <f>ROUND(W7*('Indicadores Financeiros'!$F$13-F7+1),2)</f>
        <v>0</v>
      </c>
      <c r="Y7" s="20"/>
      <c r="Z7" s="105">
        <f t="shared" si="16"/>
        <v>0</v>
      </c>
      <c r="AA7" s="43">
        <f>IF(E7="posto/dia",'Indicadores Financeiros'!$J$70,0)</f>
        <v>0.31359999999999999</v>
      </c>
      <c r="AB7" s="41">
        <f t="shared" si="17"/>
        <v>0</v>
      </c>
      <c r="AD7" s="23">
        <f>IF(E7="posto/dia",ROUND((ROUND(((VLOOKUP($A7,'Indicadores Financeiros'!$A$101:$J$210,9,FALSE)*H7)-ROUND(('Indicadores Financeiros'!$J$82*6%),2))/H7,2)+ROUND('Indicadores Financeiros'!$J$91,2)+ROUND(VLOOKUP($C7,'Indicadores Financeiros'!$A$96:$J$97,9,FALSE)/H7,2)+ROUND((L7*'Indicadores Financeiros'!$J$60/H7),2))*(1+U7),2),0)</f>
        <v>0</v>
      </c>
      <c r="AE7" s="23">
        <f t="shared" si="18"/>
        <v>0</v>
      </c>
      <c r="AF7" s="113"/>
      <c r="AG7" s="114"/>
      <c r="AH7" s="114"/>
      <c r="AI7" s="31"/>
      <c r="AJ7" s="31"/>
      <c r="AK7" s="31"/>
      <c r="AL7" s="31"/>
      <c r="MJ7" s="26"/>
    </row>
    <row r="8" spans="1:348" s="25" customFormat="1" ht="36" x14ac:dyDescent="0.25">
      <c r="A8" s="21">
        <v>5</v>
      </c>
      <c r="B8" s="22" t="str">
        <f>VLOOKUP($A8,'Indicadores Financeiros'!$A$101:$J$210,2,FALSE)</f>
        <v>Fórum Regional da Lapa</v>
      </c>
      <c r="C8" s="4">
        <v>680020</v>
      </c>
      <c r="D8" s="7" t="str">
        <f>VLOOKUP($C8,'Indicadores Financeiros'!$A$96:$J$97,2,FALSE)</f>
        <v>Porteiro/Controlador de Acesso - com almocista (repositor) - 44 horas semanais - diurno - segunda a sexta</v>
      </c>
      <c r="E8" s="7" t="str">
        <f>VLOOKUP($C8,'Indicadores Financeiros'!$A$96:$M$97,3,FALSE)</f>
        <v>Posto/Dia</v>
      </c>
      <c r="F8" s="4">
        <f>VLOOKUP($A8,'Indicadores Financeiros'!$A$101:$J$109,10,FALSE)</f>
        <v>1</v>
      </c>
      <c r="G8" s="152">
        <f>VLOOKUP($C8,'Indicadores Financeiros'!$A$96:$M$97,6,FALSE)</f>
        <v>1</v>
      </c>
      <c r="H8" s="154">
        <f>'Indicadores Financeiros'!$J$74</f>
        <v>20.75</v>
      </c>
      <c r="I8" s="158">
        <f>'Indicadores Financeiros'!$J$76</f>
        <v>21</v>
      </c>
      <c r="J8" s="161">
        <v>8</v>
      </c>
      <c r="K8" s="70">
        <f t="shared" si="10"/>
        <v>168</v>
      </c>
      <c r="L8" s="71">
        <f>IF('Indicadores Financeiros'!$J$82=0,0,'Indicadores Financeiros'!$J$82)</f>
        <v>0</v>
      </c>
      <c r="M8" s="71">
        <f t="shared" si="6"/>
        <v>0</v>
      </c>
      <c r="N8" s="71">
        <f>ROUND(SUM($L8:$M8)*'Indicadores Financeiros'!$J$62,2)</f>
        <v>0</v>
      </c>
      <c r="O8" s="46">
        <f>ROUND(SUM('Indicadores Financeiros'!$J$84:$J$90)+'Indicadores Financeiros'!$J$92+ROUND(('Indicadores Financeiros'!$J$91*'Relatório Custo'!$H8),2),2)+IF(ROUND((VLOOKUP($A8,'Indicadores Financeiros'!$A$101:$J$109,9,FALSE)*H8)-('Indicadores Financeiros'!$J$82*6%),2)&lt;0,0,ROUND((VLOOKUP($A8,'Indicadores Financeiros'!$A$101:$J$109,9,FALSE)*H8)-('Indicadores Financeiros'!$J$82*6%),2))</f>
        <v>0</v>
      </c>
      <c r="P8" s="46">
        <f>VLOOKUP($C8,'Indicadores Financeiros'!$A$96:$J$97,9,FALSE)+VLOOKUP($C8,'Indicadores Financeiros'!$A$96:$J$97,8,FALSE)</f>
        <v>0</v>
      </c>
      <c r="Q8" s="46">
        <f>ROUND((L8+N8+O8+P8+M8)*VLOOKUP($C8,'Indicadores Financeiros'!$A$96:$M$97,5,FALSE),2)</f>
        <v>0</v>
      </c>
      <c r="R8" s="73">
        <f t="shared" si="11"/>
        <v>0</v>
      </c>
      <c r="S8" s="73">
        <f t="shared" si="12"/>
        <v>0</v>
      </c>
      <c r="T8" s="74">
        <f t="shared" si="13"/>
        <v>0</v>
      </c>
      <c r="U8" s="45">
        <f>VLOOKUP($A8,'Indicadores Financeiros'!$A$101:$J$210,8,FALSE)</f>
        <v>2.0400000000000001E-2</v>
      </c>
      <c r="V8" s="75">
        <f t="shared" si="14"/>
        <v>0</v>
      </c>
      <c r="W8" s="24">
        <f t="shared" si="15"/>
        <v>0</v>
      </c>
      <c r="X8" s="84">
        <f>ROUND(W8*('Indicadores Financeiros'!$F$13-F8+1),2)</f>
        <v>0</v>
      </c>
      <c r="Y8" s="20"/>
      <c r="Z8" s="105">
        <f t="shared" si="16"/>
        <v>0</v>
      </c>
      <c r="AA8" s="43">
        <f>IF(E8="posto/dia",'Indicadores Financeiros'!$J$70,0)</f>
        <v>0.31359999999999999</v>
      </c>
      <c r="AB8" s="41">
        <f t="shared" si="17"/>
        <v>0</v>
      </c>
      <c r="AD8" s="23">
        <f>IF(E8="posto/dia",ROUND((ROUND(((VLOOKUP($A8,'Indicadores Financeiros'!$A$101:$J$210,9,FALSE)*H8)-ROUND(('Indicadores Financeiros'!$J$82*6%),2))/H8,2)+ROUND('Indicadores Financeiros'!$J$91,2)+ROUND(VLOOKUP($C8,'Indicadores Financeiros'!$A$96:$J$97,9,FALSE)/H8,2)+ROUND((L8*'Indicadores Financeiros'!$J$60/H8),2))*(1+U8),2),0)</f>
        <v>0</v>
      </c>
      <c r="AE8" s="23">
        <f t="shared" si="18"/>
        <v>0</v>
      </c>
      <c r="AF8" s="113"/>
      <c r="AG8" s="114"/>
      <c r="AH8" s="114"/>
      <c r="AI8" s="31"/>
      <c r="AJ8" s="31"/>
      <c r="AK8" s="31"/>
      <c r="AL8" s="31"/>
      <c r="MJ8" s="26"/>
    </row>
    <row r="9" spans="1:348" s="25" customFormat="1" ht="36" x14ac:dyDescent="0.25">
      <c r="A9" s="21">
        <v>6</v>
      </c>
      <c r="B9" s="22" t="str">
        <f>VLOOKUP($A9,'Indicadores Financeiros'!$A$101:$J$210,2,FALSE)</f>
        <v>Fórum Regional de Pinheiros</v>
      </c>
      <c r="C9" s="4">
        <v>680020</v>
      </c>
      <c r="D9" s="7" t="str">
        <f>VLOOKUP($C9,'Indicadores Financeiros'!$A$96:$J$97,2,FALSE)</f>
        <v>Porteiro/Controlador de Acesso - com almocista (repositor) - 44 horas semanais - diurno - segunda a sexta</v>
      </c>
      <c r="E9" s="7" t="str">
        <f>VLOOKUP($C9,'Indicadores Financeiros'!$A$96:$M$97,3,FALSE)</f>
        <v>Posto/Dia</v>
      </c>
      <c r="F9" s="4">
        <f>VLOOKUP($A9,'Indicadores Financeiros'!$A$101:$J$109,10,FALSE)</f>
        <v>1</v>
      </c>
      <c r="G9" s="152">
        <f>VLOOKUP($C9,'Indicadores Financeiros'!$A$96:$M$97,6,FALSE)</f>
        <v>1</v>
      </c>
      <c r="H9" s="154">
        <f>'Indicadores Financeiros'!$J$74</f>
        <v>20.75</v>
      </c>
      <c r="I9" s="158">
        <f>'Indicadores Financeiros'!$J$76</f>
        <v>21</v>
      </c>
      <c r="J9" s="161">
        <v>7</v>
      </c>
      <c r="K9" s="70">
        <f t="shared" si="10"/>
        <v>147</v>
      </c>
      <c r="L9" s="71">
        <f>IF('Indicadores Financeiros'!$J$82=0,0,'Indicadores Financeiros'!$J$82)</f>
        <v>0</v>
      </c>
      <c r="M9" s="71">
        <f t="shared" si="6"/>
        <v>0</v>
      </c>
      <c r="N9" s="71">
        <f>ROUND(SUM($L9:$M9)*'Indicadores Financeiros'!$J$62,2)</f>
        <v>0</v>
      </c>
      <c r="O9" s="46">
        <f>ROUND(SUM('Indicadores Financeiros'!$J$84:$J$90)+'Indicadores Financeiros'!$J$92+ROUND(('Indicadores Financeiros'!$J$91*'Relatório Custo'!$H9),2),2)+IF(ROUND((VLOOKUP($A9,'Indicadores Financeiros'!$A$101:$J$109,9,FALSE)*H9)-('Indicadores Financeiros'!$J$82*6%),2)&lt;0,0,ROUND((VLOOKUP($A9,'Indicadores Financeiros'!$A$101:$J$109,9,FALSE)*H9)-('Indicadores Financeiros'!$J$82*6%),2))</f>
        <v>0</v>
      </c>
      <c r="P9" s="46">
        <f>VLOOKUP($C9,'Indicadores Financeiros'!$A$96:$J$97,9,FALSE)+VLOOKUP($C9,'Indicadores Financeiros'!$A$96:$J$97,8,FALSE)</f>
        <v>0</v>
      </c>
      <c r="Q9" s="46">
        <f>ROUND((L9+N9+O9+P9+M9)*VLOOKUP($C9,'Indicadores Financeiros'!$A$96:$M$97,5,FALSE),2)</f>
        <v>0</v>
      </c>
      <c r="R9" s="73">
        <f t="shared" si="11"/>
        <v>0</v>
      </c>
      <c r="S9" s="73">
        <f t="shared" si="12"/>
        <v>0</v>
      </c>
      <c r="T9" s="74">
        <f t="shared" si="13"/>
        <v>0</v>
      </c>
      <c r="U9" s="45">
        <f>VLOOKUP($A9,'Indicadores Financeiros'!$A$101:$J$210,8,FALSE)</f>
        <v>2.0400000000000001E-2</v>
      </c>
      <c r="V9" s="75">
        <f t="shared" si="14"/>
        <v>0</v>
      </c>
      <c r="W9" s="24">
        <f t="shared" si="15"/>
        <v>0</v>
      </c>
      <c r="X9" s="84">
        <f>ROUND(W9*('Indicadores Financeiros'!$F$13-F9+1),2)</f>
        <v>0</v>
      </c>
      <c r="Y9" s="20"/>
      <c r="Z9" s="105">
        <f t="shared" si="16"/>
        <v>0</v>
      </c>
      <c r="AA9" s="43">
        <f>IF(E9="posto/dia",'Indicadores Financeiros'!$J$70,0)</f>
        <v>0.31359999999999999</v>
      </c>
      <c r="AB9" s="41">
        <f t="shared" si="17"/>
        <v>0</v>
      </c>
      <c r="AD9" s="23">
        <f>IF(E9="posto/dia",ROUND((ROUND(((VLOOKUP($A9,'Indicadores Financeiros'!$A$101:$J$210,9,FALSE)*H9)-ROUND(('Indicadores Financeiros'!$J$82*6%),2))/H9,2)+ROUND('Indicadores Financeiros'!$J$91,2)+ROUND(VLOOKUP($C9,'Indicadores Financeiros'!$A$96:$J$97,9,FALSE)/H9,2)+ROUND((L9*'Indicadores Financeiros'!$J$60/H9),2))*(1+U9),2),0)</f>
        <v>0</v>
      </c>
      <c r="AE9" s="23">
        <f t="shared" si="18"/>
        <v>0</v>
      </c>
      <c r="AF9" s="113"/>
      <c r="AG9" s="114"/>
      <c r="AH9" s="114"/>
      <c r="AI9" s="31"/>
      <c r="AJ9" s="31"/>
      <c r="AK9" s="31"/>
      <c r="AL9" s="31"/>
      <c r="MJ9" s="26"/>
    </row>
    <row r="10" spans="1:348" s="25" customFormat="1" ht="60" x14ac:dyDescent="0.25">
      <c r="A10" s="21">
        <v>7</v>
      </c>
      <c r="B10" s="22" t="str">
        <f>VLOOKUP($A10,'Indicadores Financeiros'!$A$101:$J$210,2,FALSE)</f>
        <v>Fórum Regional de Santo Amaro - Adolfo Pinheiro</v>
      </c>
      <c r="C10" s="4">
        <v>680020</v>
      </c>
      <c r="D10" s="7" t="str">
        <f>VLOOKUP($C10,'Indicadores Financeiros'!$A$96:$J$97,2,FALSE)</f>
        <v>Porteiro/Controlador de Acesso - com almocista (repositor) - 44 horas semanais - diurno - segunda a sexta</v>
      </c>
      <c r="E10" s="7" t="str">
        <f>VLOOKUP($C10,'Indicadores Financeiros'!$A$96:$M$97,3,FALSE)</f>
        <v>Posto/Dia</v>
      </c>
      <c r="F10" s="4">
        <f>VLOOKUP($A10,'Indicadores Financeiros'!$A$101:$J$109,10,FALSE)</f>
        <v>1</v>
      </c>
      <c r="G10" s="152">
        <f>VLOOKUP($C10,'Indicadores Financeiros'!$A$96:$M$97,6,FALSE)</f>
        <v>1</v>
      </c>
      <c r="H10" s="154">
        <f>'Indicadores Financeiros'!$J$74</f>
        <v>20.75</v>
      </c>
      <c r="I10" s="158">
        <f>'Indicadores Financeiros'!$J$76</f>
        <v>21</v>
      </c>
      <c r="J10" s="161">
        <v>6</v>
      </c>
      <c r="K10" s="70">
        <f t="shared" si="10"/>
        <v>126</v>
      </c>
      <c r="L10" s="71">
        <f>IF('Indicadores Financeiros'!$J$82=0,0,'Indicadores Financeiros'!$J$82)</f>
        <v>0</v>
      </c>
      <c r="M10" s="71">
        <f t="shared" si="6"/>
        <v>0</v>
      </c>
      <c r="N10" s="71">
        <f>ROUND(SUM($L10:$M10)*'Indicadores Financeiros'!$J$62,2)</f>
        <v>0</v>
      </c>
      <c r="O10" s="46">
        <f>ROUND(SUM('Indicadores Financeiros'!$J$84:$J$90)+'Indicadores Financeiros'!$J$92+ROUND(('Indicadores Financeiros'!$J$91*'Relatório Custo'!$H10),2),2)+IF(ROUND((VLOOKUP($A10,'Indicadores Financeiros'!$A$101:$J$109,9,FALSE)*H10)-('Indicadores Financeiros'!$J$82*6%),2)&lt;0,0,ROUND((VLOOKUP($A10,'Indicadores Financeiros'!$A$101:$J$109,9,FALSE)*H10)-('Indicadores Financeiros'!$J$82*6%),2))</f>
        <v>0</v>
      </c>
      <c r="P10" s="46">
        <f>VLOOKUP($C10,'Indicadores Financeiros'!$A$96:$J$97,9,FALSE)+VLOOKUP($C10,'Indicadores Financeiros'!$A$96:$J$97,8,FALSE)</f>
        <v>0</v>
      </c>
      <c r="Q10" s="46">
        <f>ROUND((L10+N10+O10+P10+M10)*VLOOKUP($C10,'Indicadores Financeiros'!$A$96:$M$97,5,FALSE),2)</f>
        <v>0</v>
      </c>
      <c r="R10" s="73">
        <f t="shared" si="11"/>
        <v>0</v>
      </c>
      <c r="S10" s="73">
        <f t="shared" si="12"/>
        <v>0</v>
      </c>
      <c r="T10" s="74">
        <f t="shared" si="13"/>
        <v>0</v>
      </c>
      <c r="U10" s="45">
        <f>VLOOKUP($A10,'Indicadores Financeiros'!$A$101:$J$210,8,FALSE)</f>
        <v>2.0400000000000001E-2</v>
      </c>
      <c r="V10" s="75">
        <f t="shared" si="14"/>
        <v>0</v>
      </c>
      <c r="W10" s="24">
        <f t="shared" si="15"/>
        <v>0</v>
      </c>
      <c r="X10" s="84">
        <f>ROUND(W10*('Indicadores Financeiros'!$F$13-F10+1),2)</f>
        <v>0</v>
      </c>
      <c r="Y10" s="20"/>
      <c r="Z10" s="105">
        <f t="shared" si="16"/>
        <v>0</v>
      </c>
      <c r="AA10" s="43">
        <f>IF(E10="posto/dia",'Indicadores Financeiros'!$J$70,0)</f>
        <v>0.31359999999999999</v>
      </c>
      <c r="AB10" s="41">
        <f t="shared" si="17"/>
        <v>0</v>
      </c>
      <c r="AD10" s="23">
        <f>IF(E10="posto/dia",ROUND((ROUND(((VLOOKUP($A10,'Indicadores Financeiros'!$A$101:$J$210,9,FALSE)*H10)-ROUND(('Indicadores Financeiros'!$J$82*6%),2))/H10,2)+ROUND('Indicadores Financeiros'!$J$91,2)+ROUND(VLOOKUP($C10,'Indicadores Financeiros'!$A$96:$J$97,9,FALSE)/H10,2)+ROUND((L10*'Indicadores Financeiros'!$J$60/H10),2))*(1+U10),2),0)</f>
        <v>0</v>
      </c>
      <c r="AE10" s="23">
        <f t="shared" si="18"/>
        <v>0</v>
      </c>
      <c r="AF10" s="113"/>
      <c r="AG10" s="114"/>
      <c r="AH10" s="114"/>
      <c r="AI10" s="31"/>
      <c r="AJ10" s="31"/>
      <c r="AK10" s="31"/>
      <c r="AL10" s="31"/>
      <c r="MJ10" s="26"/>
    </row>
    <row r="11" spans="1:348" s="25" customFormat="1" ht="60" x14ac:dyDescent="0.25">
      <c r="A11" s="21">
        <v>8</v>
      </c>
      <c r="B11" s="22" t="str">
        <f>VLOOKUP($A11,'Indicadores Financeiros'!$A$101:$J$210,2,FALSE)</f>
        <v>Fórum Regional de Santo Amaro - Alexandre Dumas</v>
      </c>
      <c r="C11" s="4">
        <v>680020</v>
      </c>
      <c r="D11" s="7" t="str">
        <f>VLOOKUP($C11,'Indicadores Financeiros'!$A$96:$J$97,2,FALSE)</f>
        <v>Porteiro/Controlador de Acesso - com almocista (repositor) - 44 horas semanais - diurno - segunda a sexta</v>
      </c>
      <c r="E11" s="7" t="str">
        <f>VLOOKUP($C11,'Indicadores Financeiros'!$A$96:$M$97,3,FALSE)</f>
        <v>Posto/Dia</v>
      </c>
      <c r="F11" s="4">
        <f>VLOOKUP($A11,'Indicadores Financeiros'!$A$101:$J$109,10,FALSE)</f>
        <v>1</v>
      </c>
      <c r="G11" s="152">
        <f>VLOOKUP($C11,'Indicadores Financeiros'!$A$96:$M$97,6,FALSE)</f>
        <v>1</v>
      </c>
      <c r="H11" s="154">
        <f>'Indicadores Financeiros'!$J$74</f>
        <v>20.75</v>
      </c>
      <c r="I11" s="158">
        <f>'Indicadores Financeiros'!$J$76</f>
        <v>21</v>
      </c>
      <c r="J11" s="161">
        <v>1</v>
      </c>
      <c r="K11" s="70">
        <f t="shared" si="10"/>
        <v>21</v>
      </c>
      <c r="L11" s="71">
        <f>IF('Indicadores Financeiros'!$J$82=0,0,'Indicadores Financeiros'!$J$82)</f>
        <v>0</v>
      </c>
      <c r="M11" s="71">
        <f t="shared" si="6"/>
        <v>0</v>
      </c>
      <c r="N11" s="71">
        <f>ROUND(SUM($L11:$M11)*'Indicadores Financeiros'!$J$62,2)</f>
        <v>0</v>
      </c>
      <c r="O11" s="46">
        <f>ROUND(SUM('Indicadores Financeiros'!$J$84:$J$90)+'Indicadores Financeiros'!$J$92+ROUND(('Indicadores Financeiros'!$J$91*'Relatório Custo'!$H11),2),2)+IF(ROUND((VLOOKUP($A11,'Indicadores Financeiros'!$A$101:$J$109,9,FALSE)*H11)-('Indicadores Financeiros'!$J$82*6%),2)&lt;0,0,ROUND((VLOOKUP($A11,'Indicadores Financeiros'!$A$101:$J$109,9,FALSE)*H11)-('Indicadores Financeiros'!$J$82*6%),2))</f>
        <v>0</v>
      </c>
      <c r="P11" s="46">
        <f>VLOOKUP($C11,'Indicadores Financeiros'!$A$96:$J$97,9,FALSE)+VLOOKUP($C11,'Indicadores Financeiros'!$A$96:$J$97,8,FALSE)</f>
        <v>0</v>
      </c>
      <c r="Q11" s="46">
        <f>ROUND((L11+N11+O11+P11+M11)*VLOOKUP($C11,'Indicadores Financeiros'!$A$96:$M$97,5,FALSE),2)</f>
        <v>0</v>
      </c>
      <c r="R11" s="73">
        <f t="shared" si="11"/>
        <v>0</v>
      </c>
      <c r="S11" s="73">
        <f t="shared" si="12"/>
        <v>0</v>
      </c>
      <c r="T11" s="74">
        <f t="shared" si="13"/>
        <v>0</v>
      </c>
      <c r="U11" s="45">
        <f>VLOOKUP($A11,'Indicadores Financeiros'!$A$101:$J$210,8,FALSE)</f>
        <v>2.0400000000000001E-2</v>
      </c>
      <c r="V11" s="75">
        <f t="shared" si="14"/>
        <v>0</v>
      </c>
      <c r="W11" s="24">
        <f t="shared" si="15"/>
        <v>0</v>
      </c>
      <c r="X11" s="84">
        <f>ROUND(W11*('Indicadores Financeiros'!$F$13-F11+1),2)</f>
        <v>0</v>
      </c>
      <c r="Y11" s="20"/>
      <c r="Z11" s="105">
        <f t="shared" si="16"/>
        <v>0</v>
      </c>
      <c r="AA11" s="43">
        <f>IF(E11="posto/dia",'Indicadores Financeiros'!$J$70,0)</f>
        <v>0.31359999999999999</v>
      </c>
      <c r="AB11" s="41">
        <f t="shared" si="17"/>
        <v>0</v>
      </c>
      <c r="AD11" s="23">
        <f>IF(E11="posto/dia",ROUND((ROUND(((VLOOKUP($A11,'Indicadores Financeiros'!$A$101:$J$210,9,FALSE)*H11)-ROUND(('Indicadores Financeiros'!$J$82*6%),2))/H11,2)+ROUND('Indicadores Financeiros'!$J$91,2)+ROUND(VLOOKUP($C11,'Indicadores Financeiros'!$A$96:$J$97,9,FALSE)/H11,2)+ROUND((L11*'Indicadores Financeiros'!$J$60/H11),2))*(1+U11),2),0)</f>
        <v>0</v>
      </c>
      <c r="AE11" s="23">
        <f t="shared" si="18"/>
        <v>0</v>
      </c>
      <c r="AF11" s="113"/>
      <c r="AG11" s="114"/>
      <c r="AH11" s="114"/>
      <c r="AI11" s="31"/>
      <c r="AJ11" s="31"/>
      <c r="AK11" s="31"/>
      <c r="AL11" s="31"/>
      <c r="MJ11" s="26"/>
    </row>
    <row r="12" spans="1:348" s="25" customFormat="1" ht="60" x14ac:dyDescent="0.25">
      <c r="A12" s="21">
        <v>9</v>
      </c>
      <c r="B12" s="22" t="str">
        <f>VLOOKUP($A12,'Indicadores Financeiros'!$A$101:$J$210,2,FALSE)</f>
        <v>Fórum Regional de Santo Amaro - Nações Unidas</v>
      </c>
      <c r="C12" s="4">
        <v>680020</v>
      </c>
      <c r="D12" s="7" t="str">
        <f>VLOOKUP($C12,'Indicadores Financeiros'!$A$96:$J$97,2,FALSE)</f>
        <v>Porteiro/Controlador de Acesso - com almocista (repositor) - 44 horas semanais - diurno - segunda a sexta</v>
      </c>
      <c r="E12" s="7" t="str">
        <f>VLOOKUP($C12,'Indicadores Financeiros'!$A$96:$M$97,3,FALSE)</f>
        <v>Posto/Dia</v>
      </c>
      <c r="F12" s="4">
        <f>VLOOKUP($A12,'Indicadores Financeiros'!$A$101:$J$109,10,FALSE)</f>
        <v>1</v>
      </c>
      <c r="G12" s="152">
        <f>VLOOKUP($C12,'Indicadores Financeiros'!$A$96:$M$97,6,FALSE)</f>
        <v>1</v>
      </c>
      <c r="H12" s="154">
        <f>'Indicadores Financeiros'!$J$74</f>
        <v>20.75</v>
      </c>
      <c r="I12" s="158">
        <f>'Indicadores Financeiros'!$J$76</f>
        <v>21</v>
      </c>
      <c r="J12" s="161">
        <v>6</v>
      </c>
      <c r="K12" s="70">
        <f t="shared" si="10"/>
        <v>126</v>
      </c>
      <c r="L12" s="71">
        <f>IF('Indicadores Financeiros'!$J$82=0,0,'Indicadores Financeiros'!$J$82)</f>
        <v>0</v>
      </c>
      <c r="M12" s="71">
        <f t="shared" si="6"/>
        <v>0</v>
      </c>
      <c r="N12" s="71">
        <f>ROUND(SUM($L12:$M12)*'Indicadores Financeiros'!$J$62,2)</f>
        <v>0</v>
      </c>
      <c r="O12" s="46">
        <f>ROUND(SUM('Indicadores Financeiros'!$J$84:$J$90)+'Indicadores Financeiros'!$J$92+ROUND(('Indicadores Financeiros'!$J$91*'Relatório Custo'!$H12),2),2)+IF(ROUND((VLOOKUP($A12,'Indicadores Financeiros'!$A$101:$J$109,9,FALSE)*H12)-('Indicadores Financeiros'!$J$82*6%),2)&lt;0,0,ROUND((VLOOKUP($A12,'Indicadores Financeiros'!$A$101:$J$109,9,FALSE)*H12)-('Indicadores Financeiros'!$J$82*6%),2))</f>
        <v>0</v>
      </c>
      <c r="P12" s="46">
        <f>VLOOKUP($C12,'Indicadores Financeiros'!$A$96:$J$97,9,FALSE)+VLOOKUP($C12,'Indicadores Financeiros'!$A$96:$J$97,8,FALSE)</f>
        <v>0</v>
      </c>
      <c r="Q12" s="46">
        <f>ROUND((L12+N12+O12+P12+M12)*VLOOKUP($C12,'Indicadores Financeiros'!$A$96:$M$97,5,FALSE),2)</f>
        <v>0</v>
      </c>
      <c r="R12" s="73">
        <f t="shared" si="11"/>
        <v>0</v>
      </c>
      <c r="S12" s="73">
        <f t="shared" si="12"/>
        <v>0</v>
      </c>
      <c r="T12" s="74">
        <f t="shared" si="13"/>
        <v>0</v>
      </c>
      <c r="U12" s="45">
        <f>VLOOKUP($A12,'Indicadores Financeiros'!$A$101:$J$210,8,FALSE)</f>
        <v>2.0400000000000001E-2</v>
      </c>
      <c r="V12" s="75">
        <f t="shared" si="14"/>
        <v>0</v>
      </c>
      <c r="W12" s="24">
        <f t="shared" si="15"/>
        <v>0</v>
      </c>
      <c r="X12" s="84">
        <f>ROUND(W12*('Indicadores Financeiros'!$F$13-F12+1),2)</f>
        <v>0</v>
      </c>
      <c r="Y12" s="20"/>
      <c r="Z12" s="105">
        <f t="shared" si="16"/>
        <v>0</v>
      </c>
      <c r="AA12" s="43">
        <f>IF(E12="posto/dia",'Indicadores Financeiros'!$J$70,0)</f>
        <v>0.31359999999999999</v>
      </c>
      <c r="AB12" s="41">
        <f t="shared" si="17"/>
        <v>0</v>
      </c>
      <c r="AD12" s="23">
        <f>IF(E12="posto/dia",ROUND((ROUND(((VLOOKUP($A12,'Indicadores Financeiros'!$A$101:$J$210,9,FALSE)*H12)-ROUND(('Indicadores Financeiros'!$J$82*6%),2))/H12,2)+ROUND('Indicadores Financeiros'!$J$91,2)+ROUND(VLOOKUP($C12,'Indicadores Financeiros'!$A$96:$J$97,9,FALSE)/H12,2)+ROUND((L12*'Indicadores Financeiros'!$J$60/H12),2))*(1+U12),2),0)</f>
        <v>0</v>
      </c>
      <c r="AE12" s="23">
        <f t="shared" si="18"/>
        <v>0</v>
      </c>
      <c r="AF12" s="113"/>
      <c r="AG12" s="114"/>
      <c r="AH12" s="114"/>
      <c r="AI12" s="31"/>
      <c r="AJ12" s="31"/>
      <c r="AK12" s="31"/>
      <c r="AL12" s="31"/>
      <c r="MJ12" s="26"/>
    </row>
    <row r="13" spans="1:348" s="25" customFormat="1" ht="12.75" x14ac:dyDescent="0.25">
      <c r="A13" s="350" t="s">
        <v>151</v>
      </c>
      <c r="B13" s="351"/>
      <c r="C13" s="351"/>
      <c r="D13" s="351"/>
      <c r="E13" s="351"/>
      <c r="F13" s="351"/>
      <c r="G13" s="351"/>
      <c r="H13" s="351"/>
      <c r="I13" s="351"/>
      <c r="J13" s="351"/>
      <c r="K13" s="351"/>
      <c r="L13" s="351"/>
      <c r="M13" s="351"/>
      <c r="N13" s="351"/>
      <c r="O13" s="351"/>
      <c r="P13" s="351"/>
      <c r="Q13" s="351"/>
      <c r="R13" s="351"/>
      <c r="S13" s="351"/>
      <c r="T13" s="351"/>
      <c r="U13" s="351"/>
      <c r="V13" s="352"/>
      <c r="W13" s="149">
        <f>ROUND(SUBTOTAL(9,W3:W12),2)</f>
        <v>0</v>
      </c>
      <c r="X13" s="149">
        <f>ROUND(SUBTOTAL(9,X3:X12),2)</f>
        <v>0</v>
      </c>
      <c r="Y13" s="150"/>
      <c r="Z13" s="151"/>
      <c r="AA13" s="151"/>
      <c r="AB13" s="149">
        <f>ROUND(SUBTOTAL(9,AB3:AB12),2)</f>
        <v>0</v>
      </c>
      <c r="AC13" s="151"/>
      <c r="AD13" s="151"/>
      <c r="AE13" s="151"/>
      <c r="AF13" s="151"/>
      <c r="AG13" s="151"/>
      <c r="AH13" s="151"/>
      <c r="AI13" s="151"/>
      <c r="AJ13" s="151"/>
      <c r="AK13" s="151"/>
      <c r="AL13" s="151"/>
      <c r="AM13" s="151"/>
      <c r="AN13" s="151"/>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51"/>
      <c r="BK13" s="151"/>
      <c r="BL13" s="151"/>
      <c r="BM13" s="151"/>
      <c r="BN13" s="151"/>
      <c r="BO13" s="151"/>
      <c r="BP13" s="151"/>
      <c r="BQ13" s="151"/>
      <c r="BR13" s="151"/>
      <c r="BS13" s="151"/>
      <c r="BT13" s="151"/>
      <c r="BU13" s="151"/>
      <c r="BV13" s="151"/>
      <c r="BW13" s="151"/>
      <c r="BX13" s="151"/>
      <c r="BY13" s="151"/>
      <c r="BZ13" s="151"/>
      <c r="CA13" s="151"/>
      <c r="CB13" s="151"/>
      <c r="CC13" s="151"/>
      <c r="CD13" s="151"/>
      <c r="CE13" s="151"/>
      <c r="CF13" s="151"/>
      <c r="CG13" s="151"/>
      <c r="CH13" s="151"/>
      <c r="CI13" s="151"/>
      <c r="CJ13" s="151"/>
      <c r="CK13" s="151"/>
      <c r="CL13" s="151"/>
      <c r="CM13" s="151"/>
      <c r="CN13" s="151"/>
      <c r="CO13" s="151"/>
      <c r="CP13" s="151"/>
      <c r="CQ13" s="151"/>
      <c r="CR13" s="151"/>
      <c r="CS13" s="151"/>
      <c r="CT13" s="151"/>
      <c r="CU13" s="151"/>
      <c r="CV13" s="151"/>
      <c r="CW13" s="151"/>
      <c r="CX13" s="151"/>
      <c r="CY13" s="151"/>
      <c r="CZ13" s="151"/>
      <c r="DA13" s="151"/>
      <c r="DB13" s="151"/>
      <c r="DC13" s="151"/>
      <c r="DD13" s="151"/>
      <c r="DE13" s="151"/>
      <c r="DF13" s="151"/>
      <c r="DG13" s="151"/>
      <c r="DH13" s="151"/>
      <c r="DI13" s="151"/>
      <c r="DJ13" s="151"/>
      <c r="DK13" s="151"/>
      <c r="DL13" s="151"/>
      <c r="DM13" s="151"/>
      <c r="DN13" s="151"/>
      <c r="DO13" s="151"/>
      <c r="DP13" s="151"/>
      <c r="DQ13" s="151"/>
      <c r="DR13" s="151"/>
      <c r="DS13" s="151"/>
      <c r="DT13" s="151"/>
      <c r="DU13" s="151"/>
      <c r="DV13" s="151"/>
      <c r="DW13" s="151"/>
      <c r="DX13" s="151"/>
      <c r="DY13" s="151"/>
      <c r="DZ13" s="151"/>
      <c r="EA13" s="151"/>
      <c r="EB13" s="151"/>
      <c r="EC13" s="151"/>
      <c r="ED13" s="151"/>
      <c r="EE13" s="151"/>
      <c r="EF13" s="151"/>
      <c r="EG13" s="151"/>
      <c r="EH13" s="151"/>
      <c r="EI13" s="151"/>
      <c r="EJ13" s="151"/>
      <c r="EK13" s="151"/>
      <c r="EL13" s="151"/>
      <c r="EM13" s="151"/>
      <c r="EN13" s="151"/>
      <c r="EO13" s="151"/>
      <c r="EP13" s="151"/>
      <c r="EQ13" s="151"/>
      <c r="ER13" s="151"/>
      <c r="ES13" s="151"/>
      <c r="ET13" s="151"/>
      <c r="EU13" s="151"/>
      <c r="EV13" s="151"/>
      <c r="EW13" s="151"/>
      <c r="EX13" s="151"/>
      <c r="EY13" s="151"/>
      <c r="EZ13" s="151"/>
      <c r="FA13" s="151"/>
      <c r="FB13" s="151"/>
      <c r="FC13" s="151"/>
      <c r="FD13" s="151"/>
      <c r="FE13" s="151"/>
      <c r="FF13" s="151"/>
      <c r="FG13" s="151"/>
      <c r="FH13" s="151"/>
      <c r="FI13" s="151"/>
      <c r="FJ13" s="151"/>
      <c r="FK13" s="151"/>
      <c r="FL13" s="151"/>
      <c r="FM13" s="151"/>
      <c r="FN13" s="151"/>
      <c r="FO13" s="151"/>
      <c r="FP13" s="151"/>
      <c r="FQ13" s="151"/>
      <c r="FR13" s="151"/>
      <c r="FS13" s="151"/>
      <c r="FT13" s="151"/>
      <c r="FU13" s="151"/>
      <c r="FV13" s="151"/>
      <c r="FW13" s="151"/>
      <c r="FX13" s="151"/>
      <c r="FY13" s="151"/>
      <c r="FZ13" s="151"/>
      <c r="GA13" s="151"/>
      <c r="GB13" s="151"/>
      <c r="GC13" s="151"/>
      <c r="GD13" s="151"/>
      <c r="GE13" s="151"/>
      <c r="GF13" s="151"/>
      <c r="GG13" s="151"/>
      <c r="GH13" s="151"/>
      <c r="GI13" s="151"/>
      <c r="GJ13" s="151"/>
      <c r="GK13" s="151"/>
      <c r="GL13" s="151"/>
      <c r="GM13" s="151"/>
      <c r="GN13" s="151"/>
      <c r="GO13" s="151"/>
      <c r="GP13" s="151"/>
      <c r="GQ13" s="151"/>
      <c r="GR13" s="151"/>
      <c r="GS13" s="151"/>
      <c r="GT13" s="151"/>
      <c r="GU13" s="151"/>
      <c r="GV13" s="151"/>
      <c r="GW13" s="151"/>
      <c r="GX13" s="151"/>
      <c r="GY13" s="151"/>
      <c r="GZ13" s="151"/>
      <c r="HA13" s="151"/>
      <c r="HB13" s="151"/>
      <c r="HC13" s="151"/>
      <c r="HD13" s="151"/>
      <c r="HE13" s="151"/>
      <c r="HF13" s="151"/>
      <c r="HG13" s="151"/>
      <c r="HH13" s="151"/>
      <c r="HI13" s="151"/>
      <c r="HJ13" s="151"/>
      <c r="HK13" s="151"/>
      <c r="HL13" s="151"/>
      <c r="HM13" s="151"/>
      <c r="HN13" s="151"/>
      <c r="HO13" s="151"/>
      <c r="HP13" s="151"/>
      <c r="HQ13" s="151"/>
      <c r="HR13" s="151"/>
      <c r="HS13" s="151"/>
      <c r="HT13" s="151"/>
      <c r="HU13" s="151"/>
      <c r="HV13" s="151"/>
      <c r="HW13" s="151"/>
      <c r="HX13" s="151"/>
      <c r="HY13" s="151"/>
      <c r="HZ13" s="151"/>
      <c r="IA13" s="151"/>
      <c r="IB13" s="151"/>
      <c r="IC13" s="151"/>
      <c r="ID13" s="151"/>
      <c r="IE13" s="151"/>
      <c r="IF13" s="151"/>
      <c r="IG13" s="151"/>
      <c r="IH13" s="151"/>
      <c r="II13" s="151"/>
      <c r="IJ13" s="151"/>
      <c r="IK13" s="151"/>
      <c r="IL13" s="151"/>
      <c r="IM13" s="151"/>
      <c r="IN13" s="151"/>
      <c r="IO13" s="151"/>
      <c r="IP13" s="151"/>
      <c r="IQ13" s="151"/>
      <c r="IR13" s="151"/>
      <c r="IS13" s="151"/>
      <c r="IT13" s="151"/>
      <c r="IU13" s="151"/>
      <c r="IV13" s="151"/>
      <c r="IW13" s="151"/>
      <c r="IX13" s="151"/>
      <c r="IY13" s="151"/>
      <c r="IZ13" s="151"/>
      <c r="JA13" s="151"/>
      <c r="JB13" s="151"/>
      <c r="JC13" s="151"/>
      <c r="JD13" s="151"/>
      <c r="JE13" s="151"/>
      <c r="JF13" s="151"/>
      <c r="JG13" s="151"/>
      <c r="JH13" s="151"/>
      <c r="JI13" s="151"/>
      <c r="JJ13" s="151"/>
      <c r="JK13" s="151"/>
      <c r="JL13" s="151"/>
      <c r="JM13" s="151"/>
      <c r="JN13" s="151"/>
      <c r="JO13" s="151"/>
      <c r="JP13" s="151"/>
      <c r="JQ13" s="151"/>
      <c r="JR13" s="151"/>
      <c r="JS13" s="151"/>
      <c r="JT13" s="151"/>
      <c r="JU13" s="151"/>
      <c r="JV13" s="151"/>
      <c r="JW13" s="151"/>
      <c r="JX13" s="151"/>
      <c r="JY13" s="151"/>
      <c r="JZ13" s="151"/>
      <c r="KA13" s="151"/>
      <c r="KB13" s="151"/>
      <c r="KC13" s="151"/>
      <c r="KD13" s="151"/>
      <c r="KE13" s="151"/>
      <c r="KF13" s="151"/>
      <c r="KG13" s="151"/>
      <c r="KH13" s="151"/>
      <c r="KI13" s="151"/>
      <c r="KJ13" s="151"/>
      <c r="KK13" s="151"/>
      <c r="KL13" s="151"/>
      <c r="KM13" s="151"/>
      <c r="KN13" s="151"/>
      <c r="KO13" s="151"/>
      <c r="KP13" s="151"/>
      <c r="KQ13" s="151"/>
      <c r="KR13" s="151"/>
      <c r="KS13" s="151"/>
      <c r="KT13" s="151"/>
      <c r="KU13" s="151"/>
      <c r="KV13" s="151"/>
      <c r="KW13" s="151"/>
      <c r="KX13" s="151"/>
      <c r="KY13" s="151"/>
      <c r="KZ13" s="151"/>
      <c r="LA13" s="151"/>
      <c r="LB13" s="151"/>
      <c r="LC13" s="151"/>
      <c r="LD13" s="151"/>
      <c r="LE13" s="151"/>
      <c r="LF13" s="151"/>
      <c r="LG13" s="151"/>
      <c r="LH13" s="151"/>
      <c r="LI13" s="151"/>
      <c r="LJ13" s="151"/>
      <c r="LK13" s="151"/>
      <c r="LL13" s="151"/>
      <c r="LM13" s="151"/>
      <c r="LN13" s="151"/>
      <c r="LO13" s="151"/>
      <c r="LP13" s="151"/>
      <c r="LQ13" s="151"/>
      <c r="LR13" s="151"/>
      <c r="LS13" s="151"/>
      <c r="LT13" s="151"/>
      <c r="LU13" s="151"/>
      <c r="LV13" s="151"/>
      <c r="LW13" s="151"/>
      <c r="LX13" s="151"/>
      <c r="LY13" s="151"/>
      <c r="LZ13" s="151"/>
      <c r="MA13" s="151"/>
      <c r="MB13" s="151"/>
      <c r="MC13" s="151"/>
      <c r="MD13" s="151"/>
      <c r="ME13" s="151"/>
      <c r="MF13" s="151"/>
      <c r="MG13" s="151"/>
      <c r="MH13" s="151"/>
      <c r="MI13" s="151"/>
      <c r="MJ13" s="151"/>
    </row>
    <row r="14" spans="1:348" s="25" customFormat="1" x14ac:dyDescent="0.25">
      <c r="K14" s="27"/>
      <c r="L14" s="27"/>
      <c r="M14" s="27"/>
      <c r="N14" s="27"/>
      <c r="O14" s="27"/>
      <c r="P14" s="76"/>
      <c r="Q14" s="27"/>
      <c r="R14" s="27"/>
      <c r="S14" s="27"/>
      <c r="T14" s="27"/>
      <c r="U14" s="39"/>
    </row>
    <row r="15" spans="1:348" s="25" customFormat="1" x14ac:dyDescent="0.25">
      <c r="K15" s="27"/>
      <c r="L15" s="27"/>
      <c r="M15" s="27"/>
      <c r="N15" s="27"/>
      <c r="O15" s="27"/>
      <c r="P15" s="76"/>
      <c r="Q15" s="27"/>
      <c r="R15" s="27"/>
      <c r="S15" s="27"/>
      <c r="T15" s="27"/>
      <c r="U15" s="39"/>
    </row>
    <row r="16" spans="1:348" s="25" customFormat="1" x14ac:dyDescent="0.25">
      <c r="K16" s="27"/>
      <c r="L16" s="27"/>
      <c r="M16" s="27"/>
      <c r="N16" s="27"/>
      <c r="O16" s="27"/>
      <c r="P16" s="76"/>
      <c r="Q16" s="27"/>
      <c r="R16" s="27"/>
      <c r="S16" s="76"/>
      <c r="T16" s="27"/>
      <c r="U16" s="39"/>
    </row>
    <row r="17" spans="11:21" s="25" customFormat="1" x14ac:dyDescent="0.25">
      <c r="K17" s="27"/>
      <c r="L17" s="27"/>
      <c r="M17" s="27"/>
      <c r="N17" s="27"/>
      <c r="O17" s="27"/>
      <c r="P17" s="76"/>
      <c r="Q17" s="27"/>
      <c r="R17" s="27"/>
      <c r="S17" s="76"/>
      <c r="T17" s="27"/>
      <c r="U17" s="39"/>
    </row>
    <row r="18" spans="11:21" s="25" customFormat="1" x14ac:dyDescent="0.25">
      <c r="K18" s="27"/>
      <c r="L18" s="27"/>
      <c r="M18" s="27"/>
      <c r="N18" s="27"/>
      <c r="O18" s="27"/>
      <c r="P18" s="76"/>
      <c r="Q18" s="27"/>
      <c r="R18" s="27"/>
      <c r="S18" s="27"/>
      <c r="T18" s="27"/>
      <c r="U18" s="39"/>
    </row>
    <row r="19" spans="11:21" s="25" customFormat="1" x14ac:dyDescent="0.25">
      <c r="K19" s="27"/>
      <c r="L19" s="27"/>
      <c r="M19" s="27"/>
      <c r="N19" s="27"/>
      <c r="O19" s="27"/>
      <c r="P19" s="76"/>
      <c r="Q19" s="27"/>
      <c r="R19" s="27"/>
      <c r="S19" s="27"/>
      <c r="T19" s="27"/>
      <c r="U19" s="39"/>
    </row>
    <row r="20" spans="11:21" s="25" customFormat="1" x14ac:dyDescent="0.25">
      <c r="K20" s="27"/>
      <c r="L20" s="27"/>
      <c r="M20" s="27"/>
      <c r="N20" s="27"/>
      <c r="O20" s="27"/>
      <c r="P20" s="76"/>
      <c r="Q20" s="27"/>
      <c r="R20" s="27"/>
      <c r="S20" s="27"/>
      <c r="T20" s="27"/>
      <c r="U20" s="39"/>
    </row>
    <row r="21" spans="11:21" s="25" customFormat="1" x14ac:dyDescent="0.25">
      <c r="K21" s="27"/>
      <c r="L21" s="27"/>
      <c r="M21" s="27"/>
      <c r="N21" s="27"/>
      <c r="O21" s="27"/>
      <c r="P21" s="76"/>
      <c r="Q21" s="27"/>
      <c r="R21" s="27"/>
      <c r="S21" s="27"/>
      <c r="T21" s="27"/>
      <c r="U21" s="39"/>
    </row>
    <row r="22" spans="11:21" s="25" customFormat="1" x14ac:dyDescent="0.25">
      <c r="K22" s="27"/>
      <c r="L22" s="27"/>
      <c r="M22" s="27"/>
      <c r="N22" s="27"/>
      <c r="O22" s="27"/>
      <c r="P22" s="76"/>
      <c r="Q22" s="27"/>
      <c r="R22" s="27"/>
      <c r="S22" s="27"/>
      <c r="T22" s="27"/>
      <c r="U22" s="39"/>
    </row>
    <row r="23" spans="11:21" s="25" customFormat="1" x14ac:dyDescent="0.25">
      <c r="K23" s="27"/>
      <c r="L23" s="27"/>
      <c r="M23" s="27"/>
      <c r="N23" s="27"/>
      <c r="O23" s="27"/>
      <c r="P23" s="76"/>
      <c r="Q23" s="27"/>
      <c r="R23" s="27"/>
      <c r="S23" s="27"/>
      <c r="T23" s="27"/>
      <c r="U23" s="39"/>
    </row>
    <row r="24" spans="11:21" s="25" customFormat="1" x14ac:dyDescent="0.25">
      <c r="K24" s="27"/>
      <c r="L24" s="27"/>
      <c r="M24" s="27"/>
      <c r="N24" s="27"/>
      <c r="O24" s="27"/>
      <c r="P24" s="76"/>
      <c r="Q24" s="27"/>
      <c r="R24" s="27"/>
      <c r="S24" s="27"/>
      <c r="T24" s="27"/>
      <c r="U24" s="39"/>
    </row>
    <row r="25" spans="11:21" s="25" customFormat="1" x14ac:dyDescent="0.25">
      <c r="K25" s="27"/>
      <c r="L25" s="27"/>
      <c r="M25" s="27"/>
      <c r="N25" s="27"/>
      <c r="O25" s="27"/>
      <c r="P25" s="76"/>
      <c r="Q25" s="27"/>
      <c r="R25" s="27"/>
      <c r="S25" s="27"/>
      <c r="T25" s="27"/>
      <c r="U25" s="39"/>
    </row>
    <row r="26" spans="11:21" s="25" customFormat="1" x14ac:dyDescent="0.25">
      <c r="K26" s="27"/>
      <c r="L26" s="27"/>
      <c r="M26" s="27"/>
      <c r="N26" s="27"/>
      <c r="O26" s="27"/>
      <c r="P26" s="76"/>
      <c r="Q26" s="27"/>
      <c r="R26" s="27"/>
      <c r="S26" s="27"/>
      <c r="T26" s="27"/>
      <c r="U26" s="39"/>
    </row>
    <row r="27" spans="11:21" s="25" customFormat="1" x14ac:dyDescent="0.25">
      <c r="K27" s="27"/>
      <c r="L27" s="27"/>
      <c r="M27" s="27"/>
      <c r="N27" s="27"/>
      <c r="O27" s="27"/>
      <c r="P27" s="76"/>
      <c r="Q27" s="27"/>
      <c r="R27" s="27"/>
      <c r="S27" s="27"/>
      <c r="T27" s="27"/>
      <c r="U27" s="39"/>
    </row>
    <row r="28" spans="11:21" s="25" customFormat="1" x14ac:dyDescent="0.25">
      <c r="K28" s="27"/>
      <c r="L28" s="27"/>
      <c r="M28" s="27"/>
      <c r="N28" s="27"/>
      <c r="O28" s="27"/>
      <c r="P28" s="76"/>
      <c r="Q28" s="27"/>
      <c r="R28" s="27"/>
      <c r="S28" s="27"/>
      <c r="T28" s="27"/>
      <c r="U28" s="39"/>
    </row>
    <row r="29" spans="11:21" s="25" customFormat="1" x14ac:dyDescent="0.25">
      <c r="K29" s="27"/>
      <c r="L29" s="27"/>
      <c r="M29" s="27"/>
      <c r="N29" s="27"/>
      <c r="O29" s="27"/>
      <c r="P29" s="76"/>
      <c r="Q29" s="27"/>
      <c r="R29" s="27"/>
      <c r="S29" s="27"/>
      <c r="T29" s="27"/>
      <c r="U29" s="39"/>
    </row>
    <row r="30" spans="11:21" s="25" customFormat="1" x14ac:dyDescent="0.25">
      <c r="K30" s="27"/>
      <c r="L30" s="27"/>
      <c r="M30" s="27"/>
      <c r="N30" s="27"/>
      <c r="O30" s="27"/>
      <c r="P30" s="76"/>
      <c r="Q30" s="27"/>
      <c r="R30" s="27"/>
      <c r="S30" s="27"/>
      <c r="T30" s="27"/>
      <c r="U30" s="39"/>
    </row>
    <row r="31" spans="11:21" s="25" customFormat="1" x14ac:dyDescent="0.25">
      <c r="K31" s="27"/>
      <c r="L31" s="27"/>
      <c r="M31" s="27"/>
      <c r="N31" s="27"/>
      <c r="O31" s="27"/>
      <c r="P31" s="76"/>
      <c r="Q31" s="27"/>
      <c r="R31" s="27"/>
      <c r="S31" s="27"/>
      <c r="T31" s="27"/>
      <c r="U31" s="39"/>
    </row>
    <row r="32" spans="11:21" s="25" customFormat="1" x14ac:dyDescent="0.25">
      <c r="K32" s="27"/>
      <c r="L32" s="27"/>
      <c r="M32" s="27"/>
      <c r="N32" s="27"/>
      <c r="O32" s="27"/>
      <c r="P32" s="76"/>
      <c r="Q32" s="27"/>
      <c r="R32" s="27"/>
      <c r="S32" s="27"/>
      <c r="T32" s="27"/>
      <c r="U32" s="39"/>
    </row>
    <row r="33" spans="11:21" s="25" customFormat="1" x14ac:dyDescent="0.25">
      <c r="K33" s="27"/>
      <c r="L33" s="27"/>
      <c r="M33" s="27"/>
      <c r="N33" s="27"/>
      <c r="O33" s="27"/>
      <c r="P33" s="76"/>
      <c r="Q33" s="27"/>
      <c r="R33" s="27"/>
      <c r="S33" s="27"/>
      <c r="T33" s="27"/>
      <c r="U33" s="39"/>
    </row>
    <row r="34" spans="11:21" s="25" customFormat="1" x14ac:dyDescent="0.25">
      <c r="K34" s="27"/>
      <c r="L34" s="27"/>
      <c r="M34" s="27"/>
      <c r="N34" s="27"/>
      <c r="O34" s="27"/>
      <c r="P34" s="76"/>
      <c r="Q34" s="27"/>
      <c r="R34" s="27"/>
      <c r="S34" s="27"/>
      <c r="T34" s="27"/>
      <c r="U34" s="39"/>
    </row>
    <row r="35" spans="11:21" s="25" customFormat="1" x14ac:dyDescent="0.25">
      <c r="K35" s="27"/>
      <c r="L35" s="27"/>
      <c r="M35" s="27"/>
      <c r="N35" s="27"/>
      <c r="O35" s="27"/>
      <c r="P35" s="76"/>
      <c r="Q35" s="27"/>
      <c r="R35" s="27"/>
      <c r="S35" s="27"/>
      <c r="T35" s="27"/>
      <c r="U35" s="39"/>
    </row>
    <row r="36" spans="11:21" s="25" customFormat="1" x14ac:dyDescent="0.25">
      <c r="K36" s="27"/>
      <c r="L36" s="27"/>
      <c r="M36" s="27"/>
      <c r="N36" s="27"/>
      <c r="O36" s="27"/>
      <c r="P36" s="76"/>
      <c r="Q36" s="27"/>
      <c r="R36" s="27"/>
      <c r="S36" s="27"/>
      <c r="T36" s="27"/>
      <c r="U36" s="39"/>
    </row>
    <row r="37" spans="11:21" s="25" customFormat="1" x14ac:dyDescent="0.25">
      <c r="K37" s="27"/>
      <c r="L37" s="27"/>
      <c r="M37" s="27"/>
      <c r="N37" s="27"/>
      <c r="O37" s="27"/>
      <c r="P37" s="76"/>
      <c r="Q37" s="27"/>
      <c r="R37" s="27"/>
      <c r="S37" s="27"/>
      <c r="T37" s="27"/>
      <c r="U37" s="39"/>
    </row>
    <row r="38" spans="11:21" s="25" customFormat="1" x14ac:dyDescent="0.25">
      <c r="K38" s="27"/>
      <c r="L38" s="27"/>
      <c r="M38" s="27"/>
      <c r="N38" s="27"/>
      <c r="O38" s="27"/>
      <c r="P38" s="76"/>
      <c r="Q38" s="27"/>
      <c r="R38" s="27"/>
      <c r="S38" s="27"/>
      <c r="T38" s="27"/>
      <c r="U38" s="39"/>
    </row>
    <row r="39" spans="11:21" s="25" customFormat="1" x14ac:dyDescent="0.25">
      <c r="K39" s="27"/>
      <c r="L39" s="27"/>
      <c r="M39" s="27"/>
      <c r="N39" s="27"/>
      <c r="O39" s="27"/>
      <c r="P39" s="76"/>
      <c r="Q39" s="27"/>
      <c r="R39" s="27"/>
      <c r="S39" s="27"/>
      <c r="T39" s="27"/>
      <c r="U39" s="39"/>
    </row>
    <row r="40" spans="11:21" s="25" customFormat="1" x14ac:dyDescent="0.25">
      <c r="K40" s="27"/>
      <c r="L40" s="27"/>
      <c r="M40" s="27"/>
      <c r="N40" s="27"/>
      <c r="O40" s="27"/>
      <c r="P40" s="76"/>
      <c r="Q40" s="27"/>
      <c r="R40" s="27"/>
      <c r="S40" s="27"/>
      <c r="T40" s="27"/>
      <c r="U40" s="39"/>
    </row>
    <row r="41" spans="11:21" s="25" customFormat="1" x14ac:dyDescent="0.25">
      <c r="K41" s="27"/>
      <c r="L41" s="27"/>
      <c r="M41" s="27"/>
      <c r="N41" s="27"/>
      <c r="O41" s="27"/>
      <c r="P41" s="76"/>
      <c r="Q41" s="27"/>
      <c r="R41" s="27"/>
      <c r="S41" s="27"/>
      <c r="T41" s="27"/>
      <c r="U41" s="39"/>
    </row>
    <row r="42" spans="11:21" s="25" customFormat="1" x14ac:dyDescent="0.25">
      <c r="K42" s="27"/>
      <c r="L42" s="27"/>
      <c r="M42" s="27"/>
      <c r="N42" s="27"/>
      <c r="O42" s="27"/>
      <c r="P42" s="76"/>
      <c r="Q42" s="27"/>
      <c r="R42" s="27"/>
      <c r="S42" s="27"/>
      <c r="T42" s="27"/>
      <c r="U42" s="39"/>
    </row>
    <row r="43" spans="11:21" s="25" customFormat="1" x14ac:dyDescent="0.25">
      <c r="K43" s="27"/>
      <c r="L43" s="27"/>
      <c r="M43" s="27"/>
      <c r="N43" s="27"/>
      <c r="O43" s="27"/>
      <c r="P43" s="76"/>
      <c r="Q43" s="27"/>
      <c r="R43" s="27"/>
      <c r="S43" s="27"/>
      <c r="T43" s="27"/>
      <c r="U43" s="39"/>
    </row>
    <row r="44" spans="11:21" s="25" customFormat="1" x14ac:dyDescent="0.25">
      <c r="K44" s="27"/>
      <c r="L44" s="27"/>
      <c r="M44" s="27"/>
      <c r="N44" s="27"/>
      <c r="O44" s="27"/>
      <c r="P44" s="76"/>
      <c r="Q44" s="27"/>
      <c r="R44" s="27"/>
      <c r="S44" s="27"/>
      <c r="T44" s="27"/>
      <c r="U44" s="39"/>
    </row>
    <row r="45" spans="11:21" s="25" customFormat="1" x14ac:dyDescent="0.25">
      <c r="K45" s="27"/>
      <c r="L45" s="27"/>
      <c r="M45" s="27"/>
      <c r="N45" s="27"/>
      <c r="O45" s="27"/>
      <c r="P45" s="76"/>
      <c r="Q45" s="27"/>
      <c r="R45" s="27"/>
      <c r="S45" s="27"/>
      <c r="T45" s="27"/>
      <c r="U45" s="39"/>
    </row>
    <row r="46" spans="11:21" s="25" customFormat="1" x14ac:dyDescent="0.25">
      <c r="K46" s="27"/>
      <c r="L46" s="27"/>
      <c r="M46" s="27"/>
      <c r="N46" s="27"/>
      <c r="O46" s="27"/>
      <c r="P46" s="76"/>
      <c r="Q46" s="27"/>
      <c r="R46" s="27"/>
      <c r="S46" s="27"/>
      <c r="T46" s="27"/>
      <c r="U46" s="39"/>
    </row>
    <row r="47" spans="11:21" s="25" customFormat="1" x14ac:dyDescent="0.25">
      <c r="K47" s="27"/>
      <c r="L47" s="27"/>
      <c r="M47" s="27"/>
      <c r="N47" s="27"/>
      <c r="O47" s="27"/>
      <c r="P47" s="76"/>
      <c r="Q47" s="27"/>
      <c r="R47" s="27"/>
      <c r="S47" s="27"/>
      <c r="T47" s="27"/>
      <c r="U47" s="39"/>
    </row>
    <row r="48" spans="11:21" s="25" customFormat="1" x14ac:dyDescent="0.25">
      <c r="K48" s="27"/>
      <c r="L48" s="27"/>
      <c r="M48" s="27"/>
      <c r="N48" s="27"/>
      <c r="O48" s="27"/>
      <c r="P48" s="76"/>
      <c r="Q48" s="27"/>
      <c r="R48" s="27"/>
      <c r="S48" s="27"/>
      <c r="T48" s="27"/>
      <c r="U48" s="39"/>
    </row>
    <row r="49" spans="11:21" s="25" customFormat="1" x14ac:dyDescent="0.25">
      <c r="K49" s="27"/>
      <c r="L49" s="27"/>
      <c r="M49" s="27"/>
      <c r="N49" s="27"/>
      <c r="O49" s="27"/>
      <c r="P49" s="76"/>
      <c r="Q49" s="27"/>
      <c r="R49" s="27"/>
      <c r="S49" s="27"/>
      <c r="T49" s="27"/>
      <c r="U49" s="39"/>
    </row>
    <row r="50" spans="11:21" s="25" customFormat="1" x14ac:dyDescent="0.25">
      <c r="K50" s="27"/>
      <c r="L50" s="27"/>
      <c r="M50" s="27"/>
      <c r="N50" s="27"/>
      <c r="O50" s="27"/>
      <c r="P50" s="76"/>
      <c r="Q50" s="27"/>
      <c r="R50" s="27"/>
      <c r="S50" s="27"/>
      <c r="T50" s="27"/>
      <c r="U50" s="39"/>
    </row>
    <row r="51" spans="11:21" s="25" customFormat="1" x14ac:dyDescent="0.25">
      <c r="K51" s="27"/>
      <c r="L51" s="27"/>
      <c r="M51" s="27"/>
      <c r="N51" s="27"/>
      <c r="O51" s="27"/>
      <c r="P51" s="76"/>
      <c r="Q51" s="27"/>
      <c r="R51" s="27"/>
      <c r="S51" s="27"/>
      <c r="T51" s="27"/>
      <c r="U51" s="39"/>
    </row>
    <row r="52" spans="11:21" s="25" customFormat="1" x14ac:dyDescent="0.25">
      <c r="K52" s="27"/>
      <c r="L52" s="27"/>
      <c r="M52" s="27"/>
      <c r="N52" s="27"/>
      <c r="O52" s="27"/>
      <c r="P52" s="76"/>
      <c r="Q52" s="27"/>
      <c r="R52" s="27"/>
      <c r="S52" s="27"/>
      <c r="T52" s="27"/>
      <c r="U52" s="39"/>
    </row>
    <row r="53" spans="11:21" s="25" customFormat="1" x14ac:dyDescent="0.25">
      <c r="K53" s="27"/>
      <c r="L53" s="27"/>
      <c r="M53" s="27"/>
      <c r="N53" s="27"/>
      <c r="O53" s="27"/>
      <c r="P53" s="76"/>
      <c r="Q53" s="27"/>
      <c r="R53" s="27"/>
      <c r="S53" s="27"/>
      <c r="T53" s="27"/>
      <c r="U53" s="39"/>
    </row>
    <row r="54" spans="11:21" s="25" customFormat="1" x14ac:dyDescent="0.25">
      <c r="K54" s="27"/>
      <c r="L54" s="27"/>
      <c r="M54" s="27"/>
      <c r="N54" s="27"/>
      <c r="O54" s="27"/>
      <c r="P54" s="76"/>
      <c r="Q54" s="27"/>
      <c r="R54" s="27"/>
      <c r="S54" s="27"/>
      <c r="T54" s="27"/>
      <c r="U54" s="39"/>
    </row>
    <row r="55" spans="11:21" s="25" customFormat="1" x14ac:dyDescent="0.25">
      <c r="K55" s="27"/>
      <c r="L55" s="27"/>
      <c r="M55" s="27"/>
      <c r="N55" s="27"/>
      <c r="O55" s="27"/>
      <c r="P55" s="76"/>
      <c r="Q55" s="27"/>
      <c r="R55" s="27"/>
      <c r="S55" s="27"/>
      <c r="T55" s="27"/>
      <c r="U55" s="39"/>
    </row>
    <row r="56" spans="11:21" s="25" customFormat="1" x14ac:dyDescent="0.25">
      <c r="K56" s="27"/>
      <c r="L56" s="27"/>
      <c r="M56" s="27"/>
      <c r="N56" s="27"/>
      <c r="O56" s="27"/>
      <c r="P56" s="76"/>
      <c r="Q56" s="27"/>
      <c r="R56" s="27"/>
      <c r="S56" s="27"/>
      <c r="T56" s="27"/>
      <c r="U56" s="39"/>
    </row>
    <row r="57" spans="11:21" s="25" customFormat="1" x14ac:dyDescent="0.25">
      <c r="K57" s="27"/>
      <c r="L57" s="27"/>
      <c r="M57" s="27"/>
      <c r="N57" s="27"/>
      <c r="O57" s="27"/>
      <c r="P57" s="76"/>
      <c r="Q57" s="27"/>
      <c r="R57" s="27"/>
      <c r="S57" s="27"/>
      <c r="T57" s="27"/>
      <c r="U57" s="39"/>
    </row>
    <row r="58" spans="11:21" s="25" customFormat="1" x14ac:dyDescent="0.25">
      <c r="K58" s="27"/>
      <c r="L58" s="27"/>
      <c r="M58" s="27"/>
      <c r="N58" s="27"/>
      <c r="O58" s="27"/>
      <c r="P58" s="76"/>
      <c r="Q58" s="27"/>
      <c r="R58" s="27"/>
      <c r="S58" s="27"/>
      <c r="T58" s="27"/>
      <c r="U58" s="39"/>
    </row>
    <row r="59" spans="11:21" s="25" customFormat="1" x14ac:dyDescent="0.25">
      <c r="K59" s="27"/>
      <c r="L59" s="27"/>
      <c r="M59" s="27"/>
      <c r="N59" s="27"/>
      <c r="O59" s="27"/>
      <c r="P59" s="76"/>
      <c r="Q59" s="27"/>
      <c r="R59" s="27"/>
      <c r="S59" s="27"/>
      <c r="T59" s="27"/>
      <c r="U59" s="39"/>
    </row>
    <row r="60" spans="11:21" s="25" customFormat="1" x14ac:dyDescent="0.25">
      <c r="K60" s="27"/>
      <c r="L60" s="27"/>
      <c r="M60" s="27"/>
      <c r="N60" s="27"/>
      <c r="O60" s="27"/>
      <c r="P60" s="76"/>
      <c r="Q60" s="27"/>
      <c r="R60" s="27"/>
      <c r="S60" s="27"/>
      <c r="T60" s="27"/>
      <c r="U60" s="39"/>
    </row>
    <row r="61" spans="11:21" s="25" customFormat="1" x14ac:dyDescent="0.25">
      <c r="K61" s="27"/>
      <c r="L61" s="27"/>
      <c r="M61" s="27"/>
      <c r="N61" s="27"/>
      <c r="O61" s="27"/>
      <c r="P61" s="76"/>
      <c r="Q61" s="27"/>
      <c r="R61" s="27"/>
      <c r="S61" s="27"/>
      <c r="T61" s="27"/>
      <c r="U61" s="39"/>
    </row>
    <row r="62" spans="11:21" s="25" customFormat="1" x14ac:dyDescent="0.25">
      <c r="K62" s="27"/>
      <c r="L62" s="27"/>
      <c r="M62" s="27"/>
      <c r="N62" s="27"/>
      <c r="O62" s="27"/>
      <c r="P62" s="76"/>
      <c r="Q62" s="27"/>
      <c r="R62" s="27"/>
      <c r="S62" s="27"/>
      <c r="T62" s="27"/>
      <c r="U62" s="39"/>
    </row>
    <row r="63" spans="11:21" s="25" customFormat="1" x14ac:dyDescent="0.25">
      <c r="K63" s="27"/>
      <c r="L63" s="27"/>
      <c r="M63" s="27"/>
      <c r="N63" s="27"/>
      <c r="O63" s="27"/>
      <c r="P63" s="76"/>
      <c r="Q63" s="27"/>
      <c r="R63" s="27"/>
      <c r="S63" s="27"/>
      <c r="T63" s="27"/>
      <c r="U63" s="39"/>
    </row>
    <row r="64" spans="11:21" s="25" customFormat="1" x14ac:dyDescent="0.25">
      <c r="K64" s="27"/>
      <c r="L64" s="27"/>
      <c r="M64" s="27"/>
      <c r="N64" s="27"/>
      <c r="O64" s="27"/>
      <c r="P64" s="76"/>
      <c r="Q64" s="27"/>
      <c r="R64" s="27"/>
      <c r="S64" s="27"/>
      <c r="T64" s="27"/>
      <c r="U64" s="39"/>
    </row>
    <row r="65" spans="11:21" s="25" customFormat="1" x14ac:dyDescent="0.25">
      <c r="K65" s="27"/>
      <c r="L65" s="27"/>
      <c r="M65" s="27"/>
      <c r="N65" s="27"/>
      <c r="O65" s="27"/>
      <c r="P65" s="76"/>
      <c r="Q65" s="27"/>
      <c r="R65" s="27"/>
      <c r="S65" s="27"/>
      <c r="T65" s="27"/>
      <c r="U65" s="39"/>
    </row>
    <row r="66" spans="11:21" s="25" customFormat="1" x14ac:dyDescent="0.25">
      <c r="K66" s="27"/>
      <c r="L66" s="27"/>
      <c r="M66" s="27"/>
      <c r="N66" s="27"/>
      <c r="O66" s="27"/>
      <c r="P66" s="76"/>
      <c r="Q66" s="27"/>
      <c r="R66" s="27"/>
      <c r="S66" s="27"/>
      <c r="T66" s="27"/>
      <c r="U66" s="39"/>
    </row>
    <row r="67" spans="11:21" s="25" customFormat="1" x14ac:dyDescent="0.25">
      <c r="K67" s="27"/>
      <c r="L67" s="27"/>
      <c r="M67" s="27"/>
      <c r="N67" s="27"/>
      <c r="O67" s="27"/>
      <c r="P67" s="76"/>
      <c r="Q67" s="27"/>
      <c r="R67" s="27"/>
      <c r="S67" s="27"/>
      <c r="T67" s="27"/>
      <c r="U67" s="39"/>
    </row>
    <row r="68" spans="11:21" s="25" customFormat="1" x14ac:dyDescent="0.25">
      <c r="K68" s="27"/>
      <c r="L68" s="27"/>
      <c r="M68" s="27"/>
      <c r="N68" s="27"/>
      <c r="O68" s="27"/>
      <c r="P68" s="76"/>
      <c r="Q68" s="27"/>
      <c r="R68" s="27"/>
      <c r="S68" s="27"/>
      <c r="T68" s="27"/>
      <c r="U68" s="39"/>
    </row>
    <row r="69" spans="11:21" s="25" customFormat="1" x14ac:dyDescent="0.25">
      <c r="K69" s="27"/>
      <c r="L69" s="27"/>
      <c r="M69" s="27"/>
      <c r="N69" s="27"/>
      <c r="O69" s="27"/>
      <c r="P69" s="76"/>
      <c r="Q69" s="27"/>
      <c r="R69" s="27"/>
      <c r="S69" s="27"/>
      <c r="T69" s="27"/>
      <c r="U69" s="39"/>
    </row>
    <row r="70" spans="11:21" s="25" customFormat="1" x14ac:dyDescent="0.25">
      <c r="K70" s="27"/>
      <c r="L70" s="27"/>
      <c r="M70" s="27"/>
      <c r="N70" s="27"/>
      <c r="O70" s="27"/>
      <c r="P70" s="76"/>
      <c r="Q70" s="27"/>
      <c r="R70" s="27"/>
      <c r="S70" s="27"/>
      <c r="T70" s="27"/>
      <c r="U70" s="39"/>
    </row>
    <row r="71" spans="11:21" s="25" customFormat="1" x14ac:dyDescent="0.25">
      <c r="K71" s="27"/>
      <c r="L71" s="27"/>
      <c r="M71" s="27"/>
      <c r="N71" s="27"/>
      <c r="O71" s="27"/>
      <c r="P71" s="76"/>
      <c r="Q71" s="27"/>
      <c r="R71" s="27"/>
      <c r="S71" s="27"/>
      <c r="T71" s="27"/>
      <c r="U71" s="39"/>
    </row>
    <row r="72" spans="11:21" s="25" customFormat="1" x14ac:dyDescent="0.25">
      <c r="K72" s="27"/>
      <c r="L72" s="27"/>
      <c r="M72" s="27"/>
      <c r="N72" s="27"/>
      <c r="O72" s="27"/>
      <c r="P72" s="76"/>
      <c r="Q72" s="27"/>
      <c r="R72" s="27"/>
      <c r="S72" s="27"/>
      <c r="T72" s="27"/>
      <c r="U72" s="39"/>
    </row>
    <row r="73" spans="11:21" s="25" customFormat="1" x14ac:dyDescent="0.25">
      <c r="K73" s="27"/>
      <c r="L73" s="27"/>
      <c r="M73" s="27"/>
      <c r="N73" s="27"/>
      <c r="O73" s="27"/>
      <c r="P73" s="76"/>
      <c r="Q73" s="27"/>
      <c r="R73" s="27"/>
      <c r="S73" s="27"/>
      <c r="T73" s="27"/>
      <c r="U73" s="39"/>
    </row>
    <row r="74" spans="11:21" s="25" customFormat="1" x14ac:dyDescent="0.25">
      <c r="K74" s="27"/>
      <c r="L74" s="27"/>
      <c r="M74" s="27"/>
      <c r="N74" s="27"/>
      <c r="O74" s="27"/>
      <c r="P74" s="76"/>
      <c r="Q74" s="27"/>
      <c r="R74" s="27"/>
      <c r="S74" s="27"/>
      <c r="T74" s="27"/>
      <c r="U74" s="39"/>
    </row>
    <row r="75" spans="11:21" s="25" customFormat="1" x14ac:dyDescent="0.25">
      <c r="K75" s="27"/>
      <c r="L75" s="27"/>
      <c r="M75" s="27"/>
      <c r="N75" s="27"/>
      <c r="O75" s="27"/>
      <c r="P75" s="76"/>
      <c r="Q75" s="27"/>
      <c r="R75" s="27"/>
      <c r="S75" s="27"/>
      <c r="T75" s="27"/>
      <c r="U75" s="39"/>
    </row>
    <row r="76" spans="11:21" s="25" customFormat="1" x14ac:dyDescent="0.25">
      <c r="K76" s="27"/>
      <c r="L76" s="27"/>
      <c r="M76" s="27"/>
      <c r="N76" s="27"/>
      <c r="O76" s="27"/>
      <c r="P76" s="76"/>
      <c r="Q76" s="27"/>
      <c r="R76" s="27"/>
      <c r="S76" s="27"/>
      <c r="T76" s="27"/>
      <c r="U76" s="39"/>
    </row>
    <row r="77" spans="11:21" s="25" customFormat="1" x14ac:dyDescent="0.25">
      <c r="K77" s="27"/>
      <c r="L77" s="27"/>
      <c r="M77" s="27"/>
      <c r="N77" s="27"/>
      <c r="O77" s="27"/>
      <c r="P77" s="76"/>
      <c r="Q77" s="27"/>
      <c r="R77" s="27"/>
      <c r="S77" s="27"/>
      <c r="T77" s="27"/>
      <c r="U77" s="39"/>
    </row>
    <row r="78" spans="11:21" s="25" customFormat="1" x14ac:dyDescent="0.25">
      <c r="K78" s="27"/>
      <c r="L78" s="27"/>
      <c r="M78" s="27"/>
      <c r="N78" s="27"/>
      <c r="O78" s="27"/>
      <c r="P78" s="76"/>
      <c r="Q78" s="27"/>
      <c r="R78" s="27"/>
      <c r="S78" s="27"/>
      <c r="T78" s="27"/>
      <c r="U78" s="39"/>
    </row>
    <row r="79" spans="11:21" s="25" customFormat="1" x14ac:dyDescent="0.25">
      <c r="K79" s="27"/>
      <c r="L79" s="27"/>
      <c r="M79" s="27"/>
      <c r="N79" s="27"/>
      <c r="O79" s="27"/>
      <c r="P79" s="76"/>
      <c r="Q79" s="27"/>
      <c r="R79" s="27"/>
      <c r="S79" s="27"/>
      <c r="T79" s="27"/>
      <c r="U79" s="39"/>
    </row>
    <row r="80" spans="11:21" s="25" customFormat="1" x14ac:dyDescent="0.25">
      <c r="K80" s="27"/>
      <c r="L80" s="27"/>
      <c r="M80" s="27"/>
      <c r="N80" s="27"/>
      <c r="O80" s="27"/>
      <c r="P80" s="76"/>
      <c r="Q80" s="27"/>
      <c r="R80" s="27"/>
      <c r="S80" s="27"/>
      <c r="T80" s="27"/>
      <c r="U80" s="39"/>
    </row>
    <row r="81" spans="11:21" s="25" customFormat="1" x14ac:dyDescent="0.25">
      <c r="K81" s="27"/>
      <c r="L81" s="27"/>
      <c r="M81" s="27"/>
      <c r="N81" s="27"/>
      <c r="O81" s="27"/>
      <c r="P81" s="76"/>
      <c r="Q81" s="27"/>
      <c r="R81" s="27"/>
      <c r="S81" s="27"/>
      <c r="T81" s="27"/>
      <c r="U81" s="39"/>
    </row>
    <row r="82" spans="11:21" s="25" customFormat="1" x14ac:dyDescent="0.25">
      <c r="K82" s="27"/>
      <c r="L82" s="27"/>
      <c r="M82" s="27"/>
      <c r="N82" s="27"/>
      <c r="O82" s="27"/>
      <c r="P82" s="76"/>
      <c r="Q82" s="27"/>
      <c r="R82" s="27"/>
      <c r="S82" s="27"/>
      <c r="T82" s="27"/>
      <c r="U82" s="39"/>
    </row>
    <row r="83" spans="11:21" s="25" customFormat="1" x14ac:dyDescent="0.25">
      <c r="K83" s="27"/>
      <c r="L83" s="27"/>
      <c r="M83" s="27"/>
      <c r="N83" s="27"/>
      <c r="O83" s="27"/>
      <c r="P83" s="76"/>
      <c r="Q83" s="27"/>
      <c r="R83" s="27"/>
      <c r="S83" s="27"/>
      <c r="T83" s="27"/>
      <c r="U83" s="39"/>
    </row>
    <row r="84" spans="11:21" s="25" customFormat="1" x14ac:dyDescent="0.25">
      <c r="K84" s="27"/>
      <c r="L84" s="27"/>
      <c r="M84" s="27"/>
      <c r="N84" s="27"/>
      <c r="O84" s="27"/>
      <c r="P84" s="76"/>
      <c r="Q84" s="27"/>
      <c r="R84" s="27"/>
      <c r="S84" s="27"/>
      <c r="T84" s="27"/>
      <c r="U84" s="39"/>
    </row>
    <row r="85" spans="11:21" s="25" customFormat="1" x14ac:dyDescent="0.25">
      <c r="K85" s="27"/>
      <c r="L85" s="27"/>
      <c r="M85" s="27"/>
      <c r="N85" s="27"/>
      <c r="O85" s="27"/>
      <c r="P85" s="76"/>
      <c r="Q85" s="27"/>
      <c r="R85" s="27"/>
      <c r="S85" s="27"/>
      <c r="T85" s="27"/>
      <c r="U85" s="39"/>
    </row>
    <row r="86" spans="11:21" s="25" customFormat="1" x14ac:dyDescent="0.25">
      <c r="K86" s="27"/>
      <c r="L86" s="27"/>
      <c r="M86" s="27"/>
      <c r="N86" s="27"/>
      <c r="O86" s="27"/>
      <c r="P86" s="76"/>
      <c r="Q86" s="27"/>
      <c r="R86" s="27"/>
      <c r="S86" s="27"/>
      <c r="T86" s="27"/>
      <c r="U86" s="39"/>
    </row>
    <row r="87" spans="11:21" s="25" customFormat="1" x14ac:dyDescent="0.25">
      <c r="K87" s="27"/>
      <c r="L87" s="27"/>
      <c r="M87" s="27"/>
      <c r="N87" s="27"/>
      <c r="O87" s="27"/>
      <c r="P87" s="76"/>
      <c r="Q87" s="27"/>
      <c r="R87" s="27"/>
      <c r="S87" s="27"/>
      <c r="T87" s="27"/>
      <c r="U87" s="39"/>
    </row>
    <row r="88" spans="11:21" s="25" customFormat="1" x14ac:dyDescent="0.25">
      <c r="K88" s="27"/>
      <c r="L88" s="27"/>
      <c r="M88" s="27"/>
      <c r="N88" s="27"/>
      <c r="O88" s="27"/>
      <c r="P88" s="76"/>
      <c r="Q88" s="27"/>
      <c r="R88" s="27"/>
      <c r="S88" s="27"/>
      <c r="T88" s="27"/>
      <c r="U88" s="39"/>
    </row>
    <row r="89" spans="11:21" s="25" customFormat="1" x14ac:dyDescent="0.25">
      <c r="K89" s="27"/>
      <c r="L89" s="27"/>
      <c r="M89" s="27"/>
      <c r="N89" s="27"/>
      <c r="O89" s="27"/>
      <c r="P89" s="76"/>
      <c r="Q89" s="27"/>
      <c r="R89" s="27"/>
      <c r="S89" s="27"/>
      <c r="T89" s="27"/>
      <c r="U89" s="39"/>
    </row>
    <row r="90" spans="11:21" s="25" customFormat="1" x14ac:dyDescent="0.25">
      <c r="K90" s="27"/>
      <c r="L90" s="27"/>
      <c r="M90" s="27"/>
      <c r="N90" s="27"/>
      <c r="O90" s="27"/>
      <c r="P90" s="76"/>
      <c r="Q90" s="27"/>
      <c r="R90" s="27"/>
      <c r="S90" s="27"/>
      <c r="T90" s="27"/>
      <c r="U90" s="39"/>
    </row>
    <row r="91" spans="11:21" s="25" customFormat="1" x14ac:dyDescent="0.25">
      <c r="K91" s="27"/>
      <c r="L91" s="27"/>
      <c r="M91" s="27"/>
      <c r="N91" s="27"/>
      <c r="O91" s="27"/>
      <c r="P91" s="76"/>
      <c r="Q91" s="27"/>
      <c r="R91" s="27"/>
      <c r="S91" s="27"/>
      <c r="T91" s="27"/>
      <c r="U91" s="39"/>
    </row>
    <row r="92" spans="11:21" s="25" customFormat="1" x14ac:dyDescent="0.25">
      <c r="K92" s="27"/>
      <c r="L92" s="27"/>
      <c r="M92" s="27"/>
      <c r="N92" s="27"/>
      <c r="O92" s="27"/>
      <c r="P92" s="76"/>
      <c r="Q92" s="27"/>
      <c r="R92" s="27"/>
      <c r="S92" s="27"/>
      <c r="T92" s="27"/>
      <c r="U92" s="39"/>
    </row>
    <row r="93" spans="11:21" s="25" customFormat="1" x14ac:dyDescent="0.25">
      <c r="K93" s="27"/>
      <c r="L93" s="27"/>
      <c r="M93" s="27"/>
      <c r="N93" s="27"/>
      <c r="O93" s="27"/>
      <c r="P93" s="76"/>
      <c r="Q93" s="27"/>
      <c r="R93" s="27"/>
      <c r="S93" s="27"/>
      <c r="T93" s="27"/>
      <c r="U93" s="39"/>
    </row>
    <row r="94" spans="11:21" s="25" customFormat="1" x14ac:dyDescent="0.25">
      <c r="K94" s="27"/>
      <c r="L94" s="27"/>
      <c r="M94" s="27"/>
      <c r="N94" s="27"/>
      <c r="O94" s="27"/>
      <c r="P94" s="76"/>
      <c r="Q94" s="27"/>
      <c r="R94" s="27"/>
      <c r="S94" s="27"/>
      <c r="T94" s="27"/>
      <c r="U94" s="39"/>
    </row>
    <row r="95" spans="11:21" s="25" customFormat="1" x14ac:dyDescent="0.25">
      <c r="K95" s="27"/>
      <c r="L95" s="27"/>
      <c r="M95" s="27"/>
      <c r="N95" s="27"/>
      <c r="O95" s="27"/>
      <c r="P95" s="76"/>
      <c r="Q95" s="27"/>
      <c r="R95" s="27"/>
      <c r="S95" s="27"/>
      <c r="T95" s="27"/>
      <c r="U95" s="39"/>
    </row>
    <row r="96" spans="11:21" s="25" customFormat="1" x14ac:dyDescent="0.25">
      <c r="K96" s="27"/>
      <c r="L96" s="27"/>
      <c r="M96" s="27"/>
      <c r="N96" s="27"/>
      <c r="O96" s="27"/>
      <c r="P96" s="76"/>
      <c r="Q96" s="27"/>
      <c r="R96" s="27"/>
      <c r="S96" s="27"/>
      <c r="T96" s="27"/>
      <c r="U96" s="39"/>
    </row>
    <row r="97" spans="11:21" s="25" customFormat="1" x14ac:dyDescent="0.25">
      <c r="K97" s="27"/>
      <c r="L97" s="27"/>
      <c r="M97" s="27"/>
      <c r="N97" s="27"/>
      <c r="O97" s="27"/>
      <c r="P97" s="76"/>
      <c r="Q97" s="27"/>
      <c r="R97" s="27"/>
      <c r="S97" s="27"/>
      <c r="T97" s="27"/>
      <c r="U97" s="39"/>
    </row>
    <row r="98" spans="11:21" s="25" customFormat="1" x14ac:dyDescent="0.25">
      <c r="K98" s="27"/>
      <c r="L98" s="27"/>
      <c r="M98" s="27"/>
      <c r="N98" s="27"/>
      <c r="O98" s="27"/>
      <c r="P98" s="76"/>
      <c r="Q98" s="27"/>
      <c r="R98" s="27"/>
      <c r="S98" s="27"/>
      <c r="T98" s="27"/>
      <c r="U98" s="39"/>
    </row>
    <row r="99" spans="11:21" s="25" customFormat="1" x14ac:dyDescent="0.25">
      <c r="K99" s="27"/>
      <c r="L99" s="27"/>
      <c r="M99" s="27"/>
      <c r="N99" s="27"/>
      <c r="O99" s="27"/>
      <c r="P99" s="76"/>
      <c r="Q99" s="27"/>
      <c r="R99" s="27"/>
      <c r="S99" s="27"/>
      <c r="T99" s="27"/>
      <c r="U99" s="39"/>
    </row>
    <row r="100" spans="11:21" s="25" customFormat="1" x14ac:dyDescent="0.25">
      <c r="K100" s="27"/>
      <c r="L100" s="27"/>
      <c r="M100" s="27"/>
      <c r="N100" s="27"/>
      <c r="O100" s="27"/>
      <c r="P100" s="76"/>
      <c r="Q100" s="27"/>
      <c r="R100" s="27"/>
      <c r="S100" s="27"/>
      <c r="T100" s="27"/>
      <c r="U100" s="39"/>
    </row>
    <row r="101" spans="11:21" s="25" customFormat="1" x14ac:dyDescent="0.25">
      <c r="K101" s="27"/>
      <c r="L101" s="27"/>
      <c r="M101" s="27"/>
      <c r="N101" s="27"/>
      <c r="O101" s="27"/>
      <c r="P101" s="76"/>
      <c r="Q101" s="27"/>
      <c r="R101" s="27"/>
      <c r="S101" s="27"/>
      <c r="T101" s="27"/>
      <c r="U101" s="39"/>
    </row>
    <row r="102" spans="11:21" s="25" customFormat="1" x14ac:dyDescent="0.25">
      <c r="K102" s="27"/>
      <c r="L102" s="27"/>
      <c r="M102" s="27"/>
      <c r="N102" s="27"/>
      <c r="O102" s="27"/>
      <c r="P102" s="76"/>
      <c r="Q102" s="27"/>
      <c r="R102" s="27"/>
      <c r="S102" s="27"/>
      <c r="T102" s="27"/>
      <c r="U102" s="39"/>
    </row>
    <row r="103" spans="11:21" s="25" customFormat="1" x14ac:dyDescent="0.25">
      <c r="K103" s="27"/>
      <c r="L103" s="27"/>
      <c r="M103" s="27"/>
      <c r="N103" s="27"/>
      <c r="O103" s="27"/>
      <c r="P103" s="76"/>
      <c r="Q103" s="27"/>
      <c r="R103" s="27"/>
      <c r="S103" s="27"/>
      <c r="T103" s="27"/>
      <c r="U103" s="39"/>
    </row>
    <row r="104" spans="11:21" s="25" customFormat="1" x14ac:dyDescent="0.25">
      <c r="K104" s="27"/>
      <c r="L104" s="27"/>
      <c r="M104" s="27"/>
      <c r="N104" s="27"/>
      <c r="O104" s="27"/>
      <c r="P104" s="76"/>
      <c r="Q104" s="27"/>
      <c r="R104" s="27"/>
      <c r="S104" s="27"/>
      <c r="T104" s="27"/>
      <c r="U104" s="39"/>
    </row>
    <row r="105" spans="11:21" s="25" customFormat="1" x14ac:dyDescent="0.25">
      <c r="K105" s="27"/>
      <c r="L105" s="27"/>
      <c r="M105" s="27"/>
      <c r="N105" s="27"/>
      <c r="O105" s="27"/>
      <c r="P105" s="76"/>
      <c r="Q105" s="27"/>
      <c r="R105" s="27"/>
      <c r="S105" s="27"/>
      <c r="T105" s="27"/>
      <c r="U105" s="39"/>
    </row>
    <row r="106" spans="11:21" s="25" customFormat="1" x14ac:dyDescent="0.25">
      <c r="K106" s="27"/>
      <c r="L106" s="27"/>
      <c r="M106" s="27"/>
      <c r="N106" s="27"/>
      <c r="O106" s="27"/>
      <c r="P106" s="76"/>
      <c r="Q106" s="27"/>
      <c r="R106" s="27"/>
      <c r="S106" s="27"/>
      <c r="T106" s="27"/>
      <c r="U106" s="39"/>
    </row>
    <row r="107" spans="11:21" s="25" customFormat="1" x14ac:dyDescent="0.25">
      <c r="K107" s="27"/>
      <c r="L107" s="27"/>
      <c r="M107" s="27"/>
      <c r="N107" s="27"/>
      <c r="O107" s="27"/>
      <c r="P107" s="76"/>
      <c r="Q107" s="27"/>
      <c r="R107" s="27"/>
      <c r="S107" s="27"/>
      <c r="T107" s="27"/>
      <c r="U107" s="39"/>
    </row>
    <row r="108" spans="11:21" s="25" customFormat="1" x14ac:dyDescent="0.25">
      <c r="K108" s="27"/>
      <c r="L108" s="27"/>
      <c r="M108" s="27"/>
      <c r="N108" s="27"/>
      <c r="O108" s="27"/>
      <c r="P108" s="76"/>
      <c r="Q108" s="27"/>
      <c r="R108" s="27"/>
      <c r="S108" s="27"/>
      <c r="T108" s="27"/>
      <c r="U108" s="39"/>
    </row>
    <row r="109" spans="11:21" s="25" customFormat="1" x14ac:dyDescent="0.25">
      <c r="K109" s="27"/>
      <c r="L109" s="27"/>
      <c r="M109" s="27"/>
      <c r="N109" s="27"/>
      <c r="O109" s="27"/>
      <c r="P109" s="76"/>
      <c r="Q109" s="27"/>
      <c r="R109" s="27"/>
      <c r="S109" s="27"/>
      <c r="T109" s="27"/>
      <c r="U109" s="39"/>
    </row>
    <row r="110" spans="11:21" s="25" customFormat="1" x14ac:dyDescent="0.25">
      <c r="K110" s="27"/>
      <c r="L110" s="27"/>
      <c r="M110" s="27"/>
      <c r="N110" s="27"/>
      <c r="O110" s="27"/>
      <c r="P110" s="76"/>
      <c r="Q110" s="27"/>
      <c r="R110" s="27"/>
      <c r="S110" s="27"/>
      <c r="T110" s="27"/>
      <c r="U110" s="39"/>
    </row>
    <row r="111" spans="11:21" s="25" customFormat="1" x14ac:dyDescent="0.25">
      <c r="K111" s="27"/>
      <c r="L111" s="27"/>
      <c r="M111" s="27"/>
      <c r="N111" s="27"/>
      <c r="O111" s="27"/>
      <c r="P111" s="76"/>
      <c r="Q111" s="27"/>
      <c r="R111" s="27"/>
      <c r="S111" s="27"/>
      <c r="T111" s="27"/>
      <c r="U111" s="39"/>
    </row>
    <row r="112" spans="11:21" s="25" customFormat="1" x14ac:dyDescent="0.25">
      <c r="K112" s="27"/>
      <c r="L112" s="27"/>
      <c r="M112" s="27"/>
      <c r="N112" s="27"/>
      <c r="O112" s="27"/>
      <c r="P112" s="76"/>
      <c r="Q112" s="27"/>
      <c r="R112" s="27"/>
      <c r="S112" s="27"/>
      <c r="T112" s="27"/>
      <c r="U112" s="39"/>
    </row>
    <row r="113" spans="11:21" s="25" customFormat="1" x14ac:dyDescent="0.25">
      <c r="K113" s="27"/>
      <c r="L113" s="27"/>
      <c r="M113" s="27"/>
      <c r="N113" s="27"/>
      <c r="O113" s="27"/>
      <c r="P113" s="76"/>
      <c r="Q113" s="27"/>
      <c r="R113" s="27"/>
      <c r="S113" s="27"/>
      <c r="T113" s="27"/>
      <c r="U113" s="39"/>
    </row>
    <row r="114" spans="11:21" s="25" customFormat="1" x14ac:dyDescent="0.25">
      <c r="K114" s="27"/>
      <c r="L114" s="27"/>
      <c r="M114" s="27"/>
      <c r="N114" s="27"/>
      <c r="O114" s="27"/>
      <c r="P114" s="76"/>
      <c r="Q114" s="27"/>
      <c r="R114" s="27"/>
      <c r="S114" s="27"/>
      <c r="T114" s="27"/>
      <c r="U114" s="39"/>
    </row>
    <row r="115" spans="11:21" s="25" customFormat="1" x14ac:dyDescent="0.25">
      <c r="K115" s="27"/>
      <c r="L115" s="27"/>
      <c r="M115" s="27"/>
      <c r="N115" s="27"/>
      <c r="O115" s="27"/>
      <c r="P115" s="76"/>
      <c r="Q115" s="27"/>
      <c r="R115" s="27"/>
      <c r="S115" s="27"/>
      <c r="T115" s="27"/>
      <c r="U115" s="39"/>
    </row>
    <row r="116" spans="11:21" s="25" customFormat="1" x14ac:dyDescent="0.25">
      <c r="K116" s="27"/>
      <c r="L116" s="27"/>
      <c r="M116" s="27"/>
      <c r="N116" s="27"/>
      <c r="O116" s="27"/>
      <c r="P116" s="76"/>
      <c r="Q116" s="27"/>
      <c r="R116" s="27"/>
      <c r="S116" s="27"/>
      <c r="T116" s="27"/>
      <c r="U116" s="39"/>
    </row>
    <row r="117" spans="11:21" s="25" customFormat="1" x14ac:dyDescent="0.25">
      <c r="K117" s="27"/>
      <c r="L117" s="27"/>
      <c r="M117" s="27"/>
      <c r="N117" s="27"/>
      <c r="O117" s="27"/>
      <c r="P117" s="76"/>
      <c r="Q117" s="27"/>
      <c r="R117" s="27"/>
      <c r="S117" s="27"/>
      <c r="T117" s="27"/>
      <c r="U117" s="39"/>
    </row>
    <row r="118" spans="11:21" s="25" customFormat="1" x14ac:dyDescent="0.25">
      <c r="K118" s="27"/>
      <c r="L118" s="27"/>
      <c r="M118" s="27"/>
      <c r="N118" s="27"/>
      <c r="O118" s="27"/>
      <c r="P118" s="76"/>
      <c r="Q118" s="27"/>
      <c r="R118" s="27"/>
      <c r="S118" s="27"/>
      <c r="T118" s="27"/>
      <c r="U118" s="39"/>
    </row>
    <row r="119" spans="11:21" s="25" customFormat="1" x14ac:dyDescent="0.25">
      <c r="K119" s="27"/>
      <c r="L119" s="27"/>
      <c r="M119" s="27"/>
      <c r="N119" s="27"/>
      <c r="O119" s="27"/>
      <c r="P119" s="76"/>
      <c r="Q119" s="27"/>
      <c r="R119" s="27"/>
      <c r="S119" s="27"/>
      <c r="T119" s="27"/>
      <c r="U119" s="39"/>
    </row>
    <row r="120" spans="11:21" s="25" customFormat="1" x14ac:dyDescent="0.25">
      <c r="K120" s="27"/>
      <c r="L120" s="27"/>
      <c r="M120" s="27"/>
      <c r="N120" s="27"/>
      <c r="O120" s="27"/>
      <c r="P120" s="76"/>
      <c r="Q120" s="27"/>
      <c r="R120" s="27"/>
      <c r="S120" s="27"/>
      <c r="T120" s="27"/>
      <c r="U120" s="39"/>
    </row>
    <row r="121" spans="11:21" s="25" customFormat="1" x14ac:dyDescent="0.25">
      <c r="K121" s="27"/>
      <c r="L121" s="27"/>
      <c r="M121" s="27"/>
      <c r="N121" s="27"/>
      <c r="O121" s="27"/>
      <c r="P121" s="76"/>
      <c r="Q121" s="27"/>
      <c r="R121" s="27"/>
      <c r="S121" s="27"/>
      <c r="T121" s="27"/>
      <c r="U121" s="39"/>
    </row>
    <row r="122" spans="11:21" s="25" customFormat="1" x14ac:dyDescent="0.25">
      <c r="K122" s="27"/>
      <c r="L122" s="27"/>
      <c r="M122" s="27"/>
      <c r="N122" s="27"/>
      <c r="O122" s="27"/>
      <c r="P122" s="76"/>
      <c r="Q122" s="27"/>
      <c r="R122" s="27"/>
      <c r="S122" s="27"/>
      <c r="T122" s="27"/>
      <c r="U122" s="39"/>
    </row>
    <row r="123" spans="11:21" s="25" customFormat="1" x14ac:dyDescent="0.25">
      <c r="K123" s="27"/>
      <c r="L123" s="27"/>
      <c r="M123" s="27"/>
      <c r="N123" s="27"/>
      <c r="O123" s="27"/>
      <c r="P123" s="76"/>
      <c r="Q123" s="27"/>
      <c r="R123" s="27"/>
      <c r="S123" s="27"/>
      <c r="T123" s="27"/>
      <c r="U123" s="39"/>
    </row>
    <row r="124" spans="11:21" s="25" customFormat="1" x14ac:dyDescent="0.25">
      <c r="K124" s="27"/>
      <c r="L124" s="27"/>
      <c r="M124" s="27"/>
      <c r="N124" s="27"/>
      <c r="O124" s="27"/>
      <c r="P124" s="76"/>
      <c r="Q124" s="27"/>
      <c r="R124" s="27"/>
      <c r="S124" s="27"/>
      <c r="T124" s="27"/>
      <c r="U124" s="39"/>
    </row>
    <row r="125" spans="11:21" s="25" customFormat="1" x14ac:dyDescent="0.25">
      <c r="K125" s="27"/>
      <c r="L125" s="27"/>
      <c r="M125" s="27"/>
      <c r="N125" s="27"/>
      <c r="O125" s="27"/>
      <c r="P125" s="76"/>
      <c r="Q125" s="27"/>
      <c r="R125" s="27"/>
      <c r="S125" s="27"/>
      <c r="T125" s="27"/>
      <c r="U125" s="39"/>
    </row>
    <row r="126" spans="11:21" s="25" customFormat="1" x14ac:dyDescent="0.25">
      <c r="K126" s="27"/>
      <c r="L126" s="27"/>
      <c r="M126" s="27"/>
      <c r="N126" s="27"/>
      <c r="O126" s="27"/>
      <c r="P126" s="76"/>
      <c r="Q126" s="27"/>
      <c r="R126" s="27"/>
      <c r="S126" s="27"/>
      <c r="T126" s="27"/>
      <c r="U126" s="39"/>
    </row>
    <row r="127" spans="11:21" s="25" customFormat="1" x14ac:dyDescent="0.25">
      <c r="K127" s="27"/>
      <c r="L127" s="27"/>
      <c r="M127" s="27"/>
      <c r="N127" s="27"/>
      <c r="O127" s="27"/>
      <c r="P127" s="76"/>
      <c r="Q127" s="27"/>
      <c r="R127" s="27"/>
      <c r="S127" s="27"/>
      <c r="T127" s="27"/>
      <c r="U127" s="39"/>
    </row>
    <row r="128" spans="11:21" s="25" customFormat="1" x14ac:dyDescent="0.25">
      <c r="K128" s="27"/>
      <c r="L128" s="27"/>
      <c r="M128" s="27"/>
      <c r="N128" s="27"/>
      <c r="O128" s="27"/>
      <c r="P128" s="76"/>
      <c r="Q128" s="27"/>
      <c r="R128" s="27"/>
      <c r="S128" s="27"/>
      <c r="T128" s="27"/>
      <c r="U128" s="39"/>
    </row>
    <row r="129" spans="11:21" s="25" customFormat="1" x14ac:dyDescent="0.25">
      <c r="K129" s="27"/>
      <c r="L129" s="27"/>
      <c r="M129" s="27"/>
      <c r="N129" s="27"/>
      <c r="O129" s="27"/>
      <c r="P129" s="76"/>
      <c r="Q129" s="27"/>
      <c r="R129" s="27"/>
      <c r="S129" s="27"/>
      <c r="T129" s="27"/>
      <c r="U129" s="39"/>
    </row>
    <row r="130" spans="11:21" s="25" customFormat="1" x14ac:dyDescent="0.25">
      <c r="K130" s="27"/>
      <c r="L130" s="27"/>
      <c r="M130" s="27"/>
      <c r="N130" s="27"/>
      <c r="O130" s="27"/>
      <c r="P130" s="76"/>
      <c r="Q130" s="27"/>
      <c r="R130" s="27"/>
      <c r="S130" s="27"/>
      <c r="T130" s="27"/>
      <c r="U130" s="39"/>
    </row>
    <row r="131" spans="11:21" s="25" customFormat="1" x14ac:dyDescent="0.25">
      <c r="K131" s="27"/>
      <c r="L131" s="27"/>
      <c r="M131" s="27"/>
      <c r="N131" s="27"/>
      <c r="O131" s="27"/>
      <c r="P131" s="76"/>
      <c r="Q131" s="27"/>
      <c r="R131" s="27"/>
      <c r="S131" s="27"/>
      <c r="T131" s="27"/>
      <c r="U131" s="39"/>
    </row>
    <row r="132" spans="11:21" s="25" customFormat="1" x14ac:dyDescent="0.25">
      <c r="K132" s="27"/>
      <c r="L132" s="27"/>
      <c r="M132" s="27"/>
      <c r="N132" s="27"/>
      <c r="O132" s="27"/>
      <c r="P132" s="76"/>
      <c r="Q132" s="27"/>
      <c r="R132" s="27"/>
      <c r="S132" s="27"/>
      <c r="T132" s="27"/>
      <c r="U132" s="39"/>
    </row>
    <row r="133" spans="11:21" s="25" customFormat="1" x14ac:dyDescent="0.25">
      <c r="K133" s="27"/>
      <c r="L133" s="27"/>
      <c r="M133" s="27"/>
      <c r="N133" s="27"/>
      <c r="O133" s="27"/>
      <c r="P133" s="76"/>
      <c r="Q133" s="27"/>
      <c r="R133" s="27"/>
      <c r="S133" s="27"/>
      <c r="T133" s="27"/>
      <c r="U133" s="39"/>
    </row>
    <row r="134" spans="11:21" s="25" customFormat="1" x14ac:dyDescent="0.25">
      <c r="K134" s="27"/>
      <c r="L134" s="27"/>
      <c r="M134" s="27"/>
      <c r="N134" s="27"/>
      <c r="O134" s="27"/>
      <c r="P134" s="76"/>
      <c r="Q134" s="27"/>
      <c r="R134" s="27"/>
      <c r="S134" s="27"/>
      <c r="T134" s="27"/>
      <c r="U134" s="39"/>
    </row>
    <row r="135" spans="11:21" s="25" customFormat="1" x14ac:dyDescent="0.25">
      <c r="K135" s="27"/>
      <c r="L135" s="27"/>
      <c r="M135" s="27"/>
      <c r="N135" s="27"/>
      <c r="O135" s="27"/>
      <c r="P135" s="76"/>
      <c r="Q135" s="27"/>
      <c r="R135" s="27"/>
      <c r="S135" s="27"/>
      <c r="T135" s="27"/>
      <c r="U135" s="39"/>
    </row>
    <row r="136" spans="11:21" s="25" customFormat="1" x14ac:dyDescent="0.25">
      <c r="K136" s="27"/>
      <c r="L136" s="27"/>
      <c r="M136" s="27"/>
      <c r="N136" s="27"/>
      <c r="O136" s="27"/>
      <c r="P136" s="76"/>
      <c r="Q136" s="27"/>
      <c r="R136" s="27"/>
      <c r="S136" s="27"/>
      <c r="T136" s="27"/>
      <c r="U136" s="39"/>
    </row>
    <row r="137" spans="11:21" s="25" customFormat="1" x14ac:dyDescent="0.25">
      <c r="K137" s="27"/>
      <c r="L137" s="27"/>
      <c r="M137" s="27"/>
      <c r="N137" s="27"/>
      <c r="O137" s="27"/>
      <c r="P137" s="76"/>
      <c r="Q137" s="27"/>
      <c r="R137" s="27"/>
      <c r="S137" s="27"/>
      <c r="T137" s="27"/>
      <c r="U137" s="39"/>
    </row>
    <row r="138" spans="11:21" s="25" customFormat="1" x14ac:dyDescent="0.25">
      <c r="K138" s="27"/>
      <c r="L138" s="27"/>
      <c r="M138" s="27"/>
      <c r="N138" s="27"/>
      <c r="O138" s="27"/>
      <c r="P138" s="76"/>
      <c r="Q138" s="27"/>
      <c r="R138" s="27"/>
      <c r="S138" s="27"/>
      <c r="T138" s="27"/>
      <c r="U138" s="39"/>
    </row>
    <row r="139" spans="11:21" s="25" customFormat="1" x14ac:dyDescent="0.25">
      <c r="K139" s="27"/>
      <c r="L139" s="27"/>
      <c r="M139" s="27"/>
      <c r="N139" s="27"/>
      <c r="O139" s="27"/>
      <c r="P139" s="76"/>
      <c r="Q139" s="27"/>
      <c r="R139" s="27"/>
      <c r="S139" s="27"/>
      <c r="T139" s="27"/>
      <c r="U139" s="39"/>
    </row>
    <row r="140" spans="11:21" s="25" customFormat="1" x14ac:dyDescent="0.25">
      <c r="K140" s="27"/>
      <c r="L140" s="27"/>
      <c r="M140" s="27"/>
      <c r="N140" s="27"/>
      <c r="O140" s="27"/>
      <c r="P140" s="76"/>
      <c r="Q140" s="27"/>
      <c r="R140" s="27"/>
      <c r="S140" s="27"/>
      <c r="T140" s="27"/>
      <c r="U140" s="39"/>
    </row>
    <row r="141" spans="11:21" s="25" customFormat="1" x14ac:dyDescent="0.25">
      <c r="K141" s="27"/>
      <c r="L141" s="27"/>
      <c r="M141" s="27"/>
      <c r="N141" s="27"/>
      <c r="O141" s="27"/>
      <c r="P141" s="76"/>
      <c r="Q141" s="27"/>
      <c r="R141" s="27"/>
      <c r="S141" s="27"/>
      <c r="T141" s="27"/>
      <c r="U141" s="39"/>
    </row>
    <row r="142" spans="11:21" s="25" customFormat="1" x14ac:dyDescent="0.25">
      <c r="K142" s="27"/>
      <c r="L142" s="27"/>
      <c r="M142" s="27"/>
      <c r="N142" s="27"/>
      <c r="O142" s="27"/>
      <c r="P142" s="76"/>
      <c r="Q142" s="27"/>
      <c r="R142" s="27"/>
      <c r="S142" s="27"/>
      <c r="T142" s="27"/>
      <c r="U142" s="39"/>
    </row>
    <row r="143" spans="11:21" s="25" customFormat="1" x14ac:dyDescent="0.25">
      <c r="K143" s="27"/>
      <c r="L143" s="27"/>
      <c r="M143" s="27"/>
      <c r="N143" s="27"/>
      <c r="O143" s="27"/>
      <c r="P143" s="76"/>
      <c r="Q143" s="27"/>
      <c r="R143" s="27"/>
      <c r="S143" s="27"/>
      <c r="T143" s="27"/>
      <c r="U143" s="39"/>
    </row>
    <row r="144" spans="11:21" s="25" customFormat="1" x14ac:dyDescent="0.25">
      <c r="K144" s="27"/>
      <c r="L144" s="27"/>
      <c r="M144" s="27"/>
      <c r="N144" s="27"/>
      <c r="O144" s="27"/>
      <c r="P144" s="76"/>
      <c r="Q144" s="27"/>
      <c r="R144" s="27"/>
      <c r="S144" s="27"/>
      <c r="T144" s="27"/>
      <c r="U144" s="39"/>
    </row>
    <row r="145" spans="11:21" s="25" customFormat="1" x14ac:dyDescent="0.25">
      <c r="K145" s="27"/>
      <c r="L145" s="27"/>
      <c r="M145" s="27"/>
      <c r="N145" s="27"/>
      <c r="O145" s="27"/>
      <c r="P145" s="76"/>
      <c r="Q145" s="27"/>
      <c r="R145" s="27"/>
      <c r="S145" s="27"/>
      <c r="T145" s="27"/>
      <c r="U145" s="39"/>
    </row>
    <row r="146" spans="11:21" s="25" customFormat="1" x14ac:dyDescent="0.25">
      <c r="K146" s="27"/>
      <c r="L146" s="27"/>
      <c r="M146" s="27"/>
      <c r="N146" s="27"/>
      <c r="O146" s="27"/>
      <c r="P146" s="76"/>
      <c r="Q146" s="27"/>
      <c r="R146" s="27"/>
      <c r="S146" s="27"/>
      <c r="T146" s="27"/>
      <c r="U146" s="39"/>
    </row>
    <row r="147" spans="11:21" s="25" customFormat="1" x14ac:dyDescent="0.25">
      <c r="K147" s="27"/>
      <c r="L147" s="27"/>
      <c r="M147" s="27"/>
      <c r="N147" s="27"/>
      <c r="O147" s="27"/>
      <c r="P147" s="76"/>
      <c r="Q147" s="27"/>
      <c r="R147" s="27"/>
      <c r="S147" s="27"/>
      <c r="T147" s="27"/>
      <c r="U147" s="39"/>
    </row>
    <row r="148" spans="11:21" s="25" customFormat="1" x14ac:dyDescent="0.25">
      <c r="K148" s="27"/>
      <c r="L148" s="27"/>
      <c r="M148" s="27"/>
      <c r="N148" s="27"/>
      <c r="O148" s="27"/>
      <c r="P148" s="76"/>
      <c r="Q148" s="27"/>
      <c r="R148" s="27"/>
      <c r="S148" s="27"/>
      <c r="T148" s="27"/>
      <c r="U148" s="39"/>
    </row>
    <row r="149" spans="11:21" s="25" customFormat="1" x14ac:dyDescent="0.25">
      <c r="K149" s="27"/>
      <c r="L149" s="27"/>
      <c r="M149" s="27"/>
      <c r="N149" s="27"/>
      <c r="O149" s="27"/>
      <c r="P149" s="76"/>
      <c r="Q149" s="27"/>
      <c r="R149" s="27"/>
      <c r="S149" s="27"/>
      <c r="T149" s="27"/>
      <c r="U149" s="39"/>
    </row>
    <row r="150" spans="11:21" s="25" customFormat="1" x14ac:dyDescent="0.25">
      <c r="K150" s="27"/>
      <c r="L150" s="27"/>
      <c r="M150" s="27"/>
      <c r="N150" s="27"/>
      <c r="O150" s="27"/>
      <c r="P150" s="76"/>
      <c r="Q150" s="27"/>
      <c r="R150" s="27"/>
      <c r="S150" s="27"/>
      <c r="T150" s="27"/>
      <c r="U150" s="39"/>
    </row>
    <row r="151" spans="11:21" s="25" customFormat="1" x14ac:dyDescent="0.25">
      <c r="K151" s="27"/>
      <c r="L151" s="27"/>
      <c r="M151" s="27"/>
      <c r="N151" s="27"/>
      <c r="O151" s="27"/>
      <c r="P151" s="76"/>
      <c r="Q151" s="27"/>
      <c r="R151" s="27"/>
      <c r="S151" s="27"/>
      <c r="T151" s="27"/>
      <c r="U151" s="39"/>
    </row>
    <row r="152" spans="11:21" s="25" customFormat="1" x14ac:dyDescent="0.25">
      <c r="K152" s="27"/>
      <c r="L152" s="27"/>
      <c r="M152" s="27"/>
      <c r="N152" s="27"/>
      <c r="O152" s="27"/>
      <c r="P152" s="76"/>
      <c r="Q152" s="27"/>
      <c r="R152" s="27"/>
      <c r="S152" s="27"/>
      <c r="T152" s="27"/>
      <c r="U152" s="39"/>
    </row>
    <row r="153" spans="11:21" s="25" customFormat="1" x14ac:dyDescent="0.25">
      <c r="K153" s="27"/>
      <c r="L153" s="27"/>
      <c r="M153" s="27"/>
      <c r="N153" s="27"/>
      <c r="O153" s="27"/>
      <c r="P153" s="76"/>
      <c r="Q153" s="27"/>
      <c r="R153" s="27"/>
      <c r="S153" s="27"/>
      <c r="T153" s="27"/>
      <c r="U153" s="39"/>
    </row>
    <row r="154" spans="11:21" s="25" customFormat="1" x14ac:dyDescent="0.25">
      <c r="K154" s="27"/>
      <c r="L154" s="27"/>
      <c r="M154" s="27"/>
      <c r="N154" s="27"/>
      <c r="O154" s="27"/>
      <c r="P154" s="76"/>
      <c r="Q154" s="27"/>
      <c r="R154" s="27"/>
      <c r="S154" s="27"/>
      <c r="T154" s="27"/>
      <c r="U154" s="39"/>
    </row>
    <row r="155" spans="11:21" s="25" customFormat="1" x14ac:dyDescent="0.25">
      <c r="K155" s="27"/>
      <c r="L155" s="27"/>
      <c r="M155" s="27"/>
      <c r="N155" s="27"/>
      <c r="O155" s="27"/>
      <c r="P155" s="76"/>
      <c r="Q155" s="27"/>
      <c r="R155" s="27"/>
      <c r="S155" s="27"/>
      <c r="T155" s="27"/>
      <c r="U155" s="39"/>
    </row>
    <row r="156" spans="11:21" s="25" customFormat="1" x14ac:dyDescent="0.25">
      <c r="K156" s="27"/>
      <c r="L156" s="27"/>
      <c r="M156" s="27"/>
      <c r="N156" s="27"/>
      <c r="O156" s="27"/>
      <c r="P156" s="76"/>
      <c r="Q156" s="27"/>
      <c r="R156" s="27"/>
      <c r="S156" s="27"/>
      <c r="T156" s="27"/>
      <c r="U156" s="39"/>
    </row>
    <row r="157" spans="11:21" s="25" customFormat="1" x14ac:dyDescent="0.25">
      <c r="K157" s="27"/>
      <c r="L157" s="27"/>
      <c r="M157" s="27"/>
      <c r="N157" s="27"/>
      <c r="O157" s="27"/>
      <c r="P157" s="76"/>
      <c r="Q157" s="27"/>
      <c r="R157" s="27"/>
      <c r="S157" s="27"/>
      <c r="T157" s="27"/>
      <c r="U157" s="39"/>
    </row>
    <row r="158" spans="11:21" s="25" customFormat="1" x14ac:dyDescent="0.25">
      <c r="K158" s="27"/>
      <c r="L158" s="27"/>
      <c r="M158" s="27"/>
      <c r="N158" s="27"/>
      <c r="O158" s="27"/>
      <c r="P158" s="76"/>
      <c r="Q158" s="27"/>
      <c r="R158" s="27"/>
      <c r="S158" s="27"/>
      <c r="T158" s="27"/>
      <c r="U158" s="39"/>
    </row>
    <row r="159" spans="11:21" s="25" customFormat="1" x14ac:dyDescent="0.25">
      <c r="K159" s="27"/>
      <c r="L159" s="27"/>
      <c r="M159" s="27"/>
      <c r="N159" s="27"/>
      <c r="O159" s="27"/>
      <c r="P159" s="76"/>
      <c r="Q159" s="27"/>
      <c r="R159" s="27"/>
      <c r="S159" s="27"/>
      <c r="T159" s="27"/>
      <c r="U159" s="39"/>
    </row>
    <row r="160" spans="11:21" s="25" customFormat="1" x14ac:dyDescent="0.25">
      <c r="K160" s="27"/>
      <c r="L160" s="27"/>
      <c r="M160" s="27"/>
      <c r="N160" s="27"/>
      <c r="O160" s="27"/>
      <c r="P160" s="76"/>
      <c r="Q160" s="27"/>
      <c r="R160" s="27"/>
      <c r="S160" s="27"/>
      <c r="T160" s="27"/>
      <c r="U160" s="39"/>
    </row>
    <row r="161" spans="11:21" s="25" customFormat="1" x14ac:dyDescent="0.25">
      <c r="K161" s="27"/>
      <c r="L161" s="27"/>
      <c r="M161" s="27"/>
      <c r="N161" s="27"/>
      <c r="O161" s="27"/>
      <c r="P161" s="76"/>
      <c r="Q161" s="27"/>
      <c r="R161" s="27"/>
      <c r="S161" s="27"/>
      <c r="T161" s="27"/>
      <c r="U161" s="39"/>
    </row>
    <row r="162" spans="11:21" s="25" customFormat="1" x14ac:dyDescent="0.25">
      <c r="K162" s="27"/>
      <c r="L162" s="27"/>
      <c r="M162" s="27"/>
      <c r="N162" s="27"/>
      <c r="O162" s="27"/>
      <c r="P162" s="76"/>
      <c r="Q162" s="27"/>
      <c r="R162" s="27"/>
      <c r="S162" s="27"/>
      <c r="T162" s="27"/>
      <c r="U162" s="39"/>
    </row>
    <row r="163" spans="11:21" s="25" customFormat="1" x14ac:dyDescent="0.25">
      <c r="K163" s="27"/>
      <c r="L163" s="27"/>
      <c r="M163" s="27"/>
      <c r="N163" s="27"/>
      <c r="O163" s="27"/>
      <c r="P163" s="76"/>
      <c r="Q163" s="27"/>
      <c r="R163" s="27"/>
      <c r="S163" s="27"/>
      <c r="T163" s="27"/>
      <c r="U163" s="39"/>
    </row>
    <row r="164" spans="11:21" s="25" customFormat="1" x14ac:dyDescent="0.25">
      <c r="K164" s="27"/>
      <c r="L164" s="27"/>
      <c r="M164" s="27"/>
      <c r="N164" s="27"/>
      <c r="O164" s="27"/>
      <c r="P164" s="76"/>
      <c r="Q164" s="27"/>
      <c r="R164" s="27"/>
      <c r="S164" s="27"/>
      <c r="T164" s="27"/>
      <c r="U164" s="39"/>
    </row>
    <row r="165" spans="11:21" s="25" customFormat="1" x14ac:dyDescent="0.25">
      <c r="K165" s="27"/>
      <c r="L165" s="27"/>
      <c r="M165" s="27"/>
      <c r="N165" s="27"/>
      <c r="O165" s="27"/>
      <c r="P165" s="76"/>
      <c r="Q165" s="27"/>
      <c r="R165" s="27"/>
      <c r="S165" s="27"/>
      <c r="T165" s="27"/>
      <c r="U165" s="39"/>
    </row>
    <row r="166" spans="11:21" s="25" customFormat="1" x14ac:dyDescent="0.25">
      <c r="K166" s="27"/>
      <c r="L166" s="27"/>
      <c r="M166" s="27"/>
      <c r="N166" s="27"/>
      <c r="O166" s="27"/>
      <c r="P166" s="76"/>
      <c r="Q166" s="27"/>
      <c r="R166" s="27"/>
      <c r="S166" s="27"/>
      <c r="T166" s="27"/>
      <c r="U166" s="39"/>
    </row>
    <row r="167" spans="11:21" s="25" customFormat="1" x14ac:dyDescent="0.25">
      <c r="K167" s="27"/>
      <c r="L167" s="27"/>
      <c r="M167" s="27"/>
      <c r="N167" s="27"/>
      <c r="O167" s="27"/>
      <c r="P167" s="76"/>
      <c r="Q167" s="27"/>
      <c r="R167" s="27"/>
      <c r="S167" s="27"/>
      <c r="T167" s="27"/>
      <c r="U167" s="39"/>
    </row>
    <row r="168" spans="11:21" s="25" customFormat="1" x14ac:dyDescent="0.25">
      <c r="K168" s="27"/>
      <c r="L168" s="27"/>
      <c r="M168" s="27"/>
      <c r="N168" s="27"/>
      <c r="O168" s="27"/>
      <c r="P168" s="76"/>
      <c r="Q168" s="27"/>
      <c r="R168" s="27"/>
      <c r="S168" s="27"/>
      <c r="T168" s="27"/>
      <c r="U168" s="39"/>
    </row>
    <row r="169" spans="11:21" s="25" customFormat="1" x14ac:dyDescent="0.25">
      <c r="K169" s="27"/>
      <c r="L169" s="27"/>
      <c r="M169" s="27"/>
      <c r="N169" s="27"/>
      <c r="O169" s="27"/>
      <c r="P169" s="76"/>
      <c r="Q169" s="27"/>
      <c r="R169" s="27"/>
      <c r="S169" s="27"/>
      <c r="T169" s="27"/>
      <c r="U169" s="39"/>
    </row>
    <row r="170" spans="11:21" s="25" customFormat="1" x14ac:dyDescent="0.25">
      <c r="K170" s="27"/>
      <c r="L170" s="27"/>
      <c r="M170" s="27"/>
      <c r="N170" s="27"/>
      <c r="O170" s="27"/>
      <c r="P170" s="76"/>
      <c r="Q170" s="27"/>
      <c r="R170" s="27"/>
      <c r="S170" s="27"/>
      <c r="T170" s="27"/>
      <c r="U170" s="39"/>
    </row>
    <row r="171" spans="11:21" s="25" customFormat="1" x14ac:dyDescent="0.25">
      <c r="K171" s="27"/>
      <c r="L171" s="27"/>
      <c r="M171" s="27"/>
      <c r="N171" s="27"/>
      <c r="O171" s="27"/>
      <c r="P171" s="76"/>
      <c r="Q171" s="27"/>
      <c r="R171" s="27"/>
      <c r="S171" s="27"/>
      <c r="T171" s="27"/>
      <c r="U171" s="39"/>
    </row>
    <row r="172" spans="11:21" s="25" customFormat="1" x14ac:dyDescent="0.25">
      <c r="K172" s="27"/>
      <c r="L172" s="27"/>
      <c r="M172" s="27"/>
      <c r="N172" s="27"/>
      <c r="O172" s="27"/>
      <c r="P172" s="76"/>
      <c r="Q172" s="27"/>
      <c r="R172" s="27"/>
      <c r="S172" s="27"/>
      <c r="T172" s="27"/>
      <c r="U172" s="39"/>
    </row>
    <row r="173" spans="11:21" s="25" customFormat="1" x14ac:dyDescent="0.25">
      <c r="K173" s="27"/>
      <c r="L173" s="27"/>
      <c r="M173" s="27"/>
      <c r="N173" s="27"/>
      <c r="O173" s="27"/>
      <c r="P173" s="76"/>
      <c r="Q173" s="27"/>
      <c r="R173" s="27"/>
      <c r="S173" s="27"/>
      <c r="T173" s="27"/>
      <c r="U173" s="39"/>
    </row>
    <row r="174" spans="11:21" s="25" customFormat="1" x14ac:dyDescent="0.25">
      <c r="K174" s="27"/>
      <c r="L174" s="27"/>
      <c r="M174" s="27"/>
      <c r="N174" s="27"/>
      <c r="O174" s="27"/>
      <c r="P174" s="76"/>
      <c r="Q174" s="27"/>
      <c r="R174" s="27"/>
      <c r="S174" s="27"/>
      <c r="T174" s="27"/>
      <c r="U174" s="39"/>
    </row>
    <row r="175" spans="11:21" s="25" customFormat="1" x14ac:dyDescent="0.25">
      <c r="K175" s="27"/>
      <c r="L175" s="27"/>
      <c r="M175" s="27"/>
      <c r="N175" s="27"/>
      <c r="O175" s="27"/>
      <c r="P175" s="76"/>
      <c r="Q175" s="27"/>
      <c r="R175" s="27"/>
      <c r="S175" s="27"/>
      <c r="T175" s="27"/>
      <c r="U175" s="39"/>
    </row>
    <row r="176" spans="11:21" s="25" customFormat="1" x14ac:dyDescent="0.25">
      <c r="K176" s="27"/>
      <c r="L176" s="27"/>
      <c r="M176" s="27"/>
      <c r="N176" s="27"/>
      <c r="O176" s="27"/>
      <c r="P176" s="76"/>
      <c r="Q176" s="27"/>
      <c r="R176" s="27"/>
      <c r="S176" s="27"/>
      <c r="T176" s="27"/>
      <c r="U176" s="39"/>
    </row>
    <row r="177" spans="11:21" s="25" customFormat="1" x14ac:dyDescent="0.25">
      <c r="K177" s="27"/>
      <c r="L177" s="27"/>
      <c r="M177" s="27"/>
      <c r="N177" s="27"/>
      <c r="O177" s="27"/>
      <c r="P177" s="76"/>
      <c r="Q177" s="27"/>
      <c r="R177" s="27"/>
      <c r="S177" s="27"/>
      <c r="T177" s="27"/>
      <c r="U177" s="39"/>
    </row>
    <row r="178" spans="11:21" s="25" customFormat="1" x14ac:dyDescent="0.25">
      <c r="K178" s="27"/>
      <c r="L178" s="27"/>
      <c r="M178" s="27"/>
      <c r="N178" s="27"/>
      <c r="O178" s="27"/>
      <c r="P178" s="76"/>
      <c r="Q178" s="27"/>
      <c r="R178" s="27"/>
      <c r="S178" s="27"/>
      <c r="T178" s="27"/>
      <c r="U178" s="39"/>
    </row>
    <row r="179" spans="11:21" s="25" customFormat="1" x14ac:dyDescent="0.25">
      <c r="K179" s="27"/>
      <c r="L179" s="27"/>
      <c r="M179" s="27"/>
      <c r="N179" s="27"/>
      <c r="O179" s="27"/>
      <c r="P179" s="76"/>
      <c r="Q179" s="27"/>
      <c r="R179" s="27"/>
      <c r="S179" s="27"/>
      <c r="T179" s="27"/>
      <c r="U179" s="39"/>
    </row>
    <row r="180" spans="11:21" s="25" customFormat="1" x14ac:dyDescent="0.25">
      <c r="K180" s="27"/>
      <c r="L180" s="27"/>
      <c r="M180" s="27"/>
      <c r="N180" s="27"/>
      <c r="O180" s="27"/>
      <c r="P180" s="76"/>
      <c r="Q180" s="27"/>
      <c r="R180" s="27"/>
      <c r="S180" s="27"/>
      <c r="T180" s="27"/>
      <c r="U180" s="39"/>
    </row>
    <row r="181" spans="11:21" s="25" customFormat="1" x14ac:dyDescent="0.25">
      <c r="K181" s="27"/>
      <c r="L181" s="27"/>
      <c r="M181" s="27"/>
      <c r="N181" s="27"/>
      <c r="O181" s="27"/>
      <c r="P181" s="76"/>
      <c r="Q181" s="27"/>
      <c r="R181" s="27"/>
      <c r="S181" s="27"/>
      <c r="T181" s="27"/>
      <c r="U181" s="39"/>
    </row>
    <row r="182" spans="11:21" s="25" customFormat="1" x14ac:dyDescent="0.25">
      <c r="K182" s="27"/>
      <c r="L182" s="27"/>
      <c r="M182" s="27"/>
      <c r="N182" s="27"/>
      <c r="O182" s="27"/>
      <c r="P182" s="76"/>
      <c r="Q182" s="27"/>
      <c r="R182" s="27"/>
      <c r="S182" s="27"/>
      <c r="T182" s="27"/>
      <c r="U182" s="39"/>
    </row>
    <row r="183" spans="11:21" s="25" customFormat="1" x14ac:dyDescent="0.25">
      <c r="K183" s="27"/>
      <c r="L183" s="27"/>
      <c r="M183" s="27"/>
      <c r="N183" s="27"/>
      <c r="O183" s="27"/>
      <c r="P183" s="76"/>
      <c r="Q183" s="27"/>
      <c r="R183" s="27"/>
      <c r="S183" s="27"/>
      <c r="T183" s="27"/>
      <c r="U183" s="39"/>
    </row>
    <row r="184" spans="11:21" s="25" customFormat="1" x14ac:dyDescent="0.25">
      <c r="K184" s="27"/>
      <c r="L184" s="27"/>
      <c r="M184" s="27"/>
      <c r="N184" s="27"/>
      <c r="O184" s="27"/>
      <c r="P184" s="76"/>
      <c r="Q184" s="27"/>
      <c r="R184" s="27"/>
      <c r="S184" s="27"/>
      <c r="T184" s="27"/>
      <c r="U184" s="39"/>
    </row>
    <row r="185" spans="11:21" s="25" customFormat="1" x14ac:dyDescent="0.25">
      <c r="K185" s="27"/>
      <c r="L185" s="27"/>
      <c r="M185" s="27"/>
      <c r="N185" s="27"/>
      <c r="O185" s="27"/>
      <c r="P185" s="76"/>
      <c r="Q185" s="27"/>
      <c r="R185" s="27"/>
      <c r="S185" s="27"/>
      <c r="T185" s="27"/>
      <c r="U185" s="39"/>
    </row>
    <row r="186" spans="11:21" s="25" customFormat="1" x14ac:dyDescent="0.25">
      <c r="K186" s="27"/>
      <c r="L186" s="27"/>
      <c r="M186" s="27"/>
      <c r="N186" s="27"/>
      <c r="O186" s="27"/>
      <c r="P186" s="76"/>
      <c r="Q186" s="27"/>
      <c r="R186" s="27"/>
      <c r="S186" s="27"/>
      <c r="T186" s="27"/>
      <c r="U186" s="39"/>
    </row>
    <row r="187" spans="11:21" s="25" customFormat="1" x14ac:dyDescent="0.25">
      <c r="K187" s="27"/>
      <c r="L187" s="27"/>
      <c r="M187" s="27"/>
      <c r="N187" s="27"/>
      <c r="O187" s="27"/>
      <c r="P187" s="76"/>
      <c r="Q187" s="27"/>
      <c r="R187" s="27"/>
      <c r="S187" s="27"/>
      <c r="T187" s="27"/>
      <c r="U187" s="39"/>
    </row>
    <row r="188" spans="11:21" s="25" customFormat="1" x14ac:dyDescent="0.25">
      <c r="K188" s="27"/>
      <c r="L188" s="27"/>
      <c r="M188" s="27"/>
      <c r="N188" s="27"/>
      <c r="O188" s="27"/>
      <c r="P188" s="76"/>
      <c r="Q188" s="27"/>
      <c r="R188" s="27"/>
      <c r="S188" s="27"/>
      <c r="T188" s="27"/>
      <c r="U188" s="39"/>
    </row>
    <row r="189" spans="11:21" s="25" customFormat="1" x14ac:dyDescent="0.25">
      <c r="K189" s="27"/>
      <c r="L189" s="27"/>
      <c r="M189" s="27"/>
      <c r="N189" s="27"/>
      <c r="O189" s="27"/>
      <c r="P189" s="76"/>
      <c r="Q189" s="27"/>
      <c r="R189" s="27"/>
      <c r="S189" s="27"/>
      <c r="T189" s="27"/>
      <c r="U189" s="39"/>
    </row>
    <row r="190" spans="11:21" s="25" customFormat="1" x14ac:dyDescent="0.25">
      <c r="K190" s="27"/>
      <c r="L190" s="27"/>
      <c r="M190" s="27"/>
      <c r="N190" s="27"/>
      <c r="O190" s="27"/>
      <c r="P190" s="76"/>
      <c r="Q190" s="27"/>
      <c r="R190" s="27"/>
      <c r="S190" s="27"/>
      <c r="T190" s="27"/>
      <c r="U190" s="39"/>
    </row>
    <row r="191" spans="11:21" s="25" customFormat="1" x14ac:dyDescent="0.25">
      <c r="K191" s="27"/>
      <c r="L191" s="27"/>
      <c r="M191" s="27"/>
      <c r="N191" s="27"/>
      <c r="O191" s="27"/>
      <c r="P191" s="76"/>
      <c r="Q191" s="27"/>
      <c r="R191" s="27"/>
      <c r="S191" s="27"/>
      <c r="T191" s="27"/>
      <c r="U191" s="39"/>
    </row>
    <row r="192" spans="11:21" s="25" customFormat="1" x14ac:dyDescent="0.25">
      <c r="K192" s="27"/>
      <c r="L192" s="27"/>
      <c r="M192" s="27"/>
      <c r="N192" s="27"/>
      <c r="O192" s="27"/>
      <c r="P192" s="76"/>
      <c r="Q192" s="27"/>
      <c r="R192" s="27"/>
      <c r="S192" s="27"/>
      <c r="T192" s="27"/>
      <c r="U192" s="39"/>
    </row>
    <row r="193" spans="11:21" s="25" customFormat="1" x14ac:dyDescent="0.25">
      <c r="K193" s="27"/>
      <c r="L193" s="27"/>
      <c r="M193" s="27"/>
      <c r="N193" s="27"/>
      <c r="O193" s="27"/>
      <c r="P193" s="76"/>
      <c r="Q193" s="27"/>
      <c r="R193" s="27"/>
      <c r="S193" s="27"/>
      <c r="T193" s="27"/>
      <c r="U193" s="39"/>
    </row>
    <row r="194" spans="11:21" s="25" customFormat="1" x14ac:dyDescent="0.25">
      <c r="K194" s="27"/>
      <c r="L194" s="27"/>
      <c r="M194" s="27"/>
      <c r="N194" s="27"/>
      <c r="O194" s="27"/>
      <c r="P194" s="76"/>
      <c r="Q194" s="27"/>
      <c r="R194" s="27"/>
      <c r="S194" s="27"/>
      <c r="T194" s="27"/>
      <c r="U194" s="39"/>
    </row>
    <row r="195" spans="11:21" s="25" customFormat="1" x14ac:dyDescent="0.25">
      <c r="K195" s="27"/>
      <c r="L195" s="27"/>
      <c r="M195" s="27"/>
      <c r="N195" s="27"/>
      <c r="O195" s="27"/>
      <c r="P195" s="76"/>
      <c r="Q195" s="27"/>
      <c r="R195" s="27"/>
      <c r="S195" s="27"/>
      <c r="T195" s="27"/>
      <c r="U195" s="39"/>
    </row>
    <row r="196" spans="11:21" s="25" customFormat="1" x14ac:dyDescent="0.25">
      <c r="K196" s="27"/>
      <c r="L196" s="27"/>
      <c r="M196" s="27"/>
      <c r="N196" s="27"/>
      <c r="O196" s="27"/>
      <c r="P196" s="76"/>
      <c r="Q196" s="27"/>
      <c r="R196" s="27"/>
      <c r="S196" s="27"/>
      <c r="T196" s="27"/>
      <c r="U196" s="39"/>
    </row>
    <row r="197" spans="11:21" s="25" customFormat="1" x14ac:dyDescent="0.25">
      <c r="K197" s="27"/>
      <c r="L197" s="27"/>
      <c r="M197" s="27"/>
      <c r="N197" s="27"/>
      <c r="O197" s="27"/>
      <c r="P197" s="76"/>
      <c r="Q197" s="27"/>
      <c r="R197" s="27"/>
      <c r="S197" s="27"/>
      <c r="T197" s="27"/>
      <c r="U197" s="39"/>
    </row>
    <row r="198" spans="11:21" s="25" customFormat="1" x14ac:dyDescent="0.25">
      <c r="K198" s="27"/>
      <c r="L198" s="27"/>
      <c r="M198" s="27"/>
      <c r="N198" s="27"/>
      <c r="O198" s="27"/>
      <c r="P198" s="76"/>
      <c r="Q198" s="27"/>
      <c r="R198" s="27"/>
      <c r="S198" s="27"/>
      <c r="T198" s="27"/>
      <c r="U198" s="39"/>
    </row>
    <row r="199" spans="11:21" s="25" customFormat="1" x14ac:dyDescent="0.25">
      <c r="K199" s="27"/>
      <c r="L199" s="27"/>
      <c r="M199" s="27"/>
      <c r="N199" s="27"/>
      <c r="O199" s="27"/>
      <c r="P199" s="76"/>
      <c r="Q199" s="27"/>
      <c r="R199" s="27"/>
      <c r="S199" s="27"/>
      <c r="T199" s="27"/>
      <c r="U199" s="39"/>
    </row>
    <row r="200" spans="11:21" s="25" customFormat="1" x14ac:dyDescent="0.25">
      <c r="K200" s="27"/>
      <c r="L200" s="27"/>
      <c r="M200" s="27"/>
      <c r="N200" s="27"/>
      <c r="O200" s="27"/>
      <c r="P200" s="76"/>
      <c r="Q200" s="27"/>
      <c r="R200" s="27"/>
      <c r="S200" s="27"/>
      <c r="T200" s="27"/>
      <c r="U200" s="39"/>
    </row>
    <row r="201" spans="11:21" s="25" customFormat="1" x14ac:dyDescent="0.25">
      <c r="K201" s="27"/>
      <c r="L201" s="27"/>
      <c r="M201" s="27"/>
      <c r="N201" s="27"/>
      <c r="O201" s="27"/>
      <c r="P201" s="76"/>
      <c r="Q201" s="27"/>
      <c r="R201" s="27"/>
      <c r="S201" s="27"/>
      <c r="T201" s="27"/>
      <c r="U201" s="39"/>
    </row>
    <row r="202" spans="11:21" s="25" customFormat="1" x14ac:dyDescent="0.25">
      <c r="K202" s="27"/>
      <c r="L202" s="27"/>
      <c r="M202" s="27"/>
      <c r="N202" s="27"/>
      <c r="O202" s="27"/>
      <c r="P202" s="76"/>
      <c r="Q202" s="27"/>
      <c r="R202" s="27"/>
      <c r="S202" s="27"/>
      <c r="T202" s="27"/>
      <c r="U202" s="39"/>
    </row>
    <row r="203" spans="11:21" s="25" customFormat="1" x14ac:dyDescent="0.25">
      <c r="K203" s="27"/>
      <c r="L203" s="27"/>
      <c r="M203" s="27"/>
      <c r="N203" s="27"/>
      <c r="O203" s="27"/>
      <c r="P203" s="76"/>
      <c r="Q203" s="27"/>
      <c r="R203" s="27"/>
      <c r="S203" s="27"/>
      <c r="T203" s="27"/>
      <c r="U203" s="39"/>
    </row>
    <row r="204" spans="11:21" s="25" customFormat="1" x14ac:dyDescent="0.25">
      <c r="K204" s="27"/>
      <c r="L204" s="27"/>
      <c r="M204" s="27"/>
      <c r="N204" s="27"/>
      <c r="O204" s="27"/>
      <c r="P204" s="76"/>
      <c r="Q204" s="27"/>
      <c r="R204" s="27"/>
      <c r="S204" s="27"/>
      <c r="T204" s="27"/>
      <c r="U204" s="39"/>
    </row>
    <row r="205" spans="11:21" s="25" customFormat="1" x14ac:dyDescent="0.25">
      <c r="K205" s="27"/>
      <c r="L205" s="27"/>
      <c r="M205" s="27"/>
      <c r="N205" s="27"/>
      <c r="O205" s="27"/>
      <c r="P205" s="76"/>
      <c r="Q205" s="27"/>
      <c r="R205" s="27"/>
      <c r="S205" s="27"/>
      <c r="T205" s="27"/>
      <c r="U205" s="39"/>
    </row>
    <row r="206" spans="11:21" s="25" customFormat="1" x14ac:dyDescent="0.25">
      <c r="K206" s="27"/>
      <c r="L206" s="27"/>
      <c r="M206" s="27"/>
      <c r="N206" s="27"/>
      <c r="O206" s="27"/>
      <c r="P206" s="76"/>
      <c r="Q206" s="27"/>
      <c r="R206" s="27"/>
      <c r="S206" s="27"/>
      <c r="T206" s="27"/>
      <c r="U206" s="39"/>
    </row>
    <row r="207" spans="11:21" s="25" customFormat="1" x14ac:dyDescent="0.25">
      <c r="K207" s="27"/>
      <c r="L207" s="27"/>
      <c r="M207" s="27"/>
      <c r="N207" s="27"/>
      <c r="O207" s="27"/>
      <c r="P207" s="76"/>
      <c r="Q207" s="27"/>
      <c r="R207" s="27"/>
      <c r="S207" s="27"/>
      <c r="T207" s="27"/>
      <c r="U207" s="39"/>
    </row>
    <row r="208" spans="11:21" s="25" customFormat="1" x14ac:dyDescent="0.25">
      <c r="K208" s="27"/>
      <c r="L208" s="27"/>
      <c r="M208" s="27"/>
      <c r="N208" s="27"/>
      <c r="O208" s="27"/>
      <c r="P208" s="76"/>
      <c r="Q208" s="27"/>
      <c r="R208" s="27"/>
      <c r="S208" s="27"/>
      <c r="T208" s="27"/>
      <c r="U208" s="39"/>
    </row>
    <row r="209" spans="11:21" s="25" customFormat="1" x14ac:dyDescent="0.25">
      <c r="K209" s="27"/>
      <c r="L209" s="27"/>
      <c r="M209" s="27"/>
      <c r="N209" s="27"/>
      <c r="O209" s="27"/>
      <c r="P209" s="76"/>
      <c r="Q209" s="27"/>
      <c r="R209" s="27"/>
      <c r="S209" s="27"/>
      <c r="T209" s="27"/>
      <c r="U209" s="39"/>
    </row>
    <row r="210" spans="11:21" s="25" customFormat="1" x14ac:dyDescent="0.25">
      <c r="K210" s="27"/>
      <c r="L210" s="27"/>
      <c r="M210" s="27"/>
      <c r="N210" s="27"/>
      <c r="O210" s="27"/>
      <c r="P210" s="76"/>
      <c r="Q210" s="27"/>
      <c r="R210" s="27"/>
      <c r="S210" s="27"/>
      <c r="T210" s="27"/>
      <c r="U210" s="39"/>
    </row>
    <row r="211" spans="11:21" s="25" customFormat="1" x14ac:dyDescent="0.25">
      <c r="K211" s="27"/>
      <c r="L211" s="27"/>
      <c r="M211" s="27"/>
      <c r="N211" s="27"/>
      <c r="O211" s="27"/>
      <c r="P211" s="76"/>
      <c r="Q211" s="27"/>
      <c r="R211" s="27"/>
      <c r="S211" s="27"/>
      <c r="T211" s="27"/>
      <c r="U211" s="39"/>
    </row>
    <row r="212" spans="11:21" s="25" customFormat="1" x14ac:dyDescent="0.25">
      <c r="K212" s="27"/>
      <c r="L212" s="27"/>
      <c r="M212" s="27"/>
      <c r="N212" s="27"/>
      <c r="O212" s="27"/>
      <c r="P212" s="76"/>
      <c r="Q212" s="27"/>
      <c r="R212" s="27"/>
      <c r="S212" s="27"/>
      <c r="T212" s="27"/>
      <c r="U212" s="39"/>
    </row>
    <row r="213" spans="11:21" s="25" customFormat="1" x14ac:dyDescent="0.25">
      <c r="K213" s="27"/>
      <c r="L213" s="27"/>
      <c r="M213" s="27"/>
      <c r="N213" s="27"/>
      <c r="O213" s="27"/>
      <c r="P213" s="76"/>
      <c r="Q213" s="27"/>
      <c r="R213" s="27"/>
      <c r="S213" s="27"/>
      <c r="T213" s="27"/>
      <c r="U213" s="39"/>
    </row>
    <row r="214" spans="11:21" s="25" customFormat="1" x14ac:dyDescent="0.25">
      <c r="K214" s="27"/>
      <c r="L214" s="27"/>
      <c r="M214" s="27"/>
      <c r="N214" s="27"/>
      <c r="O214" s="27"/>
      <c r="P214" s="76"/>
      <c r="Q214" s="27"/>
      <c r="R214" s="27"/>
      <c r="S214" s="27"/>
      <c r="T214" s="27"/>
      <c r="U214" s="39"/>
    </row>
    <row r="215" spans="11:21" s="25" customFormat="1" x14ac:dyDescent="0.25">
      <c r="K215" s="27"/>
      <c r="L215" s="27"/>
      <c r="M215" s="27"/>
      <c r="N215" s="27"/>
      <c r="O215" s="27"/>
      <c r="P215" s="76"/>
      <c r="Q215" s="27"/>
      <c r="R215" s="27"/>
      <c r="S215" s="27"/>
      <c r="T215" s="27"/>
      <c r="U215" s="39"/>
    </row>
    <row r="216" spans="11:21" s="25" customFormat="1" x14ac:dyDescent="0.25">
      <c r="K216" s="27"/>
      <c r="L216" s="27"/>
      <c r="M216" s="27"/>
      <c r="N216" s="27"/>
      <c r="O216" s="27"/>
      <c r="P216" s="76"/>
      <c r="Q216" s="27"/>
      <c r="R216" s="27"/>
      <c r="S216" s="27"/>
      <c r="T216" s="27"/>
      <c r="U216" s="39"/>
    </row>
    <row r="217" spans="11:21" s="25" customFormat="1" x14ac:dyDescent="0.25">
      <c r="K217" s="27"/>
      <c r="L217" s="27"/>
      <c r="M217" s="27"/>
      <c r="N217" s="27"/>
      <c r="O217" s="27"/>
      <c r="P217" s="76"/>
      <c r="Q217" s="27"/>
      <c r="R217" s="27"/>
      <c r="S217" s="27"/>
      <c r="T217" s="27"/>
      <c r="U217" s="39"/>
    </row>
    <row r="218" spans="11:21" s="25" customFormat="1" x14ac:dyDescent="0.25">
      <c r="K218" s="27"/>
      <c r="L218" s="27"/>
      <c r="M218" s="27"/>
      <c r="N218" s="27"/>
      <c r="O218" s="27"/>
      <c r="P218" s="76"/>
      <c r="Q218" s="27"/>
      <c r="R218" s="27"/>
      <c r="S218" s="27"/>
      <c r="T218" s="27"/>
      <c r="U218" s="39"/>
    </row>
    <row r="219" spans="11:21" s="25" customFormat="1" x14ac:dyDescent="0.25">
      <c r="K219" s="27"/>
      <c r="L219" s="27"/>
      <c r="M219" s="27"/>
      <c r="N219" s="27"/>
      <c r="O219" s="27"/>
      <c r="P219" s="76"/>
      <c r="Q219" s="27"/>
      <c r="R219" s="27"/>
      <c r="S219" s="27"/>
      <c r="T219" s="27"/>
      <c r="U219" s="39"/>
    </row>
    <row r="220" spans="11:21" s="25" customFormat="1" x14ac:dyDescent="0.25">
      <c r="K220" s="27"/>
      <c r="L220" s="27"/>
      <c r="M220" s="27"/>
      <c r="N220" s="27"/>
      <c r="O220" s="27"/>
      <c r="P220" s="76"/>
      <c r="Q220" s="27"/>
      <c r="R220" s="27"/>
      <c r="S220" s="27"/>
      <c r="T220" s="27"/>
      <c r="U220" s="39"/>
    </row>
    <row r="221" spans="11:21" s="25" customFormat="1" x14ac:dyDescent="0.25">
      <c r="K221" s="27"/>
      <c r="L221" s="27"/>
      <c r="M221" s="27"/>
      <c r="N221" s="27"/>
      <c r="O221" s="27"/>
      <c r="P221" s="76"/>
      <c r="Q221" s="27"/>
      <c r="R221" s="27"/>
      <c r="S221" s="27"/>
      <c r="T221" s="27"/>
      <c r="U221" s="39"/>
    </row>
    <row r="222" spans="11:21" s="25" customFormat="1" x14ac:dyDescent="0.25">
      <c r="K222" s="27"/>
      <c r="L222" s="27"/>
      <c r="M222" s="27"/>
      <c r="N222" s="27"/>
      <c r="O222" s="27"/>
      <c r="P222" s="76"/>
      <c r="Q222" s="27"/>
      <c r="R222" s="27"/>
      <c r="S222" s="27"/>
      <c r="T222" s="27"/>
      <c r="U222" s="39"/>
    </row>
    <row r="223" spans="11:21" s="25" customFormat="1" x14ac:dyDescent="0.25">
      <c r="K223" s="27"/>
      <c r="L223" s="27"/>
      <c r="M223" s="27"/>
      <c r="N223" s="27"/>
      <c r="O223" s="27"/>
      <c r="P223" s="76"/>
      <c r="Q223" s="27"/>
      <c r="R223" s="27"/>
      <c r="S223" s="27"/>
      <c r="T223" s="27"/>
      <c r="U223" s="39"/>
    </row>
    <row r="224" spans="11:21" s="25" customFormat="1" x14ac:dyDescent="0.25">
      <c r="K224" s="27"/>
      <c r="L224" s="27"/>
      <c r="M224" s="27"/>
      <c r="N224" s="27"/>
      <c r="O224" s="27"/>
      <c r="P224" s="76"/>
      <c r="Q224" s="27"/>
      <c r="R224" s="27"/>
      <c r="S224" s="27"/>
      <c r="T224" s="27"/>
      <c r="U224" s="39"/>
    </row>
    <row r="225" spans="11:21" s="25" customFormat="1" x14ac:dyDescent="0.25">
      <c r="K225" s="27"/>
      <c r="L225" s="27"/>
      <c r="M225" s="27"/>
      <c r="N225" s="27"/>
      <c r="O225" s="27"/>
      <c r="P225" s="76"/>
      <c r="Q225" s="27"/>
      <c r="R225" s="27"/>
      <c r="S225" s="27"/>
      <c r="T225" s="27"/>
      <c r="U225" s="39"/>
    </row>
    <row r="226" spans="11:21" s="25" customFormat="1" x14ac:dyDescent="0.25">
      <c r="K226" s="27"/>
      <c r="L226" s="27"/>
      <c r="M226" s="27"/>
      <c r="N226" s="27"/>
      <c r="O226" s="27"/>
      <c r="P226" s="76"/>
      <c r="Q226" s="27"/>
      <c r="R226" s="27"/>
      <c r="S226" s="27"/>
      <c r="T226" s="27"/>
      <c r="U226" s="39"/>
    </row>
    <row r="227" spans="11:21" s="25" customFormat="1" x14ac:dyDescent="0.25">
      <c r="K227" s="27"/>
      <c r="L227" s="27"/>
      <c r="M227" s="27"/>
      <c r="N227" s="27"/>
      <c r="O227" s="27"/>
      <c r="P227" s="76"/>
      <c r="Q227" s="27"/>
      <c r="R227" s="27"/>
      <c r="S227" s="27"/>
      <c r="T227" s="27"/>
      <c r="U227" s="39"/>
    </row>
    <row r="228" spans="11:21" s="25" customFormat="1" x14ac:dyDescent="0.25">
      <c r="K228" s="27"/>
      <c r="L228" s="27"/>
      <c r="M228" s="27"/>
      <c r="N228" s="27"/>
      <c r="O228" s="27"/>
      <c r="P228" s="76"/>
      <c r="Q228" s="27"/>
      <c r="R228" s="27"/>
      <c r="S228" s="27"/>
      <c r="T228" s="27"/>
      <c r="U228" s="39"/>
    </row>
    <row r="229" spans="11:21" s="25" customFormat="1" x14ac:dyDescent="0.25">
      <c r="K229" s="27"/>
      <c r="L229" s="27"/>
      <c r="M229" s="27"/>
      <c r="N229" s="27"/>
      <c r="O229" s="27"/>
      <c r="P229" s="76"/>
      <c r="Q229" s="27"/>
      <c r="R229" s="27"/>
      <c r="S229" s="27"/>
      <c r="T229" s="27"/>
      <c r="U229" s="39"/>
    </row>
    <row r="230" spans="11:21" s="25" customFormat="1" x14ac:dyDescent="0.25">
      <c r="K230" s="27"/>
      <c r="L230" s="27"/>
      <c r="M230" s="27"/>
      <c r="N230" s="27"/>
      <c r="O230" s="27"/>
      <c r="P230" s="76"/>
      <c r="Q230" s="27"/>
      <c r="R230" s="27"/>
      <c r="S230" s="27"/>
      <c r="T230" s="27"/>
      <c r="U230" s="39"/>
    </row>
    <row r="231" spans="11:21" s="25" customFormat="1" x14ac:dyDescent="0.25">
      <c r="K231" s="27"/>
      <c r="L231" s="27"/>
      <c r="M231" s="27"/>
      <c r="N231" s="27"/>
      <c r="O231" s="27"/>
      <c r="P231" s="76"/>
      <c r="Q231" s="27"/>
      <c r="R231" s="27"/>
      <c r="S231" s="27"/>
      <c r="T231" s="27"/>
      <c r="U231" s="39"/>
    </row>
    <row r="232" spans="11:21" s="25" customFormat="1" x14ac:dyDescent="0.25">
      <c r="K232" s="27"/>
      <c r="L232" s="27"/>
      <c r="M232" s="27"/>
      <c r="N232" s="27"/>
      <c r="O232" s="27"/>
      <c r="P232" s="76"/>
      <c r="Q232" s="27"/>
      <c r="R232" s="27"/>
      <c r="S232" s="27"/>
      <c r="T232" s="27"/>
      <c r="U232" s="39"/>
    </row>
    <row r="233" spans="11:21" s="25" customFormat="1" x14ac:dyDescent="0.25">
      <c r="K233" s="27"/>
      <c r="L233" s="27"/>
      <c r="M233" s="27"/>
      <c r="N233" s="27"/>
      <c r="O233" s="27"/>
      <c r="P233" s="76"/>
      <c r="Q233" s="27"/>
      <c r="R233" s="27"/>
      <c r="S233" s="27"/>
      <c r="T233" s="27"/>
      <c r="U233" s="39"/>
    </row>
    <row r="234" spans="11:21" s="25" customFormat="1" x14ac:dyDescent="0.25">
      <c r="K234" s="27"/>
      <c r="L234" s="27"/>
      <c r="M234" s="27"/>
      <c r="N234" s="27"/>
      <c r="O234" s="27"/>
      <c r="P234" s="76"/>
      <c r="Q234" s="27"/>
      <c r="R234" s="27"/>
      <c r="S234" s="27"/>
      <c r="T234" s="27"/>
      <c r="U234" s="39"/>
    </row>
    <row r="235" spans="11:21" s="25" customFormat="1" x14ac:dyDescent="0.25">
      <c r="K235" s="27"/>
      <c r="L235" s="27"/>
      <c r="M235" s="27"/>
      <c r="N235" s="27"/>
      <c r="O235" s="27"/>
      <c r="P235" s="76"/>
      <c r="Q235" s="27"/>
      <c r="R235" s="27"/>
      <c r="S235" s="27"/>
      <c r="T235" s="27"/>
      <c r="U235" s="39"/>
    </row>
    <row r="236" spans="11:21" s="25" customFormat="1" x14ac:dyDescent="0.25">
      <c r="K236" s="27"/>
      <c r="L236" s="27"/>
      <c r="M236" s="27"/>
      <c r="N236" s="27"/>
      <c r="O236" s="27"/>
      <c r="P236" s="76"/>
      <c r="Q236" s="27"/>
      <c r="R236" s="27"/>
      <c r="S236" s="27"/>
      <c r="T236" s="27"/>
      <c r="U236" s="39"/>
    </row>
    <row r="237" spans="11:21" s="25" customFormat="1" x14ac:dyDescent="0.25">
      <c r="K237" s="27"/>
      <c r="L237" s="27"/>
      <c r="M237" s="27"/>
      <c r="N237" s="27"/>
      <c r="O237" s="27"/>
      <c r="P237" s="76"/>
      <c r="Q237" s="27"/>
      <c r="R237" s="27"/>
      <c r="S237" s="27"/>
      <c r="T237" s="27"/>
      <c r="U237" s="39"/>
    </row>
    <row r="238" spans="11:21" s="25" customFormat="1" x14ac:dyDescent="0.25">
      <c r="K238" s="27"/>
      <c r="L238" s="27"/>
      <c r="M238" s="27"/>
      <c r="N238" s="27"/>
      <c r="O238" s="27"/>
      <c r="P238" s="76"/>
      <c r="Q238" s="27"/>
      <c r="R238" s="27"/>
      <c r="S238" s="27"/>
      <c r="T238" s="27"/>
      <c r="U238" s="39"/>
    </row>
    <row r="239" spans="11:21" s="25" customFormat="1" x14ac:dyDescent="0.25">
      <c r="K239" s="27"/>
      <c r="L239" s="27"/>
      <c r="M239" s="27"/>
      <c r="N239" s="27"/>
      <c r="O239" s="27"/>
      <c r="P239" s="76"/>
      <c r="Q239" s="27"/>
      <c r="R239" s="27"/>
      <c r="S239" s="27"/>
      <c r="T239" s="27"/>
      <c r="U239" s="39"/>
    </row>
    <row r="240" spans="11:21" s="25" customFormat="1" x14ac:dyDescent="0.25">
      <c r="K240" s="27"/>
      <c r="L240" s="27"/>
      <c r="M240" s="27"/>
      <c r="N240" s="27"/>
      <c r="O240" s="27"/>
      <c r="P240" s="76"/>
      <c r="Q240" s="27"/>
      <c r="R240" s="27"/>
      <c r="S240" s="27"/>
      <c r="T240" s="27"/>
      <c r="U240" s="39"/>
    </row>
    <row r="241" spans="1:348" s="25" customFormat="1" x14ac:dyDescent="0.25">
      <c r="K241" s="27"/>
      <c r="L241" s="27"/>
      <c r="M241" s="27"/>
      <c r="N241" s="27"/>
      <c r="O241" s="27"/>
      <c r="P241" s="76"/>
      <c r="Q241" s="27"/>
      <c r="R241" s="27"/>
      <c r="S241" s="27"/>
      <c r="T241" s="27"/>
      <c r="U241" s="39"/>
    </row>
    <row r="242" spans="1:348" s="25" customFormat="1" x14ac:dyDescent="0.25">
      <c r="K242" s="27"/>
      <c r="L242" s="27"/>
      <c r="M242" s="27"/>
      <c r="N242" s="27"/>
      <c r="O242" s="27"/>
      <c r="P242" s="76"/>
      <c r="Q242" s="27"/>
      <c r="R242" s="27"/>
      <c r="S242" s="27"/>
      <c r="T242" s="27"/>
      <c r="U242" s="39"/>
    </row>
    <row r="243" spans="1:348" s="25" customFormat="1" x14ac:dyDescent="0.25">
      <c r="K243" s="27"/>
      <c r="L243" s="27"/>
      <c r="M243" s="27"/>
      <c r="N243" s="27"/>
      <c r="O243" s="27"/>
      <c r="P243" s="76"/>
      <c r="Q243" s="27"/>
      <c r="R243" s="27"/>
      <c r="S243" s="27"/>
      <c r="T243" s="27"/>
      <c r="U243" s="39"/>
    </row>
    <row r="244" spans="1:348" s="25" customFormat="1" x14ac:dyDescent="0.25">
      <c r="K244" s="27"/>
      <c r="L244" s="27"/>
      <c r="M244" s="27"/>
      <c r="N244" s="27"/>
      <c r="O244" s="27"/>
      <c r="P244" s="76"/>
      <c r="Q244" s="27"/>
      <c r="R244" s="27"/>
      <c r="S244" s="27"/>
      <c r="T244" s="27"/>
      <c r="U244" s="39"/>
    </row>
    <row r="245" spans="1:348" s="25" customFormat="1" x14ac:dyDescent="0.25">
      <c r="K245" s="27"/>
      <c r="L245" s="27"/>
      <c r="M245" s="27"/>
      <c r="N245" s="27"/>
      <c r="O245" s="27"/>
      <c r="P245" s="76"/>
      <c r="Q245" s="27"/>
      <c r="R245" s="27"/>
      <c r="S245" s="27"/>
      <c r="T245" s="27"/>
      <c r="U245" s="39"/>
    </row>
    <row r="246" spans="1:348" s="25" customFormat="1" x14ac:dyDescent="0.25">
      <c r="K246" s="27"/>
      <c r="L246" s="27"/>
      <c r="M246" s="27"/>
      <c r="N246" s="27"/>
      <c r="O246" s="27"/>
      <c r="P246" s="76"/>
      <c r="Q246" s="27"/>
      <c r="R246" s="27"/>
      <c r="S246" s="27"/>
      <c r="T246" s="27"/>
      <c r="U246" s="39"/>
    </row>
    <row r="247" spans="1:348" s="25" customFormat="1" x14ac:dyDescent="0.25">
      <c r="K247" s="27"/>
      <c r="L247" s="27"/>
      <c r="M247" s="27"/>
      <c r="N247" s="27"/>
      <c r="O247" s="27"/>
      <c r="P247" s="76"/>
      <c r="Q247" s="27"/>
      <c r="R247" s="27"/>
      <c r="S247" s="27"/>
      <c r="T247" s="27"/>
      <c r="U247" s="39"/>
    </row>
    <row r="248" spans="1:348" s="25" customFormat="1" x14ac:dyDescent="0.25">
      <c r="K248" s="27"/>
      <c r="L248" s="27"/>
      <c r="M248" s="27"/>
      <c r="N248" s="27"/>
      <c r="O248" s="27"/>
      <c r="P248" s="76"/>
      <c r="Q248" s="27"/>
      <c r="R248" s="27"/>
      <c r="S248" s="27"/>
      <c r="T248" s="27"/>
      <c r="U248" s="39"/>
    </row>
    <row r="249" spans="1:348" x14ac:dyDescent="0.25">
      <c r="A249" s="25"/>
      <c r="B249" s="25"/>
      <c r="C249" s="25"/>
      <c r="D249" s="25"/>
      <c r="E249" s="25"/>
      <c r="F249" s="25"/>
      <c r="G249" s="25"/>
      <c r="H249" s="25"/>
      <c r="I249" s="25"/>
      <c r="J249" s="25"/>
      <c r="K249" s="27"/>
      <c r="L249" s="27"/>
      <c r="M249" s="27"/>
      <c r="N249" s="27"/>
      <c r="O249" s="27"/>
      <c r="P249" s="76"/>
      <c r="Q249" s="27"/>
      <c r="R249" s="27"/>
      <c r="S249" s="27"/>
      <c r="T249" s="27"/>
      <c r="U249" s="39"/>
      <c r="V249" s="25"/>
      <c r="W249" s="25"/>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c r="AZ249" s="6"/>
      <c r="BA249" s="6"/>
      <c r="BB249" s="6"/>
      <c r="BC249" s="6"/>
      <c r="BD249" s="6"/>
      <c r="BE249" s="6"/>
      <c r="BF249" s="6"/>
      <c r="BG249" s="6"/>
      <c r="BH249" s="6"/>
      <c r="BI249" s="6"/>
      <c r="BJ249" s="6"/>
      <c r="BK249" s="6"/>
      <c r="BL249" s="6"/>
      <c r="BM249" s="6"/>
      <c r="BN249" s="6"/>
      <c r="BO249" s="6"/>
      <c r="BP249" s="6"/>
      <c r="BQ249" s="6"/>
      <c r="BR249" s="6"/>
      <c r="BS249" s="6"/>
      <c r="BT249" s="6"/>
      <c r="BU249" s="6"/>
      <c r="BV249" s="6"/>
      <c r="BW249" s="6"/>
      <c r="BX249" s="6"/>
      <c r="BY249" s="6"/>
      <c r="BZ249" s="6"/>
      <c r="CA249" s="6"/>
      <c r="CB249" s="6"/>
      <c r="CC249" s="6"/>
      <c r="CD249" s="6"/>
      <c r="CE249" s="6"/>
      <c r="CF249" s="6"/>
      <c r="CG249" s="6"/>
      <c r="CH249" s="6"/>
      <c r="CI249" s="6"/>
      <c r="CJ249" s="6"/>
      <c r="CK249" s="6"/>
      <c r="CL249" s="6"/>
      <c r="CM249" s="6"/>
      <c r="CN249" s="6"/>
      <c r="CO249" s="6"/>
      <c r="CP249" s="6"/>
      <c r="CQ249" s="6"/>
      <c r="CR249" s="6"/>
      <c r="CS249" s="6"/>
      <c r="CT249" s="6"/>
      <c r="CU249" s="6"/>
      <c r="CV249" s="6"/>
      <c r="CW249" s="6"/>
      <c r="CX249" s="6"/>
      <c r="CY249" s="6"/>
      <c r="CZ249" s="6"/>
      <c r="DA249" s="6"/>
      <c r="DB249" s="6"/>
      <c r="DC249" s="6"/>
      <c r="DD249" s="6"/>
      <c r="DE249" s="6"/>
      <c r="DF249" s="6"/>
      <c r="DG249" s="6"/>
      <c r="DH249" s="6"/>
      <c r="DI249" s="6"/>
      <c r="DJ249" s="6"/>
      <c r="DK249" s="6"/>
      <c r="DL249" s="6"/>
      <c r="DM249" s="6"/>
      <c r="DN249" s="6"/>
      <c r="DO249" s="6"/>
      <c r="DP249" s="6"/>
      <c r="DQ249" s="6"/>
      <c r="DR249" s="6"/>
      <c r="DS249" s="6"/>
      <c r="DT249" s="6"/>
      <c r="DU249" s="6"/>
      <c r="DV249" s="6"/>
      <c r="DW249" s="6"/>
      <c r="DX249" s="6"/>
      <c r="DY249" s="6"/>
      <c r="DZ249" s="6"/>
      <c r="EA249" s="6"/>
      <c r="EB249" s="6"/>
      <c r="EC249" s="6"/>
      <c r="ED249" s="6"/>
      <c r="EE249" s="6"/>
      <c r="EF249" s="6"/>
      <c r="EG249" s="6"/>
      <c r="EH249" s="6"/>
      <c r="EI249" s="6"/>
      <c r="EJ249" s="6"/>
      <c r="EK249" s="6"/>
      <c r="EL249" s="6"/>
      <c r="EM249" s="6"/>
      <c r="EN249" s="6"/>
      <c r="EO249" s="6"/>
      <c r="EP249" s="6"/>
      <c r="EQ249" s="6"/>
      <c r="ER249" s="6"/>
      <c r="ES249" s="6"/>
      <c r="ET249" s="6"/>
      <c r="EU249" s="6"/>
      <c r="EV249" s="6"/>
      <c r="EW249" s="6"/>
      <c r="EX249" s="6"/>
      <c r="EY249" s="6"/>
      <c r="EZ249" s="6"/>
      <c r="FA249" s="6"/>
      <c r="FB249" s="6"/>
      <c r="FC249" s="6"/>
      <c r="FD249" s="6"/>
      <c r="FE249" s="6"/>
      <c r="FF249" s="6"/>
      <c r="FG249" s="6"/>
      <c r="FH249" s="6"/>
      <c r="FI249" s="6"/>
      <c r="FJ249" s="6"/>
      <c r="FK249" s="6"/>
      <c r="FL249" s="6"/>
      <c r="FM249" s="6"/>
      <c r="FN249" s="6"/>
      <c r="FO249" s="6"/>
      <c r="FP249" s="6"/>
      <c r="FQ249" s="6"/>
      <c r="FR249" s="6"/>
      <c r="FS249" s="6"/>
      <c r="FT249" s="6"/>
      <c r="FU249" s="6"/>
      <c r="FV249" s="6"/>
      <c r="FW249" s="6"/>
      <c r="FX249" s="6"/>
      <c r="FY249" s="6"/>
      <c r="FZ249" s="6"/>
      <c r="GA249" s="6"/>
      <c r="GB249" s="6"/>
      <c r="GC249" s="6"/>
      <c r="GD249" s="6"/>
      <c r="GE249" s="6"/>
      <c r="GF249" s="6"/>
      <c r="GG249" s="6"/>
      <c r="GH249" s="6"/>
      <c r="GI249" s="6"/>
      <c r="GJ249" s="6"/>
      <c r="GK249" s="6"/>
      <c r="GL249" s="6"/>
      <c r="GM249" s="6"/>
      <c r="GN249" s="6"/>
      <c r="GO249" s="6"/>
      <c r="GP249" s="6"/>
      <c r="GQ249" s="6"/>
      <c r="GR249" s="6"/>
      <c r="GS249" s="6"/>
      <c r="GT249" s="6"/>
      <c r="GU249" s="6"/>
      <c r="GV249" s="6"/>
      <c r="GW249" s="6"/>
      <c r="GX249" s="6"/>
      <c r="GY249" s="6"/>
      <c r="GZ249" s="6"/>
      <c r="HA249" s="6"/>
      <c r="HB249" s="6"/>
      <c r="HC249" s="6"/>
      <c r="HD249" s="6"/>
      <c r="HE249" s="6"/>
      <c r="HF249" s="6"/>
      <c r="HG249" s="6"/>
      <c r="HH249" s="6"/>
      <c r="HI249" s="6"/>
      <c r="HJ249" s="6"/>
      <c r="HK249" s="6"/>
      <c r="HL249" s="6"/>
      <c r="HM249" s="6"/>
      <c r="HN249" s="6"/>
      <c r="HO249" s="6"/>
      <c r="HP249" s="6"/>
      <c r="HQ249" s="6"/>
      <c r="HR249" s="6"/>
      <c r="HS249" s="6"/>
      <c r="HT249" s="6"/>
      <c r="HU249" s="6"/>
      <c r="HV249" s="6"/>
      <c r="HW249" s="6"/>
      <c r="HX249" s="6"/>
      <c r="HY249" s="6"/>
      <c r="HZ249" s="6"/>
      <c r="IA249" s="6"/>
      <c r="IB249" s="6"/>
      <c r="IC249" s="6"/>
      <c r="ID249" s="6"/>
      <c r="IE249" s="6"/>
      <c r="IF249" s="6"/>
      <c r="IG249" s="6"/>
      <c r="IH249" s="6"/>
      <c r="II249" s="6"/>
      <c r="IJ249" s="6"/>
      <c r="IK249" s="6"/>
      <c r="IL249" s="6"/>
      <c r="IM249" s="6"/>
      <c r="IN249" s="6"/>
      <c r="IO249" s="6"/>
      <c r="IP249" s="6"/>
      <c r="IQ249" s="6"/>
      <c r="IR249" s="6"/>
      <c r="IS249" s="6"/>
      <c r="IT249" s="6"/>
      <c r="IU249" s="6"/>
      <c r="IV249" s="6"/>
      <c r="IW249" s="6"/>
      <c r="IX249" s="6"/>
      <c r="IY249" s="6"/>
      <c r="IZ249" s="6"/>
      <c r="JA249" s="6"/>
      <c r="JB249" s="6"/>
      <c r="JC249" s="6"/>
      <c r="JD249" s="6"/>
      <c r="JE249" s="6"/>
      <c r="JF249" s="6"/>
      <c r="JG249" s="6"/>
      <c r="JH249" s="6"/>
      <c r="JI249" s="6"/>
      <c r="JJ249" s="6"/>
      <c r="JK249" s="6"/>
      <c r="JL249" s="6"/>
      <c r="JM249" s="6"/>
      <c r="JN249" s="6"/>
      <c r="JO249" s="6"/>
      <c r="JP249" s="6"/>
      <c r="JQ249" s="6"/>
      <c r="JR249" s="6"/>
      <c r="JS249" s="6"/>
      <c r="JT249" s="6"/>
      <c r="JU249" s="6"/>
      <c r="JV249" s="6"/>
      <c r="JW249" s="6"/>
      <c r="JX249" s="6"/>
      <c r="JY249" s="6"/>
      <c r="JZ249" s="6"/>
      <c r="KA249" s="6"/>
      <c r="KB249" s="6"/>
      <c r="KC249" s="6"/>
      <c r="KD249" s="6"/>
      <c r="KE249" s="6"/>
      <c r="KF249" s="6"/>
      <c r="KG249" s="6"/>
      <c r="KH249" s="6"/>
      <c r="KI249" s="6"/>
      <c r="KJ249" s="6"/>
      <c r="KK249" s="6"/>
      <c r="KL249" s="6"/>
      <c r="KM249" s="6"/>
      <c r="KN249" s="6"/>
      <c r="KO249" s="6"/>
      <c r="KP249" s="6"/>
      <c r="KQ249" s="6"/>
      <c r="KR249" s="6"/>
      <c r="KS249" s="6"/>
      <c r="KT249" s="6"/>
      <c r="KU249" s="6"/>
      <c r="KV249" s="6"/>
      <c r="KW249" s="6"/>
      <c r="KX249" s="6"/>
      <c r="KY249" s="6"/>
      <c r="KZ249" s="6"/>
      <c r="LA249" s="6"/>
      <c r="LB249" s="6"/>
      <c r="LC249" s="6"/>
      <c r="LD249" s="6"/>
      <c r="LE249" s="6"/>
      <c r="LF249" s="6"/>
      <c r="LG249" s="6"/>
      <c r="LH249" s="6"/>
      <c r="LI249" s="6"/>
      <c r="LJ249" s="6"/>
      <c r="LK249" s="6"/>
      <c r="LL249" s="6"/>
      <c r="LM249" s="6"/>
      <c r="LN249" s="6"/>
      <c r="LO249" s="6"/>
      <c r="LP249" s="6"/>
      <c r="LQ249" s="6"/>
      <c r="LR249" s="6"/>
      <c r="LS249" s="6"/>
      <c r="LT249" s="6"/>
      <c r="LU249" s="6"/>
      <c r="LV249" s="6"/>
      <c r="LW249" s="6"/>
      <c r="LX249" s="6"/>
      <c r="LY249" s="6"/>
      <c r="LZ249" s="6"/>
      <c r="MA249" s="6"/>
      <c r="MB249" s="6"/>
      <c r="MC249" s="6"/>
      <c r="MD249" s="6"/>
      <c r="ME249" s="6"/>
      <c r="MF249" s="6"/>
      <c r="MG249" s="6"/>
      <c r="MH249" s="6"/>
      <c r="MI249" s="6"/>
      <c r="MJ249" s="6"/>
    </row>
    <row r="250" spans="1:348" x14ac:dyDescent="0.25">
      <c r="A250" s="25"/>
      <c r="B250" s="25"/>
      <c r="C250" s="25"/>
      <c r="D250" s="25"/>
      <c r="E250" s="25"/>
      <c r="F250" s="25"/>
      <c r="G250" s="25"/>
      <c r="H250" s="25"/>
      <c r="I250" s="25"/>
      <c r="J250" s="25"/>
      <c r="K250" s="27"/>
      <c r="L250" s="27"/>
      <c r="M250" s="27"/>
      <c r="N250" s="27"/>
      <c r="O250" s="27"/>
      <c r="P250" s="76"/>
      <c r="Q250" s="27"/>
      <c r="R250" s="27"/>
      <c r="S250" s="27"/>
      <c r="T250" s="27"/>
      <c r="U250" s="39"/>
      <c r="V250" s="28"/>
    </row>
  </sheetData>
  <sheetProtection algorithmName="SHA-512" hashValue="qBVKIpM8fFpaFVyi+dqGQNZ5oivCVxX/omf6FIgjktr7gNUibq+61Z7oyAVTSKxUnhK3L8tiCIR0pXZu/sl96Q==" saltValue="n5JNPBFC2SUAox0jhr8Hog==" spinCount="100000" sheet="1" sort="0" autoFilter="0"/>
  <autoFilter ref="A2:MJ3" xr:uid="{00000000-0009-0000-0000-000003000000}"/>
  <mergeCells count="24">
    <mergeCell ref="AE1:AE2"/>
    <mergeCell ref="T1:T2"/>
    <mergeCell ref="U1:U2"/>
    <mergeCell ref="V1:V2"/>
    <mergeCell ref="W1:W2"/>
    <mergeCell ref="X1:X2"/>
    <mergeCell ref="Z1:Z2"/>
    <mergeCell ref="AA1:AA2"/>
    <mergeCell ref="AB1:AB2"/>
    <mergeCell ref="AD1:AD2"/>
    <mergeCell ref="A13:V13"/>
    <mergeCell ref="B1:B2"/>
    <mergeCell ref="C1:C2"/>
    <mergeCell ref="D1:D2"/>
    <mergeCell ref="E1:E2"/>
    <mergeCell ref="F1:F2"/>
    <mergeCell ref="G1:G2"/>
    <mergeCell ref="I1:I2"/>
    <mergeCell ref="K1:K2"/>
    <mergeCell ref="L1:R1"/>
    <mergeCell ref="A1:A2"/>
    <mergeCell ref="H1:H2"/>
    <mergeCell ref="S1:S2"/>
    <mergeCell ref="J1:J2"/>
  </mergeCells>
  <printOptions horizontalCentered="1"/>
  <pageMargins left="0.15748031496062992" right="0.15748031496062992" top="0.62992125984251968" bottom="0.59055118110236227" header="0.27559055118110237" footer="0.31496062992125984"/>
  <pageSetup paperSize="9" scale="48" orientation="landscape" r:id="rId1"/>
  <headerFooter>
    <oddHeader>&amp;C&amp;"-,Negrito"&amp;12PLANILHA DE COMPOSIÇÃO DE CUSTOS
RELATÓRIO DE CUSTO DETALHADO</oddHeader>
    <oddFooter>&amp;C&amp;P</oddFooter>
  </headerFooter>
  <ignoredErrors>
    <ignoredError sqref="H4:H5 K5:L5 Q5 I4:I5 U5:AE5"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E28"/>
  <sheetViews>
    <sheetView zoomScaleNormal="100" workbookViewId="0">
      <pane ySplit="2" topLeftCell="A6" activePane="bottomLeft" state="frozen"/>
      <selection activeCell="P23" sqref="P23"/>
      <selection pane="bottomLeft" activeCell="A14" sqref="A14"/>
    </sheetView>
  </sheetViews>
  <sheetFormatPr defaultColWidth="9.140625" defaultRowHeight="15" x14ac:dyDescent="0.25"/>
  <cols>
    <col min="1" max="1" width="12.28515625" style="1" customWidth="1"/>
    <col min="2" max="4" width="25.7109375" style="1" customWidth="1"/>
    <col min="5" max="16384" width="9.140625" style="1"/>
  </cols>
  <sheetData>
    <row r="1" spans="1:5" ht="18.75" customHeight="1" x14ac:dyDescent="0.25">
      <c r="A1" s="358" t="s">
        <v>152</v>
      </c>
      <c r="B1" s="358"/>
      <c r="C1" s="358"/>
      <c r="D1" s="358"/>
      <c r="E1" s="20"/>
    </row>
    <row r="2" spans="1:5" ht="30.75" customHeight="1" x14ac:dyDescent="0.25">
      <c r="A2" s="38" t="s">
        <v>153</v>
      </c>
      <c r="B2" s="38" t="s">
        <v>154</v>
      </c>
      <c r="C2" s="38" t="s">
        <v>155</v>
      </c>
      <c r="D2" s="38" t="s">
        <v>156</v>
      </c>
      <c r="E2" s="32"/>
    </row>
    <row r="3" spans="1:5" x14ac:dyDescent="0.25">
      <c r="A3" s="4">
        <v>1</v>
      </c>
      <c r="B3" s="35">
        <f>IF(A3&lt;='Indicadores Financeiros'!$F$13,SUMIF('Relatório Custo'!$F:$F,"&lt;="&amp;$A3,'Relatório Custo'!$W:$W),0)</f>
        <v>0</v>
      </c>
      <c r="C3" s="35">
        <f>IF(A3&lt;='Indicadores Financeiros'!$F$13,SUMIF('Relatório Custo'!$F:$F,"&lt;="&amp;$A3,'Relatório Custo'!$Z:$Z),0)</f>
        <v>0</v>
      </c>
      <c r="D3" s="35">
        <f>IF(A3&lt;='Indicadores Financeiros'!$F$13,SUMIF('Relatório Custo'!$F:$F,"&lt;="&amp;$A3,'Relatório Custo'!$AB:$AB),0)</f>
        <v>0</v>
      </c>
      <c r="E3" s="33"/>
    </row>
    <row r="4" spans="1:5" x14ac:dyDescent="0.25">
      <c r="A4" s="4">
        <v>2</v>
      </c>
      <c r="B4" s="35">
        <f>IF(A4&lt;='Indicadores Financeiros'!$F$13,SUMIF('Relatório Custo'!$F:$F,"&lt;="&amp;$A4,'Relatório Custo'!$W:$W),0)</f>
        <v>0</v>
      </c>
      <c r="C4" s="35">
        <f>IF(A4&lt;='Indicadores Financeiros'!$F$13,SUMIF('Relatório Custo'!$F:$F,"&lt;="&amp;$A4,'Relatório Custo'!$Z:$Z),0)</f>
        <v>0</v>
      </c>
      <c r="D4" s="35">
        <f>IF(A4&lt;='Indicadores Financeiros'!$F$13,SUMIF('Relatório Custo'!$F:$F,"&lt;="&amp;$A4,'Relatório Custo'!$AB:$AB),0)</f>
        <v>0</v>
      </c>
      <c r="E4" s="33"/>
    </row>
    <row r="5" spans="1:5" x14ac:dyDescent="0.25">
      <c r="A5" s="4">
        <v>3</v>
      </c>
      <c r="B5" s="35">
        <f>IF(A5&lt;='Indicadores Financeiros'!$F$13,SUMIF('Relatório Custo'!$F:$F,"&lt;="&amp;$A5,'Relatório Custo'!$W:$W),0)</f>
        <v>0</v>
      </c>
      <c r="C5" s="35">
        <f>IF(A5&lt;='Indicadores Financeiros'!$F$13,SUMIF('Relatório Custo'!$F:$F,"&lt;="&amp;$A5,'Relatório Custo'!$Z:$Z),0)</f>
        <v>0</v>
      </c>
      <c r="D5" s="35">
        <f>IF(A5&lt;='Indicadores Financeiros'!$F$13,SUMIF('Relatório Custo'!$F:$F,"&lt;="&amp;$A5,'Relatório Custo'!$AB:$AB),0)</f>
        <v>0</v>
      </c>
      <c r="E5" s="33"/>
    </row>
    <row r="6" spans="1:5" x14ac:dyDescent="0.25">
      <c r="A6" s="4">
        <v>4</v>
      </c>
      <c r="B6" s="35">
        <f>IF(A6&lt;='Indicadores Financeiros'!$F$13,SUMIF('Relatório Custo'!$F:$F,"&lt;="&amp;$A6,'Relatório Custo'!$W:$W),0)</f>
        <v>0</v>
      </c>
      <c r="C6" s="35">
        <f>IF(A6&lt;='Indicadores Financeiros'!$F$13,SUMIF('Relatório Custo'!$F:$F,"&lt;="&amp;$A6,'Relatório Custo'!$Z:$Z),0)</f>
        <v>0</v>
      </c>
      <c r="D6" s="35">
        <f>IF(A6&lt;='Indicadores Financeiros'!$F$13,SUMIF('Relatório Custo'!$F:$F,"&lt;="&amp;$A6,'Relatório Custo'!$AB:$AB),0)</f>
        <v>0</v>
      </c>
      <c r="E6" s="33"/>
    </row>
    <row r="7" spans="1:5" x14ac:dyDescent="0.25">
      <c r="A7" s="4">
        <v>5</v>
      </c>
      <c r="B7" s="35">
        <f>IF(A7&lt;='Indicadores Financeiros'!$F$13,SUMIF('Relatório Custo'!$F:$F,"&lt;="&amp;$A7,'Relatório Custo'!$W:$W),0)</f>
        <v>0</v>
      </c>
      <c r="C7" s="35">
        <f>IF(A7&lt;='Indicadores Financeiros'!$F$13,SUMIF('Relatório Custo'!$F:$F,"&lt;="&amp;$A7,'Relatório Custo'!$Z:$Z),0)</f>
        <v>0</v>
      </c>
      <c r="D7" s="35">
        <f>IF(A7&lt;='Indicadores Financeiros'!$F$13,SUMIF('Relatório Custo'!$F:$F,"&lt;="&amp;$A7,'Relatório Custo'!$AB:$AB),0)</f>
        <v>0</v>
      </c>
      <c r="E7" s="33"/>
    </row>
    <row r="8" spans="1:5" x14ac:dyDescent="0.25">
      <c r="A8" s="4">
        <v>6</v>
      </c>
      <c r="B8" s="35">
        <f>IF(A8&lt;='Indicadores Financeiros'!$F$13,SUMIF('Relatório Custo'!$F:$F,"&lt;="&amp;$A8,'Relatório Custo'!$W:$W),0)</f>
        <v>0</v>
      </c>
      <c r="C8" s="35">
        <f>IF(A8&lt;='Indicadores Financeiros'!$F$13,SUMIF('Relatório Custo'!$F:$F,"&lt;="&amp;$A8,'Relatório Custo'!$Z:$Z),0)</f>
        <v>0</v>
      </c>
      <c r="D8" s="35">
        <f>IF(A8&lt;='Indicadores Financeiros'!$F$13,SUMIF('Relatório Custo'!$F:$F,"&lt;="&amp;$A8,'Relatório Custo'!$AB:$AB),0)</f>
        <v>0</v>
      </c>
      <c r="E8" s="33"/>
    </row>
    <row r="9" spans="1:5" x14ac:dyDescent="0.25">
      <c r="A9" s="4">
        <v>7</v>
      </c>
      <c r="B9" s="35">
        <f>IF(A9&lt;='Indicadores Financeiros'!$F$13,SUMIF('Relatório Custo'!$F:$F,"&lt;="&amp;$A9,'Relatório Custo'!$W:$W),0)</f>
        <v>0</v>
      </c>
      <c r="C9" s="35">
        <f>IF(A9&lt;='Indicadores Financeiros'!$F$13,SUMIF('Relatório Custo'!$F:$F,"&lt;="&amp;$A9,'Relatório Custo'!$Z:$Z),0)</f>
        <v>0</v>
      </c>
      <c r="D9" s="35">
        <f>IF(A9&lt;='Indicadores Financeiros'!$F$13,SUMIF('Relatório Custo'!$F:$F,"&lt;="&amp;$A9,'Relatório Custo'!$AB:$AB),0)</f>
        <v>0</v>
      </c>
      <c r="E9" s="33"/>
    </row>
    <row r="10" spans="1:5" x14ac:dyDescent="0.25">
      <c r="A10" s="4">
        <v>8</v>
      </c>
      <c r="B10" s="35">
        <f>IF(A10&lt;='Indicadores Financeiros'!$F$13,SUMIF('Relatório Custo'!$F:$F,"&lt;="&amp;$A10,'Relatório Custo'!$W:$W),0)</f>
        <v>0</v>
      </c>
      <c r="C10" s="35">
        <f>IF(A10&lt;='Indicadores Financeiros'!$F$13,SUMIF('Relatório Custo'!$F:$F,"&lt;="&amp;$A10,'Relatório Custo'!$Z:$Z),0)</f>
        <v>0</v>
      </c>
      <c r="D10" s="35">
        <f>IF(A10&lt;='Indicadores Financeiros'!$F$13,SUMIF('Relatório Custo'!$F:$F,"&lt;="&amp;$A10,'Relatório Custo'!$AB:$AB),0)</f>
        <v>0</v>
      </c>
      <c r="E10" s="33"/>
    </row>
    <row r="11" spans="1:5" x14ac:dyDescent="0.25">
      <c r="A11" s="4">
        <v>9</v>
      </c>
      <c r="B11" s="35">
        <f>IF(A11&lt;='Indicadores Financeiros'!$F$13,SUMIF('Relatório Custo'!$F:$F,"&lt;="&amp;$A11,'Relatório Custo'!$W:$W),0)</f>
        <v>0</v>
      </c>
      <c r="C11" s="35">
        <f>IF(A11&lt;='Indicadores Financeiros'!$F$13,SUMIF('Relatório Custo'!$F:$F,"&lt;="&amp;$A11,'Relatório Custo'!$Z:$Z),0)</f>
        <v>0</v>
      </c>
      <c r="D11" s="35">
        <f>IF(A11&lt;='Indicadores Financeiros'!$F$13,SUMIF('Relatório Custo'!$F:$F,"&lt;="&amp;$A11,'Relatório Custo'!$AB:$AB),0)</f>
        <v>0</v>
      </c>
      <c r="E11" s="33"/>
    </row>
    <row r="12" spans="1:5" x14ac:dyDescent="0.25">
      <c r="A12" s="4">
        <v>10</v>
      </c>
      <c r="B12" s="35">
        <f>IF(A12&lt;='Indicadores Financeiros'!$F$13,SUMIF('Relatório Custo'!$F:$F,"&lt;="&amp;$A12,'Relatório Custo'!$W:$W),0)</f>
        <v>0</v>
      </c>
      <c r="C12" s="35">
        <f>IF(A12&lt;='Indicadores Financeiros'!$F$13,SUMIF('Relatório Custo'!$F:$F,"&lt;="&amp;$A12,'Relatório Custo'!$Z:$Z),0)</f>
        <v>0</v>
      </c>
      <c r="D12" s="35">
        <f>IF(A12&lt;='Indicadores Financeiros'!$F$13,SUMIF('Relatório Custo'!$F:$F,"&lt;="&amp;$A12,'Relatório Custo'!$AB:$AB),0)</f>
        <v>0</v>
      </c>
      <c r="E12" s="33"/>
    </row>
    <row r="13" spans="1:5" x14ac:dyDescent="0.25">
      <c r="A13" s="4">
        <v>11</v>
      </c>
      <c r="B13" s="35">
        <f>IF(A13&lt;='Indicadores Financeiros'!$F$13,SUMIF('Relatório Custo'!$F:$F,"&lt;="&amp;$A13,'Relatório Custo'!$W:$W),0)</f>
        <v>0</v>
      </c>
      <c r="C13" s="35">
        <f>IF(A13&lt;='Indicadores Financeiros'!$F$13,SUMIF('Relatório Custo'!$F:$F,"&lt;="&amp;$A13,'Relatório Custo'!$Z:$Z),0)</f>
        <v>0</v>
      </c>
      <c r="D13" s="35">
        <f>IF(A13&lt;='Indicadores Financeiros'!$F$13,SUMIF('Relatório Custo'!$F:$F,"&lt;="&amp;$A13,'Relatório Custo'!$AB:$AB),0)</f>
        <v>0</v>
      </c>
      <c r="E13" s="33"/>
    </row>
    <row r="14" spans="1:5" x14ac:dyDescent="0.25">
      <c r="A14" s="4">
        <v>12</v>
      </c>
      <c r="B14" s="35">
        <f>IF(A14&lt;='Indicadores Financeiros'!$F$13,SUMIF('Relatório Custo'!$F:$F,"&lt;="&amp;$A14,'Relatório Custo'!$W:$W),0)</f>
        <v>0</v>
      </c>
      <c r="C14" s="35">
        <f>IF(A14&lt;='Indicadores Financeiros'!$F$13,SUMIF('Relatório Custo'!$F:$F,"&lt;="&amp;$A14,'Relatório Custo'!$Z:$Z),0)</f>
        <v>0</v>
      </c>
      <c r="D14" s="35">
        <f>IF(A14&lt;='Indicadores Financeiros'!$F$13,SUMIF('Relatório Custo'!$F:$F,"&lt;="&amp;$A14,'Relatório Custo'!$AB:$AB),0)</f>
        <v>0</v>
      </c>
      <c r="E14" s="33"/>
    </row>
    <row r="15" spans="1:5" x14ac:dyDescent="0.25">
      <c r="A15" s="4">
        <v>13</v>
      </c>
      <c r="B15" s="35">
        <f>IF(A15&lt;='Indicadores Financeiros'!$F$13,SUMIF('Relatório Custo'!$F:$F,"&lt;="&amp;$A15,'Relatório Custo'!$W:$W),0)</f>
        <v>0</v>
      </c>
      <c r="C15" s="35">
        <f>IF(A15&lt;='Indicadores Financeiros'!$F$13,SUMIF('Relatório Custo'!$F:$F,"&lt;="&amp;$A15,'Relatório Custo'!$Z:$Z),0)</f>
        <v>0</v>
      </c>
      <c r="D15" s="35">
        <f>IF(A15&lt;='Indicadores Financeiros'!$F$13,SUMIF('Relatório Custo'!$F:$F,"&lt;="&amp;$A15,'Relatório Custo'!$AB:$AB),0)</f>
        <v>0</v>
      </c>
      <c r="E15" s="33"/>
    </row>
    <row r="16" spans="1:5" x14ac:dyDescent="0.25">
      <c r="A16" s="4">
        <v>14</v>
      </c>
      <c r="B16" s="35">
        <f>IF(A16&lt;='Indicadores Financeiros'!$F$13,SUMIF('Relatório Custo'!$F:$F,"&lt;="&amp;$A16,'Relatório Custo'!$W:$W),0)</f>
        <v>0</v>
      </c>
      <c r="C16" s="35">
        <f>IF(A16&lt;='Indicadores Financeiros'!$F$13,SUMIF('Relatório Custo'!$F:$F,"&lt;="&amp;$A16,'Relatório Custo'!$Z:$Z),0)</f>
        <v>0</v>
      </c>
      <c r="D16" s="35">
        <f>IF(A16&lt;='Indicadores Financeiros'!$F$13,SUMIF('Relatório Custo'!$F:$F,"&lt;="&amp;$A16,'Relatório Custo'!$AB:$AB),0)</f>
        <v>0</v>
      </c>
      <c r="E16" s="33"/>
    </row>
    <row r="17" spans="1:5" x14ac:dyDescent="0.25">
      <c r="A17" s="4">
        <v>15</v>
      </c>
      <c r="B17" s="35">
        <f>IF(A17&lt;='Indicadores Financeiros'!$F$13,SUMIF('Relatório Custo'!$F:$F,"&lt;="&amp;$A17,'Relatório Custo'!$W:$W),0)</f>
        <v>0</v>
      </c>
      <c r="C17" s="35">
        <f>IF(A17&lt;='Indicadores Financeiros'!$F$13,SUMIF('Relatório Custo'!$F:$F,"&lt;="&amp;$A17,'Relatório Custo'!$Z:$Z),0)</f>
        <v>0</v>
      </c>
      <c r="D17" s="35">
        <f>IF(A17&lt;='Indicadores Financeiros'!$F$13,SUMIF('Relatório Custo'!$F:$F,"&lt;="&amp;$A17,'Relatório Custo'!$AB:$AB),0)</f>
        <v>0</v>
      </c>
      <c r="E17" s="33"/>
    </row>
    <row r="18" spans="1:5" x14ac:dyDescent="0.25">
      <c r="A18" s="4">
        <v>16</v>
      </c>
      <c r="B18" s="35">
        <f>IF(A18&lt;='Indicadores Financeiros'!$F$13,SUMIF('Relatório Custo'!$F:$F,"&lt;="&amp;$A18,'Relatório Custo'!$W:$W),0)</f>
        <v>0</v>
      </c>
      <c r="C18" s="35">
        <f>IF(A18&lt;='Indicadores Financeiros'!$F$13,SUMIF('Relatório Custo'!$F:$F,"&lt;="&amp;$A18,'Relatório Custo'!$Z:$Z),0)</f>
        <v>0</v>
      </c>
      <c r="D18" s="35">
        <f>IF(A18&lt;='Indicadores Financeiros'!$F$13,SUMIF('Relatório Custo'!$F:$F,"&lt;="&amp;$A18,'Relatório Custo'!$AB:$AB),0)</f>
        <v>0</v>
      </c>
      <c r="E18" s="33"/>
    </row>
    <row r="19" spans="1:5" x14ac:dyDescent="0.25">
      <c r="A19" s="4">
        <v>17</v>
      </c>
      <c r="B19" s="35">
        <f>IF(A19&lt;='Indicadores Financeiros'!$F$13,SUMIF('Relatório Custo'!$F:$F,"&lt;="&amp;$A19,'Relatório Custo'!$W:$W),0)</f>
        <v>0</v>
      </c>
      <c r="C19" s="35">
        <f>IF(A19&lt;='Indicadores Financeiros'!$F$13,SUMIF('Relatório Custo'!$F:$F,"&lt;="&amp;$A19,'Relatório Custo'!$Z:$Z),0)</f>
        <v>0</v>
      </c>
      <c r="D19" s="35">
        <f>IF(A19&lt;='Indicadores Financeiros'!$F$13,SUMIF('Relatório Custo'!$F:$F,"&lt;="&amp;$A19,'Relatório Custo'!$AB:$AB),0)</f>
        <v>0</v>
      </c>
      <c r="E19" s="33"/>
    </row>
    <row r="20" spans="1:5" x14ac:dyDescent="0.25">
      <c r="A20" s="4">
        <v>18</v>
      </c>
      <c r="B20" s="35">
        <f>IF(A20&lt;='Indicadores Financeiros'!$F$13,SUMIF('Relatório Custo'!$F:$F,"&lt;="&amp;$A20,'Relatório Custo'!$W:$W),0)</f>
        <v>0</v>
      </c>
      <c r="C20" s="35">
        <f>IF(A20&lt;='Indicadores Financeiros'!$F$13,SUMIF('Relatório Custo'!$F:$F,"&lt;="&amp;$A20,'Relatório Custo'!$Z:$Z),0)</f>
        <v>0</v>
      </c>
      <c r="D20" s="35">
        <f>IF(A20&lt;='Indicadores Financeiros'!$F$13,SUMIF('Relatório Custo'!$F:$F,"&lt;="&amp;$A20,'Relatório Custo'!$AB:$AB),0)</f>
        <v>0</v>
      </c>
      <c r="E20" s="33"/>
    </row>
    <row r="21" spans="1:5" x14ac:dyDescent="0.25">
      <c r="A21" s="4">
        <v>19</v>
      </c>
      <c r="B21" s="35">
        <f>IF(A21&lt;='Indicadores Financeiros'!$F$13,SUMIF('Relatório Custo'!$F:$F,"&lt;="&amp;$A21,'Relatório Custo'!$W:$W),0)</f>
        <v>0</v>
      </c>
      <c r="C21" s="35">
        <f>IF(A21&lt;='Indicadores Financeiros'!$F$13,SUMIF('Relatório Custo'!$F:$F,"&lt;="&amp;$A21,'Relatório Custo'!$Z:$Z),0)</f>
        <v>0</v>
      </c>
      <c r="D21" s="35">
        <f>IF(A21&lt;='Indicadores Financeiros'!$F$13,SUMIF('Relatório Custo'!$F:$F,"&lt;="&amp;$A21,'Relatório Custo'!$AB:$AB),0)</f>
        <v>0</v>
      </c>
      <c r="E21" s="33"/>
    </row>
    <row r="22" spans="1:5" x14ac:dyDescent="0.25">
      <c r="A22" s="4">
        <v>20</v>
      </c>
      <c r="B22" s="35">
        <f>IF(A22&lt;='Indicadores Financeiros'!$F$13,SUMIF('Relatório Custo'!$F:$F,"&lt;="&amp;$A22,'Relatório Custo'!$W:$W),0)</f>
        <v>0</v>
      </c>
      <c r="C22" s="35">
        <f>IF(A22&lt;='Indicadores Financeiros'!$F$13,SUMIF('Relatório Custo'!$F:$F,"&lt;="&amp;$A22,'Relatório Custo'!$Z:$Z),0)</f>
        <v>0</v>
      </c>
      <c r="D22" s="35">
        <f>IF(A22&lt;='Indicadores Financeiros'!$F$13,SUMIF('Relatório Custo'!$F:$F,"&lt;="&amp;$A22,'Relatório Custo'!$AB:$AB),0)</f>
        <v>0</v>
      </c>
      <c r="E22" s="33"/>
    </row>
    <row r="23" spans="1:5" x14ac:dyDescent="0.25">
      <c r="A23" s="4">
        <f t="shared" ref="A23:A26" si="0">A22+1</f>
        <v>21</v>
      </c>
      <c r="B23" s="35">
        <f>IF(A23&lt;='Indicadores Financeiros'!$F$13,SUMIF('Relatório Custo'!$F:$F,"&lt;="&amp;$A23,'Relatório Custo'!$W:$W),0)</f>
        <v>0</v>
      </c>
      <c r="C23" s="35">
        <f>IF(A23&lt;='Indicadores Financeiros'!$F$13,SUMIF('Relatório Custo'!$F:$F,"&lt;="&amp;$A23,'Relatório Custo'!$Z:$Z),0)</f>
        <v>0</v>
      </c>
      <c r="D23" s="35">
        <f>IF(A23&lt;='Indicadores Financeiros'!$F$13,SUMIF('Relatório Custo'!$F:$F,"&lt;="&amp;$A23,'Relatório Custo'!$AB:$AB),0)</f>
        <v>0</v>
      </c>
      <c r="E23" s="33"/>
    </row>
    <row r="24" spans="1:5" x14ac:dyDescent="0.25">
      <c r="A24" s="4">
        <f t="shared" si="0"/>
        <v>22</v>
      </c>
      <c r="B24" s="35">
        <f>IF(A24&lt;='Indicadores Financeiros'!$F$13,SUMIF('Relatório Custo'!$F:$F,"&lt;="&amp;$A24,'Relatório Custo'!$W:$W),0)</f>
        <v>0</v>
      </c>
      <c r="C24" s="35">
        <f>IF(A24&lt;='Indicadores Financeiros'!$F$13,SUMIF('Relatório Custo'!$F:$F,"&lt;="&amp;$A24,'Relatório Custo'!$Z:$Z),0)</f>
        <v>0</v>
      </c>
      <c r="D24" s="35">
        <f>IF(A24&lt;='Indicadores Financeiros'!$F$13,SUMIF('Relatório Custo'!$F:$F,"&lt;="&amp;$A24,'Relatório Custo'!$AB:$AB),0)</f>
        <v>0</v>
      </c>
      <c r="E24" s="33"/>
    </row>
    <row r="25" spans="1:5" x14ac:dyDescent="0.25">
      <c r="A25" s="4">
        <f t="shared" si="0"/>
        <v>23</v>
      </c>
      <c r="B25" s="35">
        <f>IF(A25&lt;='Indicadores Financeiros'!$F$13,SUMIF('Relatório Custo'!$F:$F,"&lt;="&amp;$A25,'Relatório Custo'!$W:$W),0)</f>
        <v>0</v>
      </c>
      <c r="C25" s="35">
        <f>IF(A25&lt;='Indicadores Financeiros'!$F$13,SUMIF('Relatório Custo'!$F:$F,"&lt;="&amp;$A25,'Relatório Custo'!$Z:$Z),0)</f>
        <v>0</v>
      </c>
      <c r="D25" s="35">
        <f>IF(A25&lt;='Indicadores Financeiros'!$F$13,SUMIF('Relatório Custo'!$F:$F,"&lt;="&amp;$A25,'Relatório Custo'!$AB:$AB),0)</f>
        <v>0</v>
      </c>
      <c r="E25" s="33"/>
    </row>
    <row r="26" spans="1:5" x14ac:dyDescent="0.25">
      <c r="A26" s="4">
        <f t="shared" si="0"/>
        <v>24</v>
      </c>
      <c r="B26" s="35">
        <f>IF(A26&lt;='Indicadores Financeiros'!$F$13,SUMIF('Relatório Custo'!$F:$F,"&lt;="&amp;$A26,'Relatório Custo'!$W:$W),0)</f>
        <v>0</v>
      </c>
      <c r="C26" s="35">
        <f>IF(A26&lt;='Indicadores Financeiros'!$F$13,SUMIF('Relatório Custo'!$F:$F,"&lt;="&amp;$A26,'Relatório Custo'!$Z:$Z),0)</f>
        <v>0</v>
      </c>
      <c r="D26" s="35">
        <f>IF(A26&lt;='Indicadores Financeiros'!$F$13,SUMIF('Relatório Custo'!$F:$F,"&lt;="&amp;$A26,'Relatório Custo'!$AB:$AB),0)</f>
        <v>0</v>
      </c>
      <c r="E26" s="33"/>
    </row>
    <row r="27" spans="1:5" x14ac:dyDescent="0.25">
      <c r="A27" s="37" t="s">
        <v>151</v>
      </c>
      <c r="B27" s="36">
        <f>SUM(B3:B26)</f>
        <v>0</v>
      </c>
      <c r="C27" s="36">
        <f>SUM(C3:C26)</f>
        <v>0</v>
      </c>
      <c r="D27" s="36">
        <f>SUM(D3:D26)</f>
        <v>0</v>
      </c>
      <c r="E27" s="2"/>
    </row>
    <row r="28" spans="1:5" x14ac:dyDescent="0.25">
      <c r="A28" s="34"/>
      <c r="B28" s="94">
        <f>B27-'Relatório Custo'!$X$13</f>
        <v>0</v>
      </c>
      <c r="C28" s="34"/>
      <c r="D28" s="94">
        <f>D3-'Relatório Custo'!AB13</f>
        <v>0</v>
      </c>
    </row>
  </sheetData>
  <sheetProtection algorithmName="SHA-512" hashValue="iodMu9tFnkIZPBp97w/m4zQ6FLiA1rpYoUHq6+vSTh3BXSow+ZbxXTQvv9kNQ/L2y2tycc/NMkjxRdMfbP4k3g==" saltValue="9tGckYW4USdpNlT3BSOBjA==" spinCount="100000" sheet="1" objects="1" scenarios="1"/>
  <mergeCells count="1">
    <mergeCell ref="A1:D1"/>
  </mergeCells>
  <printOptions horizontalCentered="1"/>
  <pageMargins left="1.1417322834645669" right="0.51181102362204722" top="0.98425196850393704" bottom="0.78740157480314965" header="0.31496062992125984" footer="0.31496062992125984"/>
  <pageSetup paperSize="9" scale="85" orientation="portrait" r:id="rId1"/>
  <headerFooter>
    <oddHeader>&amp;C&amp;"-,Negrito"PLANILHA DE COMPOSIÇÃO DE CUSTOS
CRONOGRAMA FÍSICO FINANCEIRO</oddHeader>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BU566"/>
  <sheetViews>
    <sheetView showGridLines="0" zoomScaleNormal="100" workbookViewId="0">
      <pane xSplit="1" ySplit="7" topLeftCell="B11" activePane="bottomRight" state="frozen"/>
      <selection pane="topRight" activeCell="P23" sqref="P23"/>
      <selection pane="bottomLeft" activeCell="P23" sqref="P23"/>
      <selection pane="bottomRight" activeCell="F17" sqref="F17"/>
    </sheetView>
  </sheetViews>
  <sheetFormatPr defaultColWidth="8.85546875" defaultRowHeight="12.75" x14ac:dyDescent="0.2"/>
  <cols>
    <col min="1" max="1" width="47.140625" style="82" bestFit="1" customWidth="1"/>
    <col min="2" max="2" width="27" style="82" bestFit="1" customWidth="1"/>
    <col min="3" max="3" width="26.85546875" style="82" bestFit="1" customWidth="1"/>
    <col min="4" max="72" width="8.85546875" style="85"/>
    <col min="73" max="16384" width="8.85546875" style="82"/>
  </cols>
  <sheetData>
    <row r="1" spans="1:73" ht="18.75" customHeight="1" x14ac:dyDescent="0.2">
      <c r="A1" s="359" t="s">
        <v>157</v>
      </c>
      <c r="B1" s="360"/>
      <c r="C1" s="159"/>
      <c r="D1" s="157"/>
    </row>
    <row r="2" spans="1:73" x14ac:dyDescent="0.2">
      <c r="A2" s="139" t="s">
        <v>127</v>
      </c>
      <c r="B2" s="137"/>
      <c r="C2" s="137"/>
    </row>
    <row r="3" spans="1:73" ht="15" x14ac:dyDescent="0.2">
      <c r="A3" s="140" t="s">
        <v>300</v>
      </c>
    </row>
    <row r="4" spans="1:73" x14ac:dyDescent="0.2">
      <c r="A4" s="141" t="s">
        <v>158</v>
      </c>
    </row>
    <row r="5" spans="1:73" x14ac:dyDescent="0.2">
      <c r="A5" s="144">
        <f>'Indicadores Financeiros'!$F$13</f>
        <v>24</v>
      </c>
    </row>
    <row r="6" spans="1:73" x14ac:dyDescent="0.2">
      <c r="A6" s="142"/>
      <c r="B6" s="138"/>
      <c r="C6" s="138"/>
      <c r="D6" s="143"/>
      <c r="E6" s="143"/>
      <c r="F6" s="143"/>
      <c r="G6" s="143"/>
      <c r="H6" s="143"/>
      <c r="I6" s="143"/>
      <c r="J6" s="143"/>
      <c r="K6" s="143"/>
      <c r="L6" s="143"/>
      <c r="M6" s="143"/>
      <c r="N6" s="143"/>
      <c r="O6" s="143"/>
      <c r="P6" s="143"/>
      <c r="Q6" s="143"/>
      <c r="R6" s="143"/>
      <c r="S6" s="143"/>
      <c r="T6" s="143"/>
      <c r="U6" s="143"/>
      <c r="V6" s="143"/>
      <c r="W6" s="143"/>
      <c r="X6" s="143"/>
      <c r="Y6" s="143"/>
      <c r="Z6" s="143"/>
      <c r="AA6" s="143"/>
      <c r="AB6" s="143"/>
      <c r="AC6" s="143"/>
      <c r="AD6" s="143"/>
      <c r="AE6" s="143"/>
      <c r="AF6" s="143"/>
      <c r="AG6" s="143"/>
      <c r="AH6" s="143"/>
      <c r="AI6" s="143"/>
      <c r="AJ6" s="143"/>
      <c r="AK6" s="143"/>
      <c r="AL6" s="143"/>
      <c r="AM6" s="143"/>
      <c r="AN6" s="143"/>
      <c r="AO6" s="143"/>
      <c r="AP6" s="143"/>
      <c r="AQ6" s="143"/>
      <c r="AR6" s="143"/>
      <c r="AS6" s="143"/>
      <c r="AT6" s="143"/>
      <c r="AU6" s="143"/>
      <c r="AV6" s="143"/>
      <c r="AW6" s="143"/>
      <c r="AX6" s="143"/>
      <c r="AY6" s="143"/>
      <c r="AZ6" s="143"/>
      <c r="BA6" s="143"/>
      <c r="BB6" s="143"/>
      <c r="BC6" s="143"/>
      <c r="BD6" s="143"/>
      <c r="BE6" s="143"/>
      <c r="BF6" s="143"/>
      <c r="BG6" s="143"/>
      <c r="BH6" s="143"/>
      <c r="BI6" s="143"/>
      <c r="BJ6" s="143"/>
      <c r="BK6" s="143"/>
      <c r="BL6" s="143"/>
      <c r="BM6" s="143"/>
      <c r="BN6" s="143"/>
      <c r="BO6" s="143"/>
      <c r="BP6" s="143"/>
      <c r="BQ6" s="143"/>
      <c r="BR6" s="143"/>
      <c r="BS6" s="143"/>
      <c r="BT6" s="143"/>
    </row>
    <row r="7" spans="1:73" ht="23.25" customHeight="1" x14ac:dyDescent="0.2">
      <c r="A7" s="123" t="s">
        <v>159</v>
      </c>
      <c r="B7" s="117">
        <v>680019</v>
      </c>
      <c r="C7" s="117">
        <v>680020</v>
      </c>
      <c r="BU7" s="85"/>
    </row>
    <row r="8" spans="1:73" ht="51" x14ac:dyDescent="0.2">
      <c r="A8" s="115" t="s">
        <v>160</v>
      </c>
      <c r="B8" s="118" t="str">
        <f>IFERROR(VLOOKUP(B7,'Indicadores Financeiros'!$A$96:$J$97,2,FALSE),"-")</f>
        <v>Porteiro/Controlador de Acesso - com almocista (repositor) - 08 horas diárias - diurno - segunda a domingo</v>
      </c>
      <c r="C8" s="118" t="str">
        <f>IFERROR(VLOOKUP(C7,'Indicadores Financeiros'!$A$96:$J$97,2,FALSE),"-")</f>
        <v>Porteiro/Controlador de Acesso - com almocista (repositor) - 44 horas semanais - diurno - segunda a sexta</v>
      </c>
      <c r="BU8" s="85"/>
    </row>
    <row r="9" spans="1:73" x14ac:dyDescent="0.2">
      <c r="A9" s="119" t="s">
        <v>112</v>
      </c>
      <c r="B9" s="120" t="str">
        <f>IFERROR(VLOOKUP(B$7,'Indicadores Financeiros'!$A$96:$J$97,3,FALSE),"-")</f>
        <v>Posto/Dia</v>
      </c>
      <c r="C9" s="120" t="str">
        <f>IFERROR(VLOOKUP(C$7,'Indicadores Financeiros'!$A$96:$J$97,3,FALSE),"-")</f>
        <v>Posto/Dia</v>
      </c>
      <c r="BU9" s="85"/>
    </row>
    <row r="10" spans="1:73" x14ac:dyDescent="0.2">
      <c r="A10" s="119" t="s">
        <v>161</v>
      </c>
      <c r="B10" s="120">
        <f>IFERROR(VLOOKUP(B$7,'Indicadores Financeiros'!$A$96:$J$97,6,FALSE),"-")</f>
        <v>1.29</v>
      </c>
      <c r="C10" s="120">
        <f>IFERROR(VLOOKUP(C$7,'Indicadores Financeiros'!$A$96:$J$97,6,FALSE),"-")</f>
        <v>1</v>
      </c>
      <c r="BU10" s="85"/>
    </row>
    <row r="11" spans="1:73" x14ac:dyDescent="0.2">
      <c r="A11" s="119" t="s">
        <v>162</v>
      </c>
      <c r="B11" s="156">
        <f>'Indicadores Financeiros'!J73</f>
        <v>29.03</v>
      </c>
      <c r="C11" s="156">
        <f>'Indicadores Financeiros'!J74</f>
        <v>20.75</v>
      </c>
      <c r="BU11" s="85"/>
    </row>
    <row r="12" spans="1:73" x14ac:dyDescent="0.2">
      <c r="A12" s="119" t="s">
        <v>163</v>
      </c>
      <c r="B12" s="156">
        <f>SUMIFS('Relatório Custo'!$I:$I,'Relatório Custo'!$B:$B,'Resumo por Localidade'!$A$3,'Relatório Custo'!$C:$C,'Resumo por Localidade'!B$7)</f>
        <v>0</v>
      </c>
      <c r="C12" s="156">
        <f>SUMIFS('Relatório Custo'!$I:$I,'Relatório Custo'!$B:$B,'Resumo por Localidade'!$A$3,'Relatório Custo'!$C:$C,'Resumo por Localidade'!C$7)</f>
        <v>21</v>
      </c>
      <c r="BU12" s="85"/>
    </row>
    <row r="13" spans="1:73" s="93" customFormat="1" x14ac:dyDescent="0.2">
      <c r="A13" s="121" t="s">
        <v>164</v>
      </c>
      <c r="B13" s="122">
        <f>SUMIFS('Relatório Custo'!$J:$J,'Relatório Custo'!$B:$B,'Resumo por Localidade'!$A$3,'Relatório Custo'!$C:$C,'Resumo por Localidade'!B$7)</f>
        <v>0</v>
      </c>
      <c r="C13" s="122">
        <f>SUMIFS('Relatório Custo'!$J:$J,'Relatório Custo'!$B:$B,'Resumo por Localidade'!$A$3,'Relatório Custo'!$C:$C,'Resumo por Localidade'!C$7)</f>
        <v>4</v>
      </c>
      <c r="D13" s="92"/>
      <c r="E13" s="92"/>
      <c r="F13" s="92"/>
      <c r="G13" s="92"/>
      <c r="H13" s="92"/>
      <c r="I13" s="92"/>
      <c r="J13" s="92"/>
      <c r="K13" s="92"/>
      <c r="L13" s="92"/>
      <c r="M13" s="92"/>
      <c r="N13" s="92"/>
      <c r="O13" s="92"/>
      <c r="P13" s="92"/>
      <c r="Q13" s="92"/>
      <c r="R13" s="92"/>
      <c r="S13" s="92"/>
      <c r="T13" s="92"/>
      <c r="U13" s="92"/>
      <c r="V13" s="92"/>
      <c r="W13" s="92"/>
      <c r="X13" s="92"/>
      <c r="Y13" s="92"/>
      <c r="Z13" s="92"/>
      <c r="AA13" s="92"/>
      <c r="AB13" s="92"/>
      <c r="AC13" s="92"/>
      <c r="AD13" s="92"/>
      <c r="AE13" s="92"/>
      <c r="AF13" s="92"/>
      <c r="AG13" s="92"/>
      <c r="AH13" s="92"/>
      <c r="AI13" s="92"/>
      <c r="AJ13" s="92"/>
      <c r="AK13" s="92"/>
      <c r="AL13" s="92"/>
      <c r="AM13" s="92"/>
      <c r="AN13" s="92"/>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row>
    <row r="14" spans="1:73" x14ac:dyDescent="0.2">
      <c r="A14" s="119" t="s">
        <v>165</v>
      </c>
      <c r="B14" s="115">
        <f>SUMIFS('Relatório Custo'!$K:$K,'Relatório Custo'!$B:$B,'Resumo por Localidade'!$A$3,'Relatório Custo'!$C:$C,'Resumo por Localidade'!B$7)</f>
        <v>0</v>
      </c>
      <c r="C14" s="270">
        <f>SUMIFS('Relatório Custo'!$K:$K,'Relatório Custo'!$B:$B,'Resumo por Localidade'!$A$3,'Relatório Custo'!$C:$C,'Resumo por Localidade'!C$7)</f>
        <v>84</v>
      </c>
      <c r="BU14" s="85"/>
    </row>
    <row r="15" spans="1:73" x14ac:dyDescent="0.2">
      <c r="A15" s="119" t="s">
        <v>166</v>
      </c>
      <c r="B15" s="120">
        <f>IF(B13&gt;0,VLOOKUP($A$3,'Indicadores Financeiros'!$B$101:$J$210,9,FALSE),0)</f>
        <v>0</v>
      </c>
      <c r="C15" s="120">
        <f>IF(C13&gt;0,VLOOKUP($A$3,'Indicadores Financeiros'!$B$101:$J$210,9,FALSE),0)</f>
        <v>1</v>
      </c>
      <c r="BU15" s="85"/>
    </row>
    <row r="16" spans="1:73" x14ac:dyDescent="0.2">
      <c r="A16" s="89"/>
      <c r="B16" s="90"/>
      <c r="C16" s="90"/>
      <c r="BU16" s="85"/>
    </row>
    <row r="17" spans="1:73" x14ac:dyDescent="0.2">
      <c r="A17" s="116" t="s">
        <v>167</v>
      </c>
      <c r="B17" s="123" t="s">
        <v>97</v>
      </c>
      <c r="C17" s="123" t="s">
        <v>97</v>
      </c>
      <c r="BU17" s="85"/>
    </row>
    <row r="18" spans="1:73" x14ac:dyDescent="0.2">
      <c r="A18" s="119" t="s">
        <v>94</v>
      </c>
      <c r="B18" s="124">
        <f>IF(B13=0,0,'Indicadores Financeiros'!$J$82)</f>
        <v>0</v>
      </c>
      <c r="C18" s="124">
        <f>IF(C13=0,0,'Indicadores Financeiros'!$J$82)</f>
        <v>0</v>
      </c>
      <c r="BU18" s="85"/>
    </row>
    <row r="19" spans="1:73" x14ac:dyDescent="0.2">
      <c r="A19" s="119" t="s">
        <v>146</v>
      </c>
      <c r="B19" s="124">
        <f>(B10-1)*B18</f>
        <v>0</v>
      </c>
      <c r="C19" s="124">
        <f>(C10-1)*C18</f>
        <v>0</v>
      </c>
      <c r="BU19" s="85"/>
    </row>
    <row r="20" spans="1:73" x14ac:dyDescent="0.2">
      <c r="A20" s="125" t="s">
        <v>168</v>
      </c>
      <c r="B20" s="126">
        <f>ROUND(SUM(B18:B19),2)</f>
        <v>0</v>
      </c>
      <c r="C20" s="126">
        <f>ROUND(SUM(C18:C19),2)</f>
        <v>0</v>
      </c>
      <c r="BU20" s="85"/>
    </row>
    <row r="21" spans="1:73" x14ac:dyDescent="0.2">
      <c r="A21" s="119" t="s">
        <v>169</v>
      </c>
      <c r="B21" s="127">
        <f>IF(B13=0,0,'Indicadores Financeiros'!$J$62)</f>
        <v>0</v>
      </c>
      <c r="C21" s="127">
        <f>IF(C13=0,0,'Indicadores Financeiros'!$J$62)</f>
        <v>0.73041000000000011</v>
      </c>
      <c r="BU21" s="85"/>
    </row>
    <row r="22" spans="1:73" x14ac:dyDescent="0.2">
      <c r="A22" s="125" t="s">
        <v>168</v>
      </c>
      <c r="B22" s="126">
        <f t="shared" ref="B22:C22" si="0">ROUND(B20*B21,2)</f>
        <v>0</v>
      </c>
      <c r="C22" s="126">
        <f t="shared" si="0"/>
        <v>0</v>
      </c>
      <c r="BU22" s="85"/>
    </row>
    <row r="23" spans="1:73" x14ac:dyDescent="0.2">
      <c r="A23" s="125" t="s">
        <v>170</v>
      </c>
      <c r="B23" s="126">
        <f>ROUND(B20+B22,2)</f>
        <v>0</v>
      </c>
      <c r="C23" s="126">
        <f>ROUND(C20+C22,2)</f>
        <v>0</v>
      </c>
      <c r="BU23" s="85"/>
    </row>
    <row r="24" spans="1:73" x14ac:dyDescent="0.2">
      <c r="A24" s="89"/>
      <c r="B24" s="90"/>
      <c r="C24" s="90"/>
      <c r="BU24" s="85"/>
    </row>
    <row r="25" spans="1:73" x14ac:dyDescent="0.2">
      <c r="A25" s="128" t="s">
        <v>171</v>
      </c>
      <c r="B25" s="123" t="s">
        <v>97</v>
      </c>
      <c r="C25" s="123" t="s">
        <v>97</v>
      </c>
      <c r="E25" s="88"/>
      <c r="BU25" s="85"/>
    </row>
    <row r="26" spans="1:73" x14ac:dyDescent="0.2">
      <c r="A26" s="129" t="s">
        <v>96</v>
      </c>
      <c r="B26" s="124">
        <f>IF($B$13=0,0,'Indicadores Financeiros'!$J$84)</f>
        <v>0</v>
      </c>
      <c r="C26" s="124">
        <f>IF($C$13=0,0,'Indicadores Financeiros'!$J$84)</f>
        <v>0</v>
      </c>
      <c r="BU26" s="85"/>
    </row>
    <row r="27" spans="1:73" x14ac:dyDescent="0.2">
      <c r="A27" s="119" t="s">
        <v>99</v>
      </c>
      <c r="B27" s="124">
        <f>IF($B$13=0,0,'Indicadores Financeiros'!$J$85)</f>
        <v>0</v>
      </c>
      <c r="C27" s="124">
        <f>IF($C$13=0,0,'Indicadores Financeiros'!$J$85)</f>
        <v>0</v>
      </c>
      <c r="E27" s="88">
        <f>E26-E25</f>
        <v>0</v>
      </c>
      <c r="BU27" s="85"/>
    </row>
    <row r="28" spans="1:73" x14ac:dyDescent="0.2">
      <c r="A28" s="129" t="s">
        <v>100</v>
      </c>
      <c r="B28" s="124">
        <f>IF($B$13=0,0,'Indicadores Financeiros'!$J$86)</f>
        <v>0</v>
      </c>
      <c r="C28" s="124">
        <f>IF($C$13=0,0,'Indicadores Financeiros'!$J$86)</f>
        <v>0</v>
      </c>
      <c r="BU28" s="85"/>
    </row>
    <row r="29" spans="1:73" x14ac:dyDescent="0.2">
      <c r="A29" s="129" t="s">
        <v>101</v>
      </c>
      <c r="B29" s="124">
        <f>IF($B$13=0,0,'Indicadores Financeiros'!$J$87)</f>
        <v>0</v>
      </c>
      <c r="C29" s="124">
        <f>IF($C$13=0,0,'Indicadores Financeiros'!$J$87)</f>
        <v>0</v>
      </c>
      <c r="BU29" s="85"/>
    </row>
    <row r="30" spans="1:73" x14ac:dyDescent="0.2">
      <c r="A30" s="129" t="s">
        <v>102</v>
      </c>
      <c r="B30" s="124">
        <f>IF($B$13=0,0,'Indicadores Financeiros'!$J$88)</f>
        <v>0</v>
      </c>
      <c r="C30" s="124">
        <f>IF($C$13=0,0,'Indicadores Financeiros'!$J$88)</f>
        <v>0</v>
      </c>
      <c r="BU30" s="85"/>
    </row>
    <row r="31" spans="1:73" x14ac:dyDescent="0.2">
      <c r="A31" s="129" t="s">
        <v>172</v>
      </c>
      <c r="B31" s="124">
        <f>IF($B$13=0,0,'Indicadores Financeiros'!$J$89)</f>
        <v>0</v>
      </c>
      <c r="C31" s="124">
        <f>IF($C$13=0,0,'Indicadores Financeiros'!$J$89)</f>
        <v>0</v>
      </c>
      <c r="BU31" s="85"/>
    </row>
    <row r="32" spans="1:73" x14ac:dyDescent="0.2">
      <c r="A32" s="269" t="str">
        <f>'Indicadores Financeiros'!$B$90</f>
        <v>Outros (especificar)</v>
      </c>
      <c r="B32" s="124">
        <f>IF($B$13=0,0,'Indicadores Financeiros'!$J$90)</f>
        <v>0</v>
      </c>
      <c r="C32" s="124">
        <f>IF($C$13=0,0,'Indicadores Financeiros'!$J$90)</f>
        <v>0</v>
      </c>
      <c r="BU32" s="85"/>
    </row>
    <row r="33" spans="1:73" x14ac:dyDescent="0.2">
      <c r="A33" s="129" t="s">
        <v>173</v>
      </c>
      <c r="B33" s="124">
        <f>IF($B$13=0,0,'Indicadores Financeiros'!$J$91)*B11</f>
        <v>0</v>
      </c>
      <c r="C33" s="124">
        <f>IF($C$13=0,0,'Indicadores Financeiros'!$J$91)*C11</f>
        <v>0</v>
      </c>
      <c r="BU33" s="85"/>
    </row>
    <row r="34" spans="1:73" x14ac:dyDescent="0.2">
      <c r="A34" s="129" t="s">
        <v>174</v>
      </c>
      <c r="B34" s="124">
        <f>IF($B$13=0,0,IF(ROUND((VLOOKUP($A$3,'Indicadores Financeiros'!$B$101:$J$109,8,FALSE)*B$11)-(B$18*6%),2)&lt;=0,0,ROUND((VLOOKUP($A$3,'Indicadores Financeiros'!$B$101:$J$109,8,FALSE)*B$11)-(B$18*6%),2)))</f>
        <v>0</v>
      </c>
      <c r="C34" s="124">
        <f>IF($C$13=0,0,IF(ROUND((VLOOKUP($A$3,'Indicadores Financeiros'!$B$101:$J$109,8,FALSE)*C$11)-(C$18*6%),2)&lt;=0,0,ROUND((VLOOKUP($A$3,'Indicadores Financeiros'!$B$101:$J$109,8,FALSE)*C$11)-(C$18*6%),2)))</f>
        <v>0</v>
      </c>
      <c r="F34" s="88"/>
      <c r="BU34" s="85"/>
    </row>
    <row r="35" spans="1:73" x14ac:dyDescent="0.2">
      <c r="A35" s="129" t="s">
        <v>175</v>
      </c>
      <c r="B35" s="124">
        <f>IF($B$13=0,0,'Indicadores Financeiros'!$J$92)</f>
        <v>0</v>
      </c>
      <c r="C35" s="124">
        <f>IF($C$13=0,0,'Indicadores Financeiros'!$J$92)</f>
        <v>0</v>
      </c>
      <c r="F35" s="88"/>
      <c r="BU35" s="85"/>
    </row>
    <row r="36" spans="1:73" x14ac:dyDescent="0.2">
      <c r="A36" s="125" t="s">
        <v>168</v>
      </c>
      <c r="B36" s="130">
        <f>ROUND(SUM(B26:B35),2)</f>
        <v>0</v>
      </c>
      <c r="C36" s="130">
        <f>ROUND(SUM(C26:C35),2)</f>
        <v>0</v>
      </c>
      <c r="BU36" s="85"/>
    </row>
    <row r="37" spans="1:73" x14ac:dyDescent="0.2">
      <c r="A37" s="89"/>
      <c r="B37" s="90"/>
      <c r="C37" s="90"/>
      <c r="BU37" s="85"/>
    </row>
    <row r="38" spans="1:73" x14ac:dyDescent="0.2">
      <c r="A38" s="128" t="s">
        <v>176</v>
      </c>
      <c r="B38" s="123" t="s">
        <v>97</v>
      </c>
      <c r="C38" s="123" t="s">
        <v>97</v>
      </c>
      <c r="BU38" s="85"/>
    </row>
    <row r="39" spans="1:73" x14ac:dyDescent="0.2">
      <c r="A39" s="119" t="s">
        <v>177</v>
      </c>
      <c r="B39" s="124">
        <f>IF(B13=0,0,VLOOKUP(B$7,'Indicadores Financeiros'!$A$96:$J$97,9,FALSE)+VLOOKUP(B$7,'Indicadores Financeiros'!$A$96:$J$97,8,FALSE))</f>
        <v>0</v>
      </c>
      <c r="C39" s="124">
        <f>IF(C13=0,0,VLOOKUP(C$7,'Indicadores Financeiros'!$A$96:$J$97,9,FALSE)+VLOOKUP(C$7,'Indicadores Financeiros'!$A$96:$J$97,8,FALSE))</f>
        <v>0</v>
      </c>
      <c r="BU39" s="85"/>
    </row>
    <row r="40" spans="1:73" x14ac:dyDescent="0.2">
      <c r="A40" s="125" t="s">
        <v>168</v>
      </c>
      <c r="B40" s="130">
        <f>ROUND(SUM(B39:B39),2)</f>
        <v>0</v>
      </c>
      <c r="C40" s="130">
        <f>ROUND(SUM(C39:C39),2)</f>
        <v>0</v>
      </c>
      <c r="BU40" s="85"/>
    </row>
    <row r="41" spans="1:73" x14ac:dyDescent="0.2">
      <c r="A41" s="89"/>
      <c r="B41" s="91"/>
      <c r="C41" s="91"/>
      <c r="BU41" s="85"/>
    </row>
    <row r="42" spans="1:73" x14ac:dyDescent="0.2">
      <c r="A42" s="116" t="s">
        <v>178</v>
      </c>
      <c r="B42" s="131">
        <f>ROUND(IFERROR(B36+B22+B20+B40,"-"),2)</f>
        <v>0</v>
      </c>
      <c r="C42" s="131">
        <f>ROUND(IFERROR(C36+C22+C20+C40,"-"),2)</f>
        <v>0</v>
      </c>
      <c r="BU42" s="85"/>
    </row>
    <row r="43" spans="1:73" x14ac:dyDescent="0.2">
      <c r="A43" s="89"/>
      <c r="B43" s="90"/>
      <c r="C43" s="90"/>
      <c r="BU43" s="85"/>
    </row>
    <row r="44" spans="1:73" x14ac:dyDescent="0.2">
      <c r="A44" s="125" t="s">
        <v>179</v>
      </c>
      <c r="B44" s="132">
        <f>IF(B13=0,0,ROUND(VLOOKUP(B$7,'Indicadores Financeiros'!$A$96:$J$97,5,FALSE)*B$42,2))</f>
        <v>0</v>
      </c>
      <c r="C44" s="132">
        <f>IF(C13=0,0,ROUND(VLOOKUP(C$7,'Indicadores Financeiros'!$A$96:$J$97,5,FALSE)*C$42,2))</f>
        <v>0</v>
      </c>
      <c r="BU44" s="85"/>
    </row>
    <row r="45" spans="1:73" x14ac:dyDescent="0.2">
      <c r="A45" s="89"/>
      <c r="B45" s="90"/>
      <c r="C45" s="90"/>
      <c r="BU45" s="85"/>
    </row>
    <row r="46" spans="1:73" x14ac:dyDescent="0.2">
      <c r="A46" s="125" t="s">
        <v>180</v>
      </c>
      <c r="B46" s="132">
        <f>ROUND(IFERROR(B23+(B36+B40)*B10+B44,"-"),2)</f>
        <v>0</v>
      </c>
      <c r="C46" s="132">
        <f>ROUND(IFERROR(C23+(C36+C40)*C10+C44,"-"),2)</f>
        <v>0</v>
      </c>
      <c r="BU46" s="85"/>
    </row>
    <row r="47" spans="1:73" x14ac:dyDescent="0.2">
      <c r="A47" s="89"/>
      <c r="B47" s="90"/>
      <c r="C47" s="90"/>
      <c r="BU47" s="85"/>
    </row>
    <row r="48" spans="1:73" x14ac:dyDescent="0.2">
      <c r="A48" s="125" t="s">
        <v>181</v>
      </c>
      <c r="B48" s="133">
        <f>IF(B13=0,0,VLOOKUP($A$3,'Indicadores Financeiros'!$B$101:$J$210,7,FALSE))</f>
        <v>0</v>
      </c>
      <c r="C48" s="133">
        <f>IF(C13=0,0,VLOOKUP($A$3,'Indicadores Financeiros'!$B$101:$J$210,7,FALSE))</f>
        <v>2.0400000000000001E-2</v>
      </c>
      <c r="D48" s="88"/>
      <c r="BU48" s="85"/>
    </row>
    <row r="49" spans="1:73" x14ac:dyDescent="0.2">
      <c r="A49" s="89"/>
      <c r="B49" s="90"/>
      <c r="C49" s="90"/>
      <c r="D49" s="88"/>
      <c r="BU49" s="85"/>
    </row>
    <row r="50" spans="1:73" x14ac:dyDescent="0.2">
      <c r="A50" s="125" t="s">
        <v>182</v>
      </c>
      <c r="B50" s="132">
        <f>ROUND(B46*(1+B48),2)</f>
        <v>0</v>
      </c>
      <c r="C50" s="132">
        <f>ROUND(C46*(1+C48),2)</f>
        <v>0</v>
      </c>
      <c r="BU50" s="85"/>
    </row>
    <row r="51" spans="1:73" x14ac:dyDescent="0.2">
      <c r="A51" s="160"/>
      <c r="B51" s="160"/>
      <c r="C51" s="160"/>
      <c r="BU51" s="85"/>
    </row>
    <row r="52" spans="1:73" x14ac:dyDescent="0.2">
      <c r="A52" s="134" t="s">
        <v>183</v>
      </c>
      <c r="B52" s="135">
        <f>ROUND(ROUND(B46/B11,2)*(1+B48),2)</f>
        <v>0</v>
      </c>
      <c r="C52" s="135">
        <f>ROUND(ROUND(C46/C11,2)*(1+C48),2)</f>
        <v>0</v>
      </c>
      <c r="BU52" s="85"/>
    </row>
    <row r="53" spans="1:73" x14ac:dyDescent="0.2">
      <c r="A53" s="89"/>
      <c r="B53" s="90"/>
      <c r="C53" s="90"/>
      <c r="BU53" s="85"/>
    </row>
    <row r="54" spans="1:73" x14ac:dyDescent="0.2">
      <c r="A54" s="134" t="s">
        <v>184</v>
      </c>
      <c r="B54" s="135">
        <f>ROUND(B$52*B$14,2)</f>
        <v>0</v>
      </c>
      <c r="C54" s="135">
        <f>ROUND(C$52*C$14,2)</f>
        <v>0</v>
      </c>
      <c r="D54" s="88"/>
      <c r="BU54" s="85"/>
    </row>
    <row r="55" spans="1:73" x14ac:dyDescent="0.2">
      <c r="A55" s="89"/>
      <c r="B55" s="90"/>
      <c r="C55" s="90"/>
      <c r="BU55" s="85"/>
    </row>
    <row r="56" spans="1:73" x14ac:dyDescent="0.2">
      <c r="A56" s="134" t="s">
        <v>185</v>
      </c>
      <c r="B56" s="136">
        <f>ROUND(B$54*($A$5-B$15+1),2)</f>
        <v>0</v>
      </c>
      <c r="C56" s="136">
        <f>ROUND(C$54*($A$5-C$15+1),2)</f>
        <v>0</v>
      </c>
      <c r="E56" s="88"/>
      <c r="BU56" s="85"/>
    </row>
    <row r="57" spans="1:73" x14ac:dyDescent="0.2">
      <c r="A57" s="89"/>
      <c r="B57" s="90"/>
      <c r="C57" s="90"/>
      <c r="BU57" s="85"/>
    </row>
    <row r="58" spans="1:73" x14ac:dyDescent="0.2">
      <c r="A58" s="125" t="s">
        <v>186</v>
      </c>
      <c r="B58" s="132">
        <f>IF(B9="Posto/dia",ROUND(B$18*B13*B10*'Indicadores Financeiros'!$J$70,2),0)</f>
        <v>0</v>
      </c>
      <c r="C58" s="132">
        <f>IF(C9="Posto/dia",ROUND(C$18*C13*C10*'Indicadores Financeiros'!$J$70,2),0)</f>
        <v>0</v>
      </c>
      <c r="BU58" s="85"/>
    </row>
    <row r="59" spans="1:73" x14ac:dyDescent="0.2">
      <c r="A59" s="89"/>
      <c r="B59" s="90"/>
      <c r="C59" s="90"/>
      <c r="BU59" s="85"/>
    </row>
    <row r="60" spans="1:73" x14ac:dyDescent="0.2">
      <c r="A60" s="125" t="s">
        <v>187</v>
      </c>
      <c r="B60" s="132">
        <f>IF(B$9="Posto/Dia",ROUND(B$52/IF(OR(B$7=680019),540,600),2),0)</f>
        <v>0</v>
      </c>
      <c r="C60" s="132">
        <f>IF(C$9="Posto/Dia",ROUND(C$52/IF(OR(C$7=680019),540,600),2),0)</f>
        <v>0</v>
      </c>
      <c r="D60" s="86"/>
      <c r="E60" s="86"/>
      <c r="F60" s="86"/>
      <c r="G60" s="86"/>
      <c r="H60" s="86"/>
      <c r="I60" s="86"/>
      <c r="J60" s="86"/>
      <c r="K60" s="86"/>
      <c r="L60" s="86"/>
      <c r="M60" s="86"/>
      <c r="N60" s="86"/>
      <c r="O60" s="86"/>
      <c r="P60" s="86"/>
      <c r="Q60" s="86"/>
      <c r="R60" s="86"/>
      <c r="S60" s="86"/>
      <c r="T60" s="86"/>
      <c r="U60" s="86"/>
      <c r="V60" s="86"/>
      <c r="W60" s="86"/>
      <c r="X60" s="86"/>
      <c r="Y60" s="86"/>
      <c r="Z60" s="86"/>
      <c r="AA60" s="86"/>
      <c r="AB60" s="86"/>
      <c r="AC60" s="86"/>
      <c r="AD60" s="86"/>
      <c r="AE60" s="86"/>
      <c r="AF60" s="86"/>
      <c r="AG60" s="86"/>
      <c r="AH60" s="86"/>
      <c r="AI60" s="86"/>
      <c r="AJ60" s="86"/>
      <c r="AK60" s="86"/>
      <c r="AL60" s="86"/>
      <c r="AM60" s="86"/>
      <c r="AN60" s="86"/>
      <c r="AO60" s="86"/>
      <c r="AP60" s="86"/>
      <c r="AQ60" s="86"/>
      <c r="AR60" s="86"/>
      <c r="AS60" s="86"/>
      <c r="AT60" s="86"/>
      <c r="AU60" s="86"/>
      <c r="AV60" s="86"/>
      <c r="AW60" s="86"/>
      <c r="AX60" s="86"/>
      <c r="AY60" s="86"/>
      <c r="AZ60" s="86"/>
      <c r="BA60" s="86"/>
      <c r="BB60" s="86"/>
      <c r="BC60" s="86"/>
      <c r="BD60" s="86"/>
      <c r="BE60" s="86"/>
      <c r="BF60" s="86"/>
      <c r="BG60" s="86"/>
      <c r="BH60" s="86"/>
      <c r="BI60" s="86"/>
      <c r="BJ60" s="86"/>
      <c r="BK60" s="86"/>
      <c r="BL60" s="86"/>
      <c r="BM60" s="86"/>
      <c r="BN60" s="86"/>
      <c r="BO60" s="86"/>
      <c r="BP60" s="86"/>
      <c r="BQ60" s="86"/>
      <c r="BR60" s="86"/>
      <c r="BS60" s="86"/>
      <c r="BT60" s="86"/>
      <c r="BU60" s="86"/>
    </row>
    <row r="61" spans="1:73" s="85" customFormat="1" x14ac:dyDescent="0.2">
      <c r="A61" s="87"/>
      <c r="B61" s="87"/>
      <c r="C61" s="87"/>
    </row>
    <row r="62" spans="1:73" s="85" customFormat="1" x14ac:dyDescent="0.2">
      <c r="B62" s="104"/>
      <c r="C62" s="104"/>
    </row>
    <row r="63" spans="1:73" s="85" customFormat="1" x14ac:dyDescent="0.2">
      <c r="B63" s="104"/>
      <c r="C63" s="104"/>
    </row>
    <row r="64" spans="1:73" s="85" customFormat="1" x14ac:dyDescent="0.2">
      <c r="B64" s="104"/>
      <c r="C64" s="104"/>
    </row>
    <row r="65" spans="2:3" s="85" customFormat="1" x14ac:dyDescent="0.2">
      <c r="B65" s="104"/>
      <c r="C65" s="104"/>
    </row>
    <row r="66" spans="2:3" s="85" customFormat="1" x14ac:dyDescent="0.2">
      <c r="B66" s="104"/>
      <c r="C66" s="104"/>
    </row>
    <row r="67" spans="2:3" s="85" customFormat="1" x14ac:dyDescent="0.2">
      <c r="B67" s="88"/>
      <c r="C67" s="88"/>
    </row>
    <row r="68" spans="2:3" s="85" customFormat="1" x14ac:dyDescent="0.2"/>
    <row r="69" spans="2:3" s="85" customFormat="1" x14ac:dyDescent="0.2"/>
    <row r="70" spans="2:3" s="85" customFormat="1" x14ac:dyDescent="0.2"/>
    <row r="71" spans="2:3" s="85" customFormat="1" x14ac:dyDescent="0.2"/>
    <row r="72" spans="2:3" s="85" customFormat="1" x14ac:dyDescent="0.2"/>
    <row r="73" spans="2:3" s="85" customFormat="1" x14ac:dyDescent="0.2"/>
    <row r="74" spans="2:3" s="85" customFormat="1" x14ac:dyDescent="0.2"/>
    <row r="75" spans="2:3" s="85" customFormat="1" x14ac:dyDescent="0.2"/>
    <row r="76" spans="2:3" s="85" customFormat="1" x14ac:dyDescent="0.2"/>
    <row r="77" spans="2:3" s="85" customFormat="1" x14ac:dyDescent="0.2"/>
    <row r="78" spans="2:3" s="85" customFormat="1" x14ac:dyDescent="0.2"/>
    <row r="79" spans="2:3" s="85" customFormat="1" x14ac:dyDescent="0.2"/>
    <row r="80" spans="2:3" s="85" customFormat="1" x14ac:dyDescent="0.2"/>
    <row r="81" s="85" customFormat="1" x14ac:dyDescent="0.2"/>
    <row r="82" s="85" customFormat="1" x14ac:dyDescent="0.2"/>
    <row r="83" s="85" customFormat="1" x14ac:dyDescent="0.2"/>
    <row r="84" s="85" customFormat="1" x14ac:dyDescent="0.2"/>
    <row r="85" s="85" customFormat="1" x14ac:dyDescent="0.2"/>
    <row r="86" s="85" customFormat="1" x14ac:dyDescent="0.2"/>
    <row r="87" s="85" customFormat="1" x14ac:dyDescent="0.2"/>
    <row r="88" s="85" customFormat="1" x14ac:dyDescent="0.2"/>
    <row r="89" s="85" customFormat="1" x14ac:dyDescent="0.2"/>
    <row r="90" s="85" customFormat="1" x14ac:dyDescent="0.2"/>
    <row r="91" s="85" customFormat="1" x14ac:dyDescent="0.2"/>
    <row r="92" s="85" customFormat="1" x14ac:dyDescent="0.2"/>
    <row r="93" s="85" customFormat="1" x14ac:dyDescent="0.2"/>
    <row r="94" s="85" customFormat="1" x14ac:dyDescent="0.2"/>
    <row r="95" s="85" customFormat="1" x14ac:dyDescent="0.2"/>
    <row r="96" s="85" customFormat="1" x14ac:dyDescent="0.2"/>
    <row r="97" s="85" customFormat="1" x14ac:dyDescent="0.2"/>
    <row r="98" s="85" customFormat="1" x14ac:dyDescent="0.2"/>
    <row r="99" s="85" customFormat="1" x14ac:dyDescent="0.2"/>
    <row r="100" s="85" customFormat="1" x14ac:dyDescent="0.2"/>
    <row r="101" s="85" customFormat="1" x14ac:dyDescent="0.2"/>
    <row r="102" s="85" customFormat="1" x14ac:dyDescent="0.2"/>
    <row r="103" s="85" customFormat="1" x14ac:dyDescent="0.2"/>
    <row r="104" s="85" customFormat="1" x14ac:dyDescent="0.2"/>
    <row r="105" s="85" customFormat="1" x14ac:dyDescent="0.2"/>
    <row r="106" s="85" customFormat="1" x14ac:dyDescent="0.2"/>
    <row r="107" s="85" customFormat="1" x14ac:dyDescent="0.2"/>
    <row r="108" s="85" customFormat="1" x14ac:dyDescent="0.2"/>
    <row r="109" s="85" customFormat="1" x14ac:dyDescent="0.2"/>
    <row r="110" s="85" customFormat="1" x14ac:dyDescent="0.2"/>
    <row r="111" s="85" customFormat="1" x14ac:dyDescent="0.2"/>
    <row r="112" s="85" customFormat="1" x14ac:dyDescent="0.2"/>
    <row r="113" s="85" customFormat="1" x14ac:dyDescent="0.2"/>
    <row r="114" s="85" customFormat="1" x14ac:dyDescent="0.2"/>
    <row r="115" s="85" customFormat="1" x14ac:dyDescent="0.2"/>
    <row r="116" s="85" customFormat="1" x14ac:dyDescent="0.2"/>
    <row r="117" s="85" customFormat="1" x14ac:dyDescent="0.2"/>
    <row r="118" s="85" customFormat="1" x14ac:dyDescent="0.2"/>
    <row r="119" s="85" customFormat="1" x14ac:dyDescent="0.2"/>
    <row r="120" s="85" customFormat="1" x14ac:dyDescent="0.2"/>
    <row r="121" s="85" customFormat="1" x14ac:dyDescent="0.2"/>
    <row r="122" s="85" customFormat="1" x14ac:dyDescent="0.2"/>
    <row r="123" s="85" customFormat="1" x14ac:dyDescent="0.2"/>
    <row r="124" s="85" customFormat="1" x14ac:dyDescent="0.2"/>
    <row r="125" s="85" customFormat="1" x14ac:dyDescent="0.2"/>
    <row r="126" s="85" customFormat="1" x14ac:dyDescent="0.2"/>
    <row r="127" s="85" customFormat="1" x14ac:dyDescent="0.2"/>
    <row r="128" s="85" customFormat="1" x14ac:dyDescent="0.2"/>
    <row r="129" s="85" customFormat="1" x14ac:dyDescent="0.2"/>
    <row r="130" s="85" customFormat="1" x14ac:dyDescent="0.2"/>
    <row r="131" s="85" customFormat="1" x14ac:dyDescent="0.2"/>
    <row r="132" s="85" customFormat="1" x14ac:dyDescent="0.2"/>
    <row r="133" s="85" customFormat="1" x14ac:dyDescent="0.2"/>
    <row r="134" s="85" customFormat="1" x14ac:dyDescent="0.2"/>
    <row r="135" s="85" customFormat="1" x14ac:dyDescent="0.2"/>
    <row r="136" s="85" customFormat="1" x14ac:dyDescent="0.2"/>
    <row r="137" s="85" customFormat="1" x14ac:dyDescent="0.2"/>
    <row r="138" s="85" customFormat="1" x14ac:dyDescent="0.2"/>
    <row r="139" s="85" customFormat="1" x14ac:dyDescent="0.2"/>
    <row r="140" s="85" customFormat="1" x14ac:dyDescent="0.2"/>
    <row r="141" s="85" customFormat="1" x14ac:dyDescent="0.2"/>
    <row r="142" s="85" customFormat="1" x14ac:dyDescent="0.2"/>
    <row r="143" s="85" customFormat="1" x14ac:dyDescent="0.2"/>
    <row r="144" s="85" customFormat="1" x14ac:dyDescent="0.2"/>
    <row r="145" s="85" customFormat="1" x14ac:dyDescent="0.2"/>
    <row r="146" s="85" customFormat="1" x14ac:dyDescent="0.2"/>
    <row r="147" s="85" customFormat="1" x14ac:dyDescent="0.2"/>
    <row r="148" s="85" customFormat="1" x14ac:dyDescent="0.2"/>
    <row r="149" s="85" customFormat="1" x14ac:dyDescent="0.2"/>
    <row r="150" s="85" customFormat="1" x14ac:dyDescent="0.2"/>
    <row r="151" s="85" customFormat="1" x14ac:dyDescent="0.2"/>
    <row r="152" s="85" customFormat="1" x14ac:dyDescent="0.2"/>
    <row r="153" s="85" customFormat="1" x14ac:dyDescent="0.2"/>
    <row r="154" s="85" customFormat="1" x14ac:dyDescent="0.2"/>
    <row r="155" s="85" customFormat="1" x14ac:dyDescent="0.2"/>
    <row r="156" s="85" customFormat="1" x14ac:dyDescent="0.2"/>
    <row r="157" s="85" customFormat="1" x14ac:dyDescent="0.2"/>
    <row r="158" s="85" customFormat="1" x14ac:dyDescent="0.2"/>
    <row r="159" s="85" customFormat="1" x14ac:dyDescent="0.2"/>
    <row r="160" s="85" customFormat="1" x14ac:dyDescent="0.2"/>
    <row r="161" s="85" customFormat="1" x14ac:dyDescent="0.2"/>
    <row r="162" s="85" customFormat="1" x14ac:dyDescent="0.2"/>
    <row r="163" s="85" customFormat="1" x14ac:dyDescent="0.2"/>
    <row r="164" s="85" customFormat="1" x14ac:dyDescent="0.2"/>
    <row r="165" s="85" customFormat="1" x14ac:dyDescent="0.2"/>
    <row r="166" s="85" customFormat="1" x14ac:dyDescent="0.2"/>
    <row r="167" s="85" customFormat="1" x14ac:dyDescent="0.2"/>
    <row r="168" s="85" customFormat="1" x14ac:dyDescent="0.2"/>
    <row r="169" s="85" customFormat="1" x14ac:dyDescent="0.2"/>
    <row r="170" s="85" customFormat="1" x14ac:dyDescent="0.2"/>
    <row r="171" s="85" customFormat="1" x14ac:dyDescent="0.2"/>
    <row r="172" s="85" customFormat="1" x14ac:dyDescent="0.2"/>
    <row r="173" s="85" customFormat="1" x14ac:dyDescent="0.2"/>
    <row r="174" s="85" customFormat="1" x14ac:dyDescent="0.2"/>
    <row r="175" s="85" customFormat="1" x14ac:dyDescent="0.2"/>
    <row r="176" s="85" customFormat="1" x14ac:dyDescent="0.2"/>
    <row r="177" s="85" customFormat="1" x14ac:dyDescent="0.2"/>
    <row r="178" s="85" customFormat="1" x14ac:dyDescent="0.2"/>
    <row r="179" s="85" customFormat="1" x14ac:dyDescent="0.2"/>
    <row r="180" s="85" customFormat="1" x14ac:dyDescent="0.2"/>
    <row r="181" s="85" customFormat="1" x14ac:dyDescent="0.2"/>
    <row r="182" s="85" customFormat="1" x14ac:dyDescent="0.2"/>
    <row r="183" s="85" customFormat="1" x14ac:dyDescent="0.2"/>
    <row r="184" s="85" customFormat="1" x14ac:dyDescent="0.2"/>
    <row r="185" s="85" customFormat="1" x14ac:dyDescent="0.2"/>
    <row r="186" s="85" customFormat="1" x14ac:dyDescent="0.2"/>
    <row r="187" s="85" customFormat="1" x14ac:dyDescent="0.2"/>
    <row r="188" s="85" customFormat="1" x14ac:dyDescent="0.2"/>
    <row r="189" s="85" customFormat="1" x14ac:dyDescent="0.2"/>
    <row r="190" s="85" customFormat="1" x14ac:dyDescent="0.2"/>
    <row r="191" s="85" customFormat="1" x14ac:dyDescent="0.2"/>
    <row r="192" s="85" customFormat="1" x14ac:dyDescent="0.2"/>
    <row r="193" s="85" customFormat="1" x14ac:dyDescent="0.2"/>
    <row r="194" s="85" customFormat="1" x14ac:dyDescent="0.2"/>
    <row r="195" s="85" customFormat="1" x14ac:dyDescent="0.2"/>
    <row r="196" s="85" customFormat="1" x14ac:dyDescent="0.2"/>
    <row r="197" s="85" customFormat="1" x14ac:dyDescent="0.2"/>
    <row r="198" s="85" customFormat="1" x14ac:dyDescent="0.2"/>
    <row r="199" s="85" customFormat="1" x14ac:dyDescent="0.2"/>
    <row r="200" s="85" customFormat="1" x14ac:dyDescent="0.2"/>
    <row r="201" s="85" customFormat="1" x14ac:dyDescent="0.2"/>
    <row r="202" s="85" customFormat="1" x14ac:dyDescent="0.2"/>
    <row r="203" s="85" customFormat="1" x14ac:dyDescent="0.2"/>
    <row r="204" s="85" customFormat="1" x14ac:dyDescent="0.2"/>
    <row r="205" s="85" customFormat="1" x14ac:dyDescent="0.2"/>
    <row r="206" s="85" customFormat="1" x14ac:dyDescent="0.2"/>
    <row r="207" s="85" customFormat="1" x14ac:dyDescent="0.2"/>
    <row r="208" s="85" customFormat="1" x14ac:dyDescent="0.2"/>
    <row r="209" s="85" customFormat="1" x14ac:dyDescent="0.2"/>
    <row r="210" s="85" customFormat="1" x14ac:dyDescent="0.2"/>
    <row r="211" s="85" customFormat="1" x14ac:dyDescent="0.2"/>
    <row r="212" s="85" customFormat="1" x14ac:dyDescent="0.2"/>
    <row r="213" s="85" customFormat="1" x14ac:dyDescent="0.2"/>
    <row r="214" s="85" customFormat="1" x14ac:dyDescent="0.2"/>
    <row r="215" s="85" customFormat="1" x14ac:dyDescent="0.2"/>
    <row r="216" s="85" customFormat="1" x14ac:dyDescent="0.2"/>
    <row r="217" s="85" customFormat="1" x14ac:dyDescent="0.2"/>
    <row r="218" s="85" customFormat="1" x14ac:dyDescent="0.2"/>
    <row r="219" s="85" customFormat="1" x14ac:dyDescent="0.2"/>
    <row r="220" s="85" customFormat="1" x14ac:dyDescent="0.2"/>
    <row r="221" s="85" customFormat="1" x14ac:dyDescent="0.2"/>
    <row r="222" s="85" customFormat="1" x14ac:dyDescent="0.2"/>
    <row r="223" s="85" customFormat="1" x14ac:dyDescent="0.2"/>
    <row r="224" s="85" customFormat="1" x14ac:dyDescent="0.2"/>
    <row r="225" s="85" customFormat="1" x14ac:dyDescent="0.2"/>
    <row r="226" s="85" customFormat="1" x14ac:dyDescent="0.2"/>
    <row r="227" s="85" customFormat="1" x14ac:dyDescent="0.2"/>
    <row r="228" s="85" customFormat="1" x14ac:dyDescent="0.2"/>
    <row r="229" s="85" customFormat="1" x14ac:dyDescent="0.2"/>
    <row r="230" s="85" customFormat="1" x14ac:dyDescent="0.2"/>
    <row r="231" s="85" customFormat="1" x14ac:dyDescent="0.2"/>
    <row r="232" s="85" customFormat="1" x14ac:dyDescent="0.2"/>
    <row r="233" s="85" customFormat="1" x14ac:dyDescent="0.2"/>
    <row r="234" s="85" customFormat="1" x14ac:dyDescent="0.2"/>
    <row r="235" s="85" customFormat="1" x14ac:dyDescent="0.2"/>
    <row r="236" s="85" customFormat="1" x14ac:dyDescent="0.2"/>
    <row r="237" s="85" customFormat="1" x14ac:dyDescent="0.2"/>
    <row r="238" s="85" customFormat="1" x14ac:dyDescent="0.2"/>
    <row r="239" s="85" customFormat="1" x14ac:dyDescent="0.2"/>
    <row r="240" s="85" customFormat="1" x14ac:dyDescent="0.2"/>
    <row r="241" s="85" customFormat="1" x14ac:dyDescent="0.2"/>
    <row r="242" s="85" customFormat="1" x14ac:dyDescent="0.2"/>
    <row r="243" s="85" customFormat="1" x14ac:dyDescent="0.2"/>
    <row r="244" s="85" customFormat="1" x14ac:dyDescent="0.2"/>
    <row r="245" s="85" customFormat="1" x14ac:dyDescent="0.2"/>
    <row r="246" s="85" customFormat="1" x14ac:dyDescent="0.2"/>
    <row r="247" s="85" customFormat="1" x14ac:dyDescent="0.2"/>
    <row r="248" s="85" customFormat="1" x14ac:dyDescent="0.2"/>
    <row r="249" s="85" customFormat="1" x14ac:dyDescent="0.2"/>
    <row r="250" s="85" customFormat="1" x14ac:dyDescent="0.2"/>
    <row r="251" s="85" customFormat="1" x14ac:dyDescent="0.2"/>
    <row r="252" s="85" customFormat="1" x14ac:dyDescent="0.2"/>
    <row r="253" s="85" customFormat="1" x14ac:dyDescent="0.2"/>
    <row r="254" s="85" customFormat="1" x14ac:dyDescent="0.2"/>
    <row r="255" s="85" customFormat="1" x14ac:dyDescent="0.2"/>
    <row r="256" s="85" customFormat="1" x14ac:dyDescent="0.2"/>
    <row r="257" s="85" customFormat="1" x14ac:dyDescent="0.2"/>
    <row r="258" s="85" customFormat="1" x14ac:dyDescent="0.2"/>
    <row r="259" s="85" customFormat="1" x14ac:dyDescent="0.2"/>
    <row r="260" s="85" customFormat="1" x14ac:dyDescent="0.2"/>
    <row r="261" s="85" customFormat="1" x14ac:dyDescent="0.2"/>
    <row r="262" s="85" customFormat="1" x14ac:dyDescent="0.2"/>
    <row r="263" s="85" customFormat="1" x14ac:dyDescent="0.2"/>
    <row r="264" s="85" customFormat="1" x14ac:dyDescent="0.2"/>
    <row r="265" s="85" customFormat="1" x14ac:dyDescent="0.2"/>
    <row r="266" s="85" customFormat="1" x14ac:dyDescent="0.2"/>
    <row r="267" s="85" customFormat="1" x14ac:dyDescent="0.2"/>
    <row r="268" s="85" customFormat="1" x14ac:dyDescent="0.2"/>
    <row r="269" s="85" customFormat="1" x14ac:dyDescent="0.2"/>
    <row r="270" s="85" customFormat="1" x14ac:dyDescent="0.2"/>
    <row r="271" s="85" customFormat="1" x14ac:dyDescent="0.2"/>
    <row r="272" s="85" customFormat="1" x14ac:dyDescent="0.2"/>
    <row r="273" s="85" customFormat="1" x14ac:dyDescent="0.2"/>
    <row r="274" s="85" customFormat="1" x14ac:dyDescent="0.2"/>
    <row r="275" s="85" customFormat="1" x14ac:dyDescent="0.2"/>
    <row r="276" s="85" customFormat="1" x14ac:dyDescent="0.2"/>
    <row r="277" s="85" customFormat="1" x14ac:dyDescent="0.2"/>
    <row r="278" s="85" customFormat="1" x14ac:dyDescent="0.2"/>
    <row r="279" s="85" customFormat="1" x14ac:dyDescent="0.2"/>
    <row r="280" s="85" customFormat="1" x14ac:dyDescent="0.2"/>
    <row r="281" s="85" customFormat="1" x14ac:dyDescent="0.2"/>
    <row r="282" s="85" customFormat="1" x14ac:dyDescent="0.2"/>
    <row r="283" s="85" customFormat="1" x14ac:dyDescent="0.2"/>
    <row r="284" s="85" customFormat="1" x14ac:dyDescent="0.2"/>
    <row r="285" s="85" customFormat="1" x14ac:dyDescent="0.2"/>
    <row r="286" s="85" customFormat="1" x14ac:dyDescent="0.2"/>
    <row r="287" s="85" customFormat="1" x14ac:dyDescent="0.2"/>
    <row r="288" s="85" customFormat="1" x14ac:dyDescent="0.2"/>
    <row r="289" s="85" customFormat="1" x14ac:dyDescent="0.2"/>
    <row r="290" s="85" customFormat="1" x14ac:dyDescent="0.2"/>
    <row r="291" s="85" customFormat="1" x14ac:dyDescent="0.2"/>
    <row r="292" s="85" customFormat="1" x14ac:dyDescent="0.2"/>
    <row r="293" s="85" customFormat="1" x14ac:dyDescent="0.2"/>
    <row r="294" s="85" customFormat="1" x14ac:dyDescent="0.2"/>
    <row r="295" s="85" customFormat="1" x14ac:dyDescent="0.2"/>
    <row r="296" s="85" customFormat="1" x14ac:dyDescent="0.2"/>
    <row r="297" s="85" customFormat="1" x14ac:dyDescent="0.2"/>
    <row r="298" s="85" customFormat="1" x14ac:dyDescent="0.2"/>
    <row r="299" s="85" customFormat="1" x14ac:dyDescent="0.2"/>
    <row r="300" s="85" customFormat="1" x14ac:dyDescent="0.2"/>
    <row r="301" s="85" customFormat="1" x14ac:dyDescent="0.2"/>
    <row r="302" s="85" customFormat="1" x14ac:dyDescent="0.2"/>
    <row r="303" s="85" customFormat="1" x14ac:dyDescent="0.2"/>
    <row r="304" s="85" customFormat="1" x14ac:dyDescent="0.2"/>
    <row r="305" s="85" customFormat="1" x14ac:dyDescent="0.2"/>
    <row r="306" s="85" customFormat="1" x14ac:dyDescent="0.2"/>
    <row r="307" s="85" customFormat="1" x14ac:dyDescent="0.2"/>
    <row r="308" s="85" customFormat="1" x14ac:dyDescent="0.2"/>
    <row r="309" s="85" customFormat="1" x14ac:dyDescent="0.2"/>
    <row r="310" s="85" customFormat="1" x14ac:dyDescent="0.2"/>
    <row r="311" s="85" customFormat="1" x14ac:dyDescent="0.2"/>
    <row r="312" s="85" customFormat="1" x14ac:dyDescent="0.2"/>
    <row r="313" s="85" customFormat="1" x14ac:dyDescent="0.2"/>
    <row r="314" s="85" customFormat="1" x14ac:dyDescent="0.2"/>
    <row r="315" s="85" customFormat="1" x14ac:dyDescent="0.2"/>
    <row r="316" s="85" customFormat="1" x14ac:dyDescent="0.2"/>
    <row r="317" s="85" customFormat="1" x14ac:dyDescent="0.2"/>
    <row r="318" s="85" customFormat="1" x14ac:dyDescent="0.2"/>
    <row r="319" s="85" customFormat="1" x14ac:dyDescent="0.2"/>
    <row r="320" s="85" customFormat="1" x14ac:dyDescent="0.2"/>
    <row r="321" s="85" customFormat="1" x14ac:dyDescent="0.2"/>
    <row r="322" s="85" customFormat="1" x14ac:dyDescent="0.2"/>
    <row r="323" s="85" customFormat="1" x14ac:dyDescent="0.2"/>
    <row r="324" s="85" customFormat="1" x14ac:dyDescent="0.2"/>
    <row r="325" s="85" customFormat="1" x14ac:dyDescent="0.2"/>
    <row r="326" s="85" customFormat="1" x14ac:dyDescent="0.2"/>
    <row r="327" s="85" customFormat="1" x14ac:dyDescent="0.2"/>
    <row r="328" s="85" customFormat="1" x14ac:dyDescent="0.2"/>
    <row r="329" s="85" customFormat="1" x14ac:dyDescent="0.2"/>
    <row r="330" s="85" customFormat="1" x14ac:dyDescent="0.2"/>
    <row r="331" s="85" customFormat="1" x14ac:dyDescent="0.2"/>
    <row r="332" s="85" customFormat="1" x14ac:dyDescent="0.2"/>
    <row r="333" s="85" customFormat="1" x14ac:dyDescent="0.2"/>
    <row r="334" s="85" customFormat="1" x14ac:dyDescent="0.2"/>
    <row r="335" s="85" customFormat="1" x14ac:dyDescent="0.2"/>
    <row r="336" s="85" customFormat="1" x14ac:dyDescent="0.2"/>
    <row r="337" s="85" customFormat="1" x14ac:dyDescent="0.2"/>
    <row r="338" s="85" customFormat="1" x14ac:dyDescent="0.2"/>
    <row r="339" s="85" customFormat="1" x14ac:dyDescent="0.2"/>
    <row r="340" s="85" customFormat="1" x14ac:dyDescent="0.2"/>
    <row r="341" s="85" customFormat="1" x14ac:dyDescent="0.2"/>
    <row r="342" s="85" customFormat="1" x14ac:dyDescent="0.2"/>
    <row r="343" s="85" customFormat="1" x14ac:dyDescent="0.2"/>
    <row r="344" s="85" customFormat="1" x14ac:dyDescent="0.2"/>
    <row r="345" s="85" customFormat="1" x14ac:dyDescent="0.2"/>
    <row r="346" s="85" customFormat="1" x14ac:dyDescent="0.2"/>
    <row r="347" s="85" customFormat="1" x14ac:dyDescent="0.2"/>
    <row r="348" s="85" customFormat="1" x14ac:dyDescent="0.2"/>
    <row r="349" s="85" customFormat="1" x14ac:dyDescent="0.2"/>
    <row r="350" s="85" customFormat="1" x14ac:dyDescent="0.2"/>
    <row r="351" s="85" customFormat="1" x14ac:dyDescent="0.2"/>
    <row r="352" s="85" customFormat="1" x14ac:dyDescent="0.2"/>
    <row r="353" s="85" customFormat="1" x14ac:dyDescent="0.2"/>
    <row r="354" s="85" customFormat="1" x14ac:dyDescent="0.2"/>
    <row r="355" s="85" customFormat="1" x14ac:dyDescent="0.2"/>
    <row r="356" s="85" customFormat="1" x14ac:dyDescent="0.2"/>
    <row r="357" s="85" customFormat="1" x14ac:dyDescent="0.2"/>
    <row r="358" s="85" customFormat="1" x14ac:dyDescent="0.2"/>
    <row r="359" s="85" customFormat="1" x14ac:dyDescent="0.2"/>
    <row r="360" s="85" customFormat="1" x14ac:dyDescent="0.2"/>
    <row r="361" s="85" customFormat="1" x14ac:dyDescent="0.2"/>
    <row r="362" s="85" customFormat="1" x14ac:dyDescent="0.2"/>
    <row r="363" s="85" customFormat="1" x14ac:dyDescent="0.2"/>
    <row r="364" s="85" customFormat="1" x14ac:dyDescent="0.2"/>
    <row r="365" s="85" customFormat="1" x14ac:dyDescent="0.2"/>
    <row r="366" s="85" customFormat="1" x14ac:dyDescent="0.2"/>
    <row r="367" s="85" customFormat="1" x14ac:dyDescent="0.2"/>
    <row r="368" s="85" customFormat="1" x14ac:dyDescent="0.2"/>
    <row r="369" s="85" customFormat="1" x14ac:dyDescent="0.2"/>
    <row r="370" s="85" customFormat="1" x14ac:dyDescent="0.2"/>
    <row r="371" s="85" customFormat="1" x14ac:dyDescent="0.2"/>
    <row r="372" s="85" customFormat="1" x14ac:dyDescent="0.2"/>
    <row r="373" s="85" customFormat="1" x14ac:dyDescent="0.2"/>
    <row r="374" s="85" customFormat="1" x14ac:dyDescent="0.2"/>
    <row r="375" s="85" customFormat="1" x14ac:dyDescent="0.2"/>
    <row r="376" s="85" customFormat="1" x14ac:dyDescent="0.2"/>
    <row r="377" s="85" customFormat="1" x14ac:dyDescent="0.2"/>
    <row r="378" s="85" customFormat="1" x14ac:dyDescent="0.2"/>
    <row r="379" s="85" customFormat="1" x14ac:dyDescent="0.2"/>
    <row r="380" s="85" customFormat="1" x14ac:dyDescent="0.2"/>
    <row r="381" s="85" customFormat="1" x14ac:dyDescent="0.2"/>
    <row r="382" s="85" customFormat="1" x14ac:dyDescent="0.2"/>
    <row r="383" s="85" customFormat="1" x14ac:dyDescent="0.2"/>
    <row r="384" s="85" customFormat="1" x14ac:dyDescent="0.2"/>
    <row r="385" s="85" customFormat="1" x14ac:dyDescent="0.2"/>
    <row r="386" s="85" customFormat="1" x14ac:dyDescent="0.2"/>
    <row r="387" s="85" customFormat="1" x14ac:dyDescent="0.2"/>
    <row r="388" s="85" customFormat="1" x14ac:dyDescent="0.2"/>
    <row r="389" s="85" customFormat="1" x14ac:dyDescent="0.2"/>
    <row r="390" s="85" customFormat="1" x14ac:dyDescent="0.2"/>
    <row r="391" s="85" customFormat="1" x14ac:dyDescent="0.2"/>
    <row r="392" s="85" customFormat="1" x14ac:dyDescent="0.2"/>
    <row r="393" s="85" customFormat="1" x14ac:dyDescent="0.2"/>
    <row r="394" s="85" customFormat="1" x14ac:dyDescent="0.2"/>
    <row r="395" s="85" customFormat="1" x14ac:dyDescent="0.2"/>
    <row r="396" s="85" customFormat="1" x14ac:dyDescent="0.2"/>
    <row r="397" s="85" customFormat="1" x14ac:dyDescent="0.2"/>
    <row r="398" s="85" customFormat="1" x14ac:dyDescent="0.2"/>
    <row r="399" s="85" customFormat="1" x14ac:dyDescent="0.2"/>
    <row r="400" s="85" customFormat="1" x14ac:dyDescent="0.2"/>
    <row r="401" s="85" customFormat="1" x14ac:dyDescent="0.2"/>
    <row r="402" s="85" customFormat="1" x14ac:dyDescent="0.2"/>
    <row r="403" s="85" customFormat="1" x14ac:dyDescent="0.2"/>
    <row r="404" s="85" customFormat="1" x14ac:dyDescent="0.2"/>
    <row r="405" s="85" customFormat="1" x14ac:dyDescent="0.2"/>
    <row r="406" s="85" customFormat="1" x14ac:dyDescent="0.2"/>
    <row r="407" s="85" customFormat="1" x14ac:dyDescent="0.2"/>
    <row r="408" s="85" customFormat="1" x14ac:dyDescent="0.2"/>
    <row r="409" s="85" customFormat="1" x14ac:dyDescent="0.2"/>
    <row r="410" s="85" customFormat="1" x14ac:dyDescent="0.2"/>
    <row r="411" s="85" customFormat="1" x14ac:dyDescent="0.2"/>
    <row r="412" s="85" customFormat="1" x14ac:dyDescent="0.2"/>
    <row r="413" s="85" customFormat="1" x14ac:dyDescent="0.2"/>
    <row r="414" s="85" customFormat="1" x14ac:dyDescent="0.2"/>
    <row r="415" s="85" customFormat="1" x14ac:dyDescent="0.2"/>
    <row r="416" s="85" customFormat="1" x14ac:dyDescent="0.2"/>
    <row r="417" s="85" customFormat="1" x14ac:dyDescent="0.2"/>
    <row r="418" s="85" customFormat="1" x14ac:dyDescent="0.2"/>
    <row r="419" s="85" customFormat="1" x14ac:dyDescent="0.2"/>
    <row r="420" s="85" customFormat="1" x14ac:dyDescent="0.2"/>
    <row r="421" s="85" customFormat="1" x14ac:dyDescent="0.2"/>
    <row r="422" s="85" customFormat="1" x14ac:dyDescent="0.2"/>
    <row r="423" s="85" customFormat="1" x14ac:dyDescent="0.2"/>
    <row r="424" s="85" customFormat="1" x14ac:dyDescent="0.2"/>
    <row r="425" s="85" customFormat="1" x14ac:dyDescent="0.2"/>
    <row r="426" s="85" customFormat="1" x14ac:dyDescent="0.2"/>
    <row r="427" s="85" customFormat="1" x14ac:dyDescent="0.2"/>
    <row r="428" s="85" customFormat="1" x14ac:dyDescent="0.2"/>
    <row r="429" s="85" customFormat="1" x14ac:dyDescent="0.2"/>
    <row r="430" s="85" customFormat="1" x14ac:dyDescent="0.2"/>
    <row r="431" s="85" customFormat="1" x14ac:dyDescent="0.2"/>
    <row r="432" s="85" customFormat="1" x14ac:dyDescent="0.2"/>
    <row r="433" s="85" customFormat="1" x14ac:dyDescent="0.2"/>
    <row r="434" s="85" customFormat="1" x14ac:dyDescent="0.2"/>
    <row r="435" s="85" customFormat="1" x14ac:dyDescent="0.2"/>
    <row r="436" s="85" customFormat="1" x14ac:dyDescent="0.2"/>
    <row r="437" s="85" customFormat="1" x14ac:dyDescent="0.2"/>
    <row r="438" s="85" customFormat="1" x14ac:dyDescent="0.2"/>
    <row r="439" s="85" customFormat="1" x14ac:dyDescent="0.2"/>
    <row r="440" s="85" customFormat="1" x14ac:dyDescent="0.2"/>
    <row r="441" s="85" customFormat="1" x14ac:dyDescent="0.2"/>
    <row r="442" s="85" customFormat="1" x14ac:dyDescent="0.2"/>
    <row r="443" s="85" customFormat="1" x14ac:dyDescent="0.2"/>
    <row r="444" s="85" customFormat="1" x14ac:dyDescent="0.2"/>
    <row r="445" s="85" customFormat="1" x14ac:dyDescent="0.2"/>
    <row r="446" s="85" customFormat="1" x14ac:dyDescent="0.2"/>
    <row r="447" s="85" customFormat="1" x14ac:dyDescent="0.2"/>
    <row r="448" s="85" customFormat="1" x14ac:dyDescent="0.2"/>
    <row r="449" s="85" customFormat="1" x14ac:dyDescent="0.2"/>
    <row r="450" s="85" customFormat="1" x14ac:dyDescent="0.2"/>
    <row r="451" s="85" customFormat="1" x14ac:dyDescent="0.2"/>
    <row r="452" s="85" customFormat="1" x14ac:dyDescent="0.2"/>
    <row r="453" s="85" customFormat="1" x14ac:dyDescent="0.2"/>
    <row r="454" s="85" customFormat="1" x14ac:dyDescent="0.2"/>
    <row r="455" s="85" customFormat="1" x14ac:dyDescent="0.2"/>
    <row r="456" s="85" customFormat="1" x14ac:dyDescent="0.2"/>
    <row r="457" s="85" customFormat="1" x14ac:dyDescent="0.2"/>
    <row r="458" s="85" customFormat="1" x14ac:dyDescent="0.2"/>
    <row r="459" s="85" customFormat="1" x14ac:dyDescent="0.2"/>
    <row r="460" s="85" customFormat="1" x14ac:dyDescent="0.2"/>
    <row r="461" s="85" customFormat="1" x14ac:dyDescent="0.2"/>
    <row r="462" s="85" customFormat="1" x14ac:dyDescent="0.2"/>
    <row r="463" s="85" customFormat="1" x14ac:dyDescent="0.2"/>
    <row r="464" s="85" customFormat="1" x14ac:dyDescent="0.2"/>
    <row r="465" s="85" customFormat="1" x14ac:dyDescent="0.2"/>
    <row r="466" s="85" customFormat="1" x14ac:dyDescent="0.2"/>
    <row r="467" s="85" customFormat="1" x14ac:dyDescent="0.2"/>
    <row r="468" s="85" customFormat="1" x14ac:dyDescent="0.2"/>
    <row r="469" s="85" customFormat="1" x14ac:dyDescent="0.2"/>
    <row r="470" s="85" customFormat="1" x14ac:dyDescent="0.2"/>
    <row r="471" s="85" customFormat="1" x14ac:dyDescent="0.2"/>
    <row r="472" s="85" customFormat="1" x14ac:dyDescent="0.2"/>
    <row r="473" s="85" customFormat="1" x14ac:dyDescent="0.2"/>
    <row r="474" s="85" customFormat="1" x14ac:dyDescent="0.2"/>
    <row r="475" s="85" customFormat="1" x14ac:dyDescent="0.2"/>
    <row r="476" s="85" customFormat="1" x14ac:dyDescent="0.2"/>
    <row r="477" s="85" customFormat="1" x14ac:dyDescent="0.2"/>
    <row r="478" s="85" customFormat="1" x14ac:dyDescent="0.2"/>
    <row r="479" s="85" customFormat="1" x14ac:dyDescent="0.2"/>
    <row r="480" s="85" customFormat="1" x14ac:dyDescent="0.2"/>
    <row r="481" s="85" customFormat="1" x14ac:dyDescent="0.2"/>
    <row r="482" s="85" customFormat="1" x14ac:dyDescent="0.2"/>
    <row r="483" s="85" customFormat="1" x14ac:dyDescent="0.2"/>
    <row r="484" s="85" customFormat="1" x14ac:dyDescent="0.2"/>
    <row r="485" s="85" customFormat="1" x14ac:dyDescent="0.2"/>
    <row r="486" s="85" customFormat="1" x14ac:dyDescent="0.2"/>
    <row r="487" s="85" customFormat="1" x14ac:dyDescent="0.2"/>
    <row r="488" s="85" customFormat="1" x14ac:dyDescent="0.2"/>
    <row r="489" s="85" customFormat="1" x14ac:dyDescent="0.2"/>
    <row r="490" s="85" customFormat="1" x14ac:dyDescent="0.2"/>
    <row r="491" s="85" customFormat="1" x14ac:dyDescent="0.2"/>
    <row r="492" s="85" customFormat="1" x14ac:dyDescent="0.2"/>
    <row r="493" s="85" customFormat="1" x14ac:dyDescent="0.2"/>
    <row r="494" s="85" customFormat="1" x14ac:dyDescent="0.2"/>
    <row r="495" s="85" customFormat="1" x14ac:dyDescent="0.2"/>
    <row r="496" s="85" customFormat="1" x14ac:dyDescent="0.2"/>
    <row r="497" s="85" customFormat="1" x14ac:dyDescent="0.2"/>
    <row r="498" s="85" customFormat="1" x14ac:dyDescent="0.2"/>
    <row r="499" s="85" customFormat="1" x14ac:dyDescent="0.2"/>
    <row r="500" s="85" customFormat="1" x14ac:dyDescent="0.2"/>
    <row r="501" s="85" customFormat="1" x14ac:dyDescent="0.2"/>
    <row r="502" s="85" customFormat="1" x14ac:dyDescent="0.2"/>
    <row r="503" s="85" customFormat="1" x14ac:dyDescent="0.2"/>
    <row r="504" s="85" customFormat="1" x14ac:dyDescent="0.2"/>
    <row r="505" s="85" customFormat="1" x14ac:dyDescent="0.2"/>
    <row r="506" s="85" customFormat="1" x14ac:dyDescent="0.2"/>
    <row r="507" s="85" customFormat="1" x14ac:dyDescent="0.2"/>
    <row r="508" s="85" customFormat="1" x14ac:dyDescent="0.2"/>
    <row r="509" s="85" customFormat="1" x14ac:dyDescent="0.2"/>
    <row r="510" s="85" customFormat="1" x14ac:dyDescent="0.2"/>
    <row r="511" s="85" customFormat="1" x14ac:dyDescent="0.2"/>
    <row r="512" s="85" customFormat="1" x14ac:dyDescent="0.2"/>
    <row r="513" s="85" customFormat="1" x14ac:dyDescent="0.2"/>
    <row r="514" s="85" customFormat="1" x14ac:dyDescent="0.2"/>
    <row r="515" s="85" customFormat="1" x14ac:dyDescent="0.2"/>
    <row r="516" s="85" customFormat="1" x14ac:dyDescent="0.2"/>
    <row r="517" s="85" customFormat="1" x14ac:dyDescent="0.2"/>
    <row r="518" s="85" customFormat="1" x14ac:dyDescent="0.2"/>
    <row r="519" s="85" customFormat="1" x14ac:dyDescent="0.2"/>
    <row r="520" s="85" customFormat="1" x14ac:dyDescent="0.2"/>
    <row r="521" s="85" customFormat="1" x14ac:dyDescent="0.2"/>
    <row r="522" s="85" customFormat="1" x14ac:dyDescent="0.2"/>
    <row r="523" s="85" customFormat="1" x14ac:dyDescent="0.2"/>
    <row r="524" s="85" customFormat="1" x14ac:dyDescent="0.2"/>
    <row r="525" s="85" customFormat="1" x14ac:dyDescent="0.2"/>
    <row r="526" s="85" customFormat="1" x14ac:dyDescent="0.2"/>
    <row r="527" s="85" customFormat="1" x14ac:dyDescent="0.2"/>
    <row r="528" s="85" customFormat="1" x14ac:dyDescent="0.2"/>
    <row r="529" s="85" customFormat="1" x14ac:dyDescent="0.2"/>
    <row r="530" s="85" customFormat="1" x14ac:dyDescent="0.2"/>
    <row r="531" s="85" customFormat="1" x14ac:dyDescent="0.2"/>
    <row r="532" s="85" customFormat="1" x14ac:dyDescent="0.2"/>
    <row r="533" s="85" customFormat="1" x14ac:dyDescent="0.2"/>
    <row r="534" s="85" customFormat="1" x14ac:dyDescent="0.2"/>
    <row r="535" s="85" customFormat="1" x14ac:dyDescent="0.2"/>
    <row r="536" s="85" customFormat="1" x14ac:dyDescent="0.2"/>
    <row r="537" s="85" customFormat="1" x14ac:dyDescent="0.2"/>
    <row r="538" s="85" customFormat="1" x14ac:dyDescent="0.2"/>
    <row r="539" s="85" customFormat="1" x14ac:dyDescent="0.2"/>
    <row r="540" s="85" customFormat="1" x14ac:dyDescent="0.2"/>
    <row r="541" s="85" customFormat="1" x14ac:dyDescent="0.2"/>
    <row r="542" s="85" customFormat="1" x14ac:dyDescent="0.2"/>
    <row r="543" s="85" customFormat="1" x14ac:dyDescent="0.2"/>
    <row r="544" s="85" customFormat="1" x14ac:dyDescent="0.2"/>
    <row r="545" s="85" customFormat="1" x14ac:dyDescent="0.2"/>
    <row r="546" s="85" customFormat="1" x14ac:dyDescent="0.2"/>
    <row r="547" s="85" customFormat="1" x14ac:dyDescent="0.2"/>
    <row r="548" s="85" customFormat="1" x14ac:dyDescent="0.2"/>
    <row r="549" s="85" customFormat="1" x14ac:dyDescent="0.2"/>
    <row r="550" s="85" customFormat="1" x14ac:dyDescent="0.2"/>
    <row r="551" s="85" customFormat="1" x14ac:dyDescent="0.2"/>
    <row r="552" s="85" customFormat="1" x14ac:dyDescent="0.2"/>
    <row r="553" s="85" customFormat="1" x14ac:dyDescent="0.2"/>
    <row r="554" s="85" customFormat="1" x14ac:dyDescent="0.2"/>
    <row r="555" s="85" customFormat="1" x14ac:dyDescent="0.2"/>
    <row r="556" s="85" customFormat="1" x14ac:dyDescent="0.2"/>
    <row r="557" s="85" customFormat="1" x14ac:dyDescent="0.2"/>
    <row r="558" s="85" customFormat="1" x14ac:dyDescent="0.2"/>
    <row r="559" s="85" customFormat="1" x14ac:dyDescent="0.2"/>
    <row r="560" s="85" customFormat="1" x14ac:dyDescent="0.2"/>
    <row r="561" spans="4:72" s="85" customFormat="1" x14ac:dyDescent="0.2"/>
    <row r="562" spans="4:72" s="85" customFormat="1" x14ac:dyDescent="0.2"/>
    <row r="563" spans="4:72" s="85" customFormat="1" x14ac:dyDescent="0.2"/>
    <row r="564" spans="4:72" s="85" customFormat="1" x14ac:dyDescent="0.2"/>
    <row r="565" spans="4:72" s="85" customFormat="1" x14ac:dyDescent="0.2"/>
    <row r="566" spans="4:72" x14ac:dyDescent="0.2">
      <c r="D566" s="87"/>
      <c r="E566" s="87"/>
      <c r="F566" s="87"/>
      <c r="G566" s="87"/>
      <c r="H566" s="87"/>
      <c r="I566" s="87"/>
      <c r="J566" s="87"/>
      <c r="K566" s="87"/>
      <c r="L566" s="87"/>
      <c r="M566" s="87"/>
      <c r="N566" s="87"/>
      <c r="O566" s="87"/>
      <c r="P566" s="87"/>
      <c r="Q566" s="87"/>
      <c r="R566" s="87"/>
      <c r="S566" s="87"/>
      <c r="T566" s="87"/>
      <c r="U566" s="87"/>
      <c r="V566" s="87"/>
      <c r="W566" s="87"/>
      <c r="X566" s="87"/>
      <c r="Y566" s="87"/>
      <c r="Z566" s="87"/>
      <c r="AA566" s="87"/>
      <c r="AB566" s="87"/>
      <c r="AC566" s="87"/>
      <c r="AD566" s="87"/>
      <c r="AE566" s="87"/>
      <c r="AF566" s="87"/>
      <c r="AG566" s="87"/>
      <c r="AH566" s="87"/>
      <c r="AI566" s="87"/>
      <c r="AJ566" s="87"/>
      <c r="AK566" s="87"/>
      <c r="AL566" s="87"/>
      <c r="AM566" s="87"/>
      <c r="AN566" s="87"/>
      <c r="AO566" s="87"/>
      <c r="AP566" s="87"/>
      <c r="AQ566" s="87"/>
      <c r="AR566" s="87"/>
      <c r="AS566" s="87"/>
      <c r="AT566" s="87"/>
      <c r="AU566" s="87"/>
      <c r="AV566" s="87"/>
      <c r="AW566" s="87"/>
      <c r="AX566" s="87"/>
      <c r="AY566" s="87"/>
      <c r="AZ566" s="87"/>
      <c r="BA566" s="87"/>
      <c r="BB566" s="87"/>
      <c r="BC566" s="87"/>
      <c r="BD566" s="87"/>
      <c r="BE566" s="87"/>
      <c r="BF566" s="87"/>
      <c r="BG566" s="87"/>
      <c r="BH566" s="87"/>
      <c r="BI566" s="87"/>
      <c r="BJ566" s="87"/>
      <c r="BK566" s="87"/>
      <c r="BL566" s="87"/>
      <c r="BM566" s="87"/>
      <c r="BN566" s="87"/>
      <c r="BO566" s="87"/>
      <c r="BP566" s="87"/>
      <c r="BQ566" s="87"/>
      <c r="BR566" s="87"/>
      <c r="BS566" s="87"/>
      <c r="BT566" s="87"/>
    </row>
  </sheetData>
  <sheetProtection algorithmName="SHA-512" hashValue="my8qME23uF+SsC4GiE2+ejXqleEmN/RMc19I8y2bwy9x34kL/u/MCJNy3nuNDS/vYJZSsXrtmCcsCVOOjuKTjw==" saltValue="rOcSD9TQ7EQARB+eaP2Dsw==" spinCount="100000" sheet="1" objects="1" scenarios="1"/>
  <mergeCells count="1">
    <mergeCell ref="A1:B1"/>
  </mergeCells>
  <conditionalFormatting sqref="A3">
    <cfRule type="notContainsBlanks" dxfId="0" priority="1">
      <formula>LEN(TRIM(A3))&gt;0</formula>
    </cfRule>
  </conditionalFormatting>
  <dataValidations count="1">
    <dataValidation type="list" allowBlank="1" showInputMessage="1" showErrorMessage="1" sqref="A4" xr:uid="{00000000-0002-0000-0500-000000000000}">
      <formula1>$B$109:$B$168</formula1>
    </dataValidation>
  </dataValidations>
  <printOptions horizontalCentered="1"/>
  <pageMargins left="0.39370078740157483" right="0.23622047244094491" top="0.55118110236220474" bottom="0.59055118110236227" header="0.23622047244094491" footer="0.31496062992125984"/>
  <pageSetup paperSize="9" scale="55" orientation="portrait" r:id="rId1"/>
  <headerFooter>
    <oddFooter>&amp;C&amp;P</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'Indicadores Financeiros'!$B$101:$B$168</xm:f>
          </x14:formula1>
          <xm:sqref>A3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B1:M17"/>
  <sheetViews>
    <sheetView showGridLines="0" zoomScale="90" zoomScaleNormal="90" workbookViewId="0">
      <selection activeCell="M2" sqref="M2"/>
    </sheetView>
  </sheetViews>
  <sheetFormatPr defaultRowHeight="15" x14ac:dyDescent="0.25"/>
  <cols>
    <col min="1" max="1" width="2.28515625" customWidth="1"/>
    <col min="2" max="2" width="3.140625" customWidth="1"/>
    <col min="3" max="3" width="12.28515625" customWidth="1"/>
    <col min="10" max="10" width="13.140625" customWidth="1"/>
    <col min="11" max="11" width="3.85546875" customWidth="1"/>
    <col min="13" max="13" width="16.42578125" customWidth="1"/>
    <col min="14" max="14" width="3" customWidth="1"/>
  </cols>
  <sheetData>
    <row r="1" spans="2:13" ht="27.75" customHeight="1" thickBot="1" x14ac:dyDescent="0.3"/>
    <row r="2" spans="2:13" x14ac:dyDescent="0.25">
      <c r="B2" s="219"/>
      <c r="C2" s="220"/>
      <c r="D2" s="220"/>
      <c r="E2" s="220"/>
      <c r="F2" s="220"/>
      <c r="G2" s="220"/>
      <c r="H2" s="220"/>
      <c r="I2" s="220"/>
      <c r="J2" s="221"/>
    </row>
    <row r="3" spans="2:13" ht="21" x14ac:dyDescent="0.25">
      <c r="B3" s="222"/>
      <c r="E3" s="256" t="s">
        <v>188</v>
      </c>
      <c r="J3" s="223"/>
    </row>
    <row r="4" spans="2:13" ht="21" x14ac:dyDescent="0.25">
      <c r="B4" s="222"/>
      <c r="E4" s="255" t="s">
        <v>189</v>
      </c>
      <c r="J4" s="223"/>
    </row>
    <row r="5" spans="2:13" x14ac:dyDescent="0.25">
      <c r="B5" s="222"/>
      <c r="J5" s="223"/>
    </row>
    <row r="6" spans="2:13" ht="15" customHeight="1" x14ac:dyDescent="0.3">
      <c r="B6" s="222"/>
      <c r="C6" s="224" t="s">
        <v>190</v>
      </c>
      <c r="D6" s="224"/>
      <c r="E6" s="224"/>
      <c r="F6" s="224"/>
      <c r="G6" s="224"/>
      <c r="H6" s="224"/>
      <c r="I6" s="224"/>
      <c r="J6" s="254"/>
      <c r="K6" s="224"/>
      <c r="L6" s="224"/>
      <c r="M6" s="224"/>
    </row>
    <row r="7" spans="2:13" x14ac:dyDescent="0.25">
      <c r="B7" s="222"/>
      <c r="J7" s="223"/>
    </row>
    <row r="8" spans="2:13" x14ac:dyDescent="0.25">
      <c r="B8" s="222"/>
      <c r="C8" s="228" t="s">
        <v>191</v>
      </c>
      <c r="D8" s="228"/>
      <c r="E8" s="228"/>
      <c r="F8" s="228"/>
      <c r="G8" s="228"/>
      <c r="H8" s="228"/>
      <c r="I8" s="228"/>
      <c r="J8" s="253"/>
      <c r="K8" s="228"/>
      <c r="L8" s="228"/>
      <c r="M8" s="228"/>
    </row>
    <row r="9" spans="2:13" ht="29.25" customHeight="1" x14ac:dyDescent="0.25">
      <c r="B9" s="222"/>
      <c r="C9" s="361" t="s">
        <v>192</v>
      </c>
      <c r="D9" s="361"/>
      <c r="E9" s="361"/>
      <c r="F9" s="361"/>
      <c r="G9" s="361"/>
      <c r="H9" s="361"/>
      <c r="I9" s="361"/>
      <c r="J9" s="362"/>
      <c r="K9" s="229"/>
      <c r="L9" s="229"/>
      <c r="M9" s="229"/>
    </row>
    <row r="10" spans="2:13" ht="15" customHeight="1" x14ac:dyDescent="0.25">
      <c r="B10" s="222"/>
      <c r="J10" s="223"/>
    </row>
    <row r="11" spans="2:13" x14ac:dyDescent="0.25">
      <c r="B11" s="222"/>
      <c r="J11" s="223"/>
    </row>
    <row r="12" spans="2:13" x14ac:dyDescent="0.25">
      <c r="B12" s="222"/>
      <c r="C12" s="228" t="s">
        <v>310</v>
      </c>
      <c r="D12" s="228"/>
      <c r="E12" s="228"/>
      <c r="F12" s="228"/>
      <c r="G12" s="228"/>
      <c r="H12" s="228"/>
      <c r="I12" s="228"/>
      <c r="J12" s="253"/>
      <c r="K12" s="228"/>
      <c r="L12" s="228"/>
      <c r="M12" s="228"/>
    </row>
    <row r="13" spans="2:13" ht="32.25" customHeight="1" x14ac:dyDescent="0.25">
      <c r="B13" s="222"/>
      <c r="C13" s="361" t="s">
        <v>193</v>
      </c>
      <c r="D13" s="361"/>
      <c r="E13" s="361"/>
      <c r="F13" s="361"/>
      <c r="G13" s="361"/>
      <c r="H13" s="361"/>
      <c r="I13" s="361"/>
      <c r="J13" s="362"/>
      <c r="K13" s="229"/>
      <c r="L13" s="229"/>
      <c r="M13" s="229"/>
    </row>
    <row r="14" spans="2:13" x14ac:dyDescent="0.25">
      <c r="B14" s="222"/>
      <c r="C14" s="180"/>
      <c r="J14" s="223"/>
    </row>
    <row r="15" spans="2:13" x14ac:dyDescent="0.25">
      <c r="B15" s="222"/>
      <c r="C15" s="228" t="s">
        <v>311</v>
      </c>
      <c r="J15" s="223"/>
    </row>
    <row r="16" spans="2:13" ht="61.5" customHeight="1" x14ac:dyDescent="0.25">
      <c r="B16" s="222"/>
      <c r="C16" s="361" t="s">
        <v>312</v>
      </c>
      <c r="D16" s="361"/>
      <c r="E16" s="361"/>
      <c r="F16" s="361"/>
      <c r="G16" s="361"/>
      <c r="H16" s="361"/>
      <c r="I16" s="361"/>
      <c r="J16" s="362"/>
      <c r="K16" s="229"/>
      <c r="L16" s="229"/>
      <c r="M16" s="229"/>
    </row>
    <row r="17" spans="2:10" ht="15.75" thickBot="1" x14ac:dyDescent="0.3">
      <c r="B17" s="225"/>
      <c r="C17" s="226"/>
      <c r="D17" s="226"/>
      <c r="E17" s="226"/>
      <c r="F17" s="226"/>
      <c r="G17" s="226"/>
      <c r="H17" s="226"/>
      <c r="I17" s="226"/>
      <c r="J17" s="227"/>
    </row>
  </sheetData>
  <mergeCells count="3">
    <mergeCell ref="C13:J13"/>
    <mergeCell ref="C16:J16"/>
    <mergeCell ref="C9:J9"/>
  </mergeCells>
  <printOptions horizontalCentered="1"/>
  <pageMargins left="0.51181102362204722" right="0.51181102362204722" top="0.78740157480314965" bottom="0.78740157480314965" header="0.31496062992125984" footer="0.31496062992125984"/>
  <pageSetup paperSize="9" orientation="portrait" verticalDpi="599" r:id="rId1"/>
  <headerFooter>
    <oddFooter>&amp;C&amp;P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B1:W115"/>
  <sheetViews>
    <sheetView showGridLines="0" zoomScale="90" zoomScaleNormal="90" workbookViewId="0">
      <selection activeCell="T16" sqref="T16"/>
    </sheetView>
  </sheetViews>
  <sheetFormatPr defaultRowHeight="15" x14ac:dyDescent="0.25"/>
  <cols>
    <col min="1" max="1" width="3.5703125" customWidth="1"/>
    <col min="2" max="2" width="9" customWidth="1"/>
    <col min="3" max="3" width="6.7109375" customWidth="1"/>
    <col min="4" max="4" width="11.28515625" customWidth="1"/>
    <col min="5" max="5" width="7.28515625" customWidth="1"/>
    <col min="6" max="6" width="10.7109375" customWidth="1"/>
    <col min="7" max="8" width="11.140625" customWidth="1"/>
    <col min="9" max="9" width="7.85546875" customWidth="1"/>
    <col min="10" max="10" width="7.5703125" customWidth="1"/>
    <col min="11" max="11" width="12.42578125" customWidth="1"/>
    <col min="12" max="12" width="13.140625" customWidth="1"/>
    <col min="15" max="15" width="27.7109375" customWidth="1"/>
    <col min="16" max="16" width="17.5703125" customWidth="1"/>
  </cols>
  <sheetData>
    <row r="1" spans="2:23" ht="15.75" thickBot="1" x14ac:dyDescent="0.3">
      <c r="O1" s="368" t="s">
        <v>194</v>
      </c>
      <c r="P1" s="382"/>
      <c r="Q1" s="166">
        <v>2024</v>
      </c>
      <c r="R1" s="166">
        <v>2023</v>
      </c>
    </row>
    <row r="2" spans="2:23" ht="16.5" customHeight="1" thickBot="1" x14ac:dyDescent="0.3">
      <c r="B2" s="368" t="s">
        <v>195</v>
      </c>
      <c r="C2" s="369"/>
      <c r="G2" t="s">
        <v>196</v>
      </c>
      <c r="O2" s="408" t="s">
        <v>197</v>
      </c>
      <c r="P2" s="409"/>
      <c r="Q2" s="179">
        <v>366</v>
      </c>
      <c r="R2" s="176">
        <v>365.25</v>
      </c>
      <c r="U2" s="180"/>
      <c r="V2" s="181"/>
      <c r="W2" s="189"/>
    </row>
    <row r="3" spans="2:23" ht="15.75" thickBot="1" x14ac:dyDescent="0.3">
      <c r="B3" s="257" t="s">
        <v>198</v>
      </c>
      <c r="C3" s="259">
        <v>3.0099999999999998E-2</v>
      </c>
      <c r="O3" s="406" t="s">
        <v>199</v>
      </c>
      <c r="P3" s="407"/>
      <c r="Q3" s="235">
        <f>Q2/12</f>
        <v>30.5</v>
      </c>
      <c r="R3" s="216">
        <f>R2/12</f>
        <v>30.4375</v>
      </c>
      <c r="S3" s="244"/>
      <c r="U3" s="182"/>
      <c r="V3" s="183"/>
    </row>
    <row r="4" spans="2:23" ht="15.75" thickBot="1" x14ac:dyDescent="0.3">
      <c r="B4" s="257" t="s">
        <v>200</v>
      </c>
      <c r="C4" s="259">
        <v>3.61E-2</v>
      </c>
      <c r="O4" s="404" t="s">
        <v>201</v>
      </c>
      <c r="P4" s="405"/>
      <c r="Q4" s="179">
        <v>17</v>
      </c>
      <c r="R4" s="176">
        <v>17</v>
      </c>
      <c r="U4" s="184"/>
      <c r="V4" s="181"/>
      <c r="W4" s="189"/>
    </row>
    <row r="5" spans="2:23" ht="15.75" thickBot="1" x14ac:dyDescent="0.3">
      <c r="B5" s="257" t="s">
        <v>202</v>
      </c>
      <c r="C5" s="259">
        <v>8.5800000000000001E-2</v>
      </c>
      <c r="O5" s="406" t="s">
        <v>203</v>
      </c>
      <c r="P5" s="407"/>
      <c r="Q5" s="233">
        <f>Q4/12</f>
        <v>1.4166666666666667</v>
      </c>
      <c r="R5" s="234">
        <f>R4/12</f>
        <v>1.4166666666666667</v>
      </c>
      <c r="U5" s="185"/>
      <c r="V5" s="186"/>
    </row>
    <row r="6" spans="2:23" ht="15" customHeight="1" thickBot="1" x14ac:dyDescent="0.3">
      <c r="O6" s="410" t="s">
        <v>204</v>
      </c>
      <c r="P6" s="176" t="s">
        <v>205</v>
      </c>
      <c r="Q6" s="232">
        <f>Q3-Q5</f>
        <v>29.083333333333332</v>
      </c>
      <c r="R6" s="243">
        <f>R3-R5</f>
        <v>29.020833333333332</v>
      </c>
      <c r="S6" s="244"/>
      <c r="U6" s="187"/>
      <c r="V6" s="188"/>
      <c r="W6" s="188"/>
    </row>
    <row r="7" spans="2:23" ht="16.5" thickBot="1" x14ac:dyDescent="0.3">
      <c r="B7" s="175" t="s">
        <v>206</v>
      </c>
      <c r="O7" s="411"/>
      <c r="P7" s="176" t="s">
        <v>207</v>
      </c>
      <c r="Q7" s="241">
        <v>21</v>
      </c>
      <c r="R7" s="215">
        <v>20.68</v>
      </c>
      <c r="U7" s="187"/>
      <c r="V7" s="186"/>
      <c r="W7" s="186"/>
    </row>
    <row r="8" spans="2:23" ht="24" customHeight="1" thickBot="1" x14ac:dyDescent="0.3">
      <c r="B8" s="166" t="s">
        <v>110</v>
      </c>
      <c r="C8" s="167" t="s">
        <v>160</v>
      </c>
      <c r="D8" s="167" t="s">
        <v>112</v>
      </c>
      <c r="E8" s="167" t="s">
        <v>208</v>
      </c>
      <c r="F8" s="168" t="s">
        <v>209</v>
      </c>
      <c r="O8" s="406" t="s">
        <v>210</v>
      </c>
      <c r="P8" s="407"/>
      <c r="Q8" s="235">
        <f>Q7+4</f>
        <v>25</v>
      </c>
      <c r="R8" s="242">
        <v>24.68</v>
      </c>
      <c r="U8" s="187"/>
      <c r="V8" s="186"/>
      <c r="W8" s="186"/>
    </row>
    <row r="9" spans="2:23" ht="243" thickBot="1" x14ac:dyDescent="0.3">
      <c r="B9" s="169">
        <v>680019</v>
      </c>
      <c r="C9" s="170" t="s">
        <v>117</v>
      </c>
      <c r="D9" s="171" t="s">
        <v>118</v>
      </c>
      <c r="E9" s="171" t="s">
        <v>211</v>
      </c>
      <c r="F9" s="230">
        <f>'Relatório Custo'!V3</f>
        <v>0</v>
      </c>
    </row>
    <row r="10" spans="2:23" ht="230.25" thickBot="1" x14ac:dyDescent="0.3">
      <c r="B10" s="172">
        <v>680020</v>
      </c>
      <c r="C10" s="173" t="s">
        <v>119</v>
      </c>
      <c r="D10" s="174" t="s">
        <v>118</v>
      </c>
      <c r="E10" s="174" t="s">
        <v>211</v>
      </c>
      <c r="F10" s="231" t="e">
        <f>'Relatório Custo'!#REF!</f>
        <v>#REF!</v>
      </c>
      <c r="O10" s="368" t="s">
        <v>194</v>
      </c>
      <c r="P10" s="382"/>
      <c r="Q10" s="166">
        <v>2024</v>
      </c>
      <c r="R10" s="166" t="s">
        <v>212</v>
      </c>
    </row>
    <row r="11" spans="2:23" ht="15.75" thickBot="1" x14ac:dyDescent="0.3">
      <c r="O11" s="412" t="s">
        <v>204</v>
      </c>
      <c r="P11" s="238" t="s">
        <v>205</v>
      </c>
      <c r="Q11" s="239">
        <v>29.083333333333332</v>
      </c>
      <c r="R11" s="243">
        <v>29.03</v>
      </c>
    </row>
    <row r="12" spans="2:23" ht="15.75" thickBot="1" x14ac:dyDescent="0.3">
      <c r="B12" t="s">
        <v>213</v>
      </c>
      <c r="O12" s="413"/>
      <c r="P12" s="238" t="s">
        <v>207</v>
      </c>
      <c r="Q12" s="241">
        <v>21</v>
      </c>
      <c r="R12" s="240">
        <v>20.68</v>
      </c>
    </row>
    <row r="13" spans="2:23" ht="18.75" customHeight="1" thickBot="1" x14ac:dyDescent="0.3">
      <c r="B13" s="387" t="s">
        <v>146</v>
      </c>
      <c r="C13" s="388"/>
      <c r="D13" s="388"/>
      <c r="E13" s="388"/>
      <c r="F13" s="388"/>
      <c r="G13" s="388"/>
      <c r="H13" s="388"/>
      <c r="I13" s="388"/>
      <c r="J13" s="388"/>
      <c r="O13" s="406" t="s">
        <v>210</v>
      </c>
      <c r="P13" s="407"/>
      <c r="Q13" s="235">
        <v>25</v>
      </c>
      <c r="R13" s="242">
        <v>24.68</v>
      </c>
    </row>
    <row r="14" spans="2:23" ht="57" customHeight="1" thickBot="1" x14ac:dyDescent="0.3">
      <c r="B14" s="179" t="s">
        <v>214</v>
      </c>
      <c r="C14" s="176" t="s">
        <v>215</v>
      </c>
      <c r="D14" s="176" t="s">
        <v>216</v>
      </c>
      <c r="E14" s="176" t="s">
        <v>217</v>
      </c>
      <c r="F14" s="176" t="s">
        <v>218</v>
      </c>
      <c r="G14" s="176" t="s">
        <v>219</v>
      </c>
      <c r="H14" s="176" t="s">
        <v>220</v>
      </c>
      <c r="I14" s="176" t="s">
        <v>221</v>
      </c>
      <c r="J14" s="176" t="s">
        <v>222</v>
      </c>
      <c r="O14" s="363" t="s">
        <v>223</v>
      </c>
      <c r="P14" s="363"/>
      <c r="Q14" s="363"/>
      <c r="R14" s="363"/>
      <c r="T14" s="191"/>
    </row>
    <row r="15" spans="2:23" ht="35.25" customHeight="1" thickBot="1" x14ac:dyDescent="0.3">
      <c r="B15" s="177" t="s">
        <v>224</v>
      </c>
      <c r="C15" s="260">
        <v>8.8000000000000007</v>
      </c>
      <c r="D15" s="258">
        <v>21</v>
      </c>
      <c r="E15" s="258">
        <f>D15*C15</f>
        <v>184.8</v>
      </c>
      <c r="F15" s="260">
        <v>8.8000000000000007</v>
      </c>
      <c r="G15" s="260">
        <v>21</v>
      </c>
      <c r="H15" s="258">
        <f>G15*F15</f>
        <v>184.8</v>
      </c>
      <c r="I15" s="258">
        <v>1</v>
      </c>
      <c r="J15" s="260">
        <v>0</v>
      </c>
      <c r="O15" s="364"/>
      <c r="P15" s="364"/>
      <c r="Q15" s="364"/>
      <c r="R15" s="364"/>
    </row>
    <row r="16" spans="2:23" ht="60" customHeight="1" thickBot="1" x14ac:dyDescent="0.3">
      <c r="B16" s="262" t="s">
        <v>225</v>
      </c>
      <c r="C16" s="179">
        <v>8</v>
      </c>
      <c r="D16" s="261">
        <v>29.03</v>
      </c>
      <c r="E16" s="261">
        <v>232.17</v>
      </c>
      <c r="F16" s="179">
        <v>7.33</v>
      </c>
      <c r="G16" s="179">
        <v>24.68</v>
      </c>
      <c r="H16" s="261">
        <v>180.99</v>
      </c>
      <c r="I16" s="261">
        <v>1</v>
      </c>
      <c r="J16" s="179">
        <v>0.28999999999999998</v>
      </c>
      <c r="N16" s="245" t="s">
        <v>226</v>
      </c>
    </row>
    <row r="17" spans="2:16" x14ac:dyDescent="0.25">
      <c r="P17" s="244"/>
    </row>
    <row r="18" spans="2:16" ht="18.75" customHeight="1" thickBot="1" x14ac:dyDescent="0.3">
      <c r="B18" s="175" t="s">
        <v>227</v>
      </c>
      <c r="N18" s="190"/>
    </row>
    <row r="19" spans="2:16" ht="20.25" customHeight="1" thickBot="1" x14ac:dyDescent="0.3">
      <c r="B19" s="368" t="s">
        <v>228</v>
      </c>
      <c r="C19" s="369"/>
      <c r="D19" s="369"/>
      <c r="E19" s="369"/>
      <c r="F19" s="369"/>
      <c r="G19" s="369"/>
      <c r="H19" s="382"/>
    </row>
    <row r="20" spans="2:16" ht="57" customHeight="1" thickBot="1" x14ac:dyDescent="0.3">
      <c r="B20" s="179" t="s">
        <v>214</v>
      </c>
      <c r="C20" s="176" t="s">
        <v>229</v>
      </c>
      <c r="D20" s="176" t="s">
        <v>230</v>
      </c>
      <c r="E20" s="176" t="s">
        <v>231</v>
      </c>
      <c r="F20" s="176" t="s">
        <v>232</v>
      </c>
      <c r="G20" s="246" t="s">
        <v>233</v>
      </c>
      <c r="H20" s="246" t="s">
        <v>234</v>
      </c>
    </row>
    <row r="21" spans="2:16" ht="36.75" customHeight="1" x14ac:dyDescent="0.25">
      <c r="B21" s="391" t="s">
        <v>235</v>
      </c>
      <c r="C21" s="393" t="s">
        <v>236</v>
      </c>
      <c r="D21" s="395">
        <v>1</v>
      </c>
      <c r="E21" s="397">
        <f>8.8*21</f>
        <v>184.8</v>
      </c>
      <c r="F21" s="399">
        <v>21</v>
      </c>
      <c r="G21" s="401" t="e">
        <f>'Relatório Custo'!#REF!+'Relatório Custo'!#REF!+'Relatório Custo'!#REF!+'Relatório Custo'!#REF!+'Relatório Custo'!#REF!</f>
        <v>#REF!</v>
      </c>
      <c r="H21" s="403" t="e">
        <f>'Relatório Custo'!#REF!</f>
        <v>#REF!</v>
      </c>
    </row>
    <row r="22" spans="2:16" ht="15.75" thickBot="1" x14ac:dyDescent="0.3">
      <c r="B22" s="392"/>
      <c r="C22" s="394"/>
      <c r="D22" s="396"/>
      <c r="E22" s="398"/>
      <c r="F22" s="400"/>
      <c r="G22" s="402"/>
      <c r="H22" s="400"/>
    </row>
    <row r="23" spans="2:16" ht="15" customHeight="1" x14ac:dyDescent="0.25">
      <c r="B23" s="383" t="s">
        <v>237</v>
      </c>
      <c r="C23" s="385" t="s">
        <v>238</v>
      </c>
      <c r="D23" s="389">
        <v>1.29</v>
      </c>
      <c r="E23" s="389">
        <v>180.99</v>
      </c>
      <c r="F23" s="389">
        <v>24.68</v>
      </c>
      <c r="G23" s="378">
        <f>'Relatório Custo'!L3+'Relatório Custo'!M3+'Relatório Custo'!N3+'Relatório Custo'!O3+'Relatório Custo'!P3</f>
        <v>0</v>
      </c>
      <c r="H23" s="380">
        <f>'Relatório Custo'!Q3</f>
        <v>0</v>
      </c>
    </row>
    <row r="24" spans="2:16" ht="27.75" customHeight="1" thickBot="1" x14ac:dyDescent="0.3">
      <c r="B24" s="384"/>
      <c r="C24" s="386"/>
      <c r="D24" s="390"/>
      <c r="E24" s="390"/>
      <c r="F24" s="390"/>
      <c r="G24" s="379"/>
      <c r="H24" s="381"/>
    </row>
    <row r="27" spans="2:16" ht="16.5" thickBot="1" x14ac:dyDescent="0.3">
      <c r="B27" s="175" t="s">
        <v>239</v>
      </c>
    </row>
    <row r="28" spans="2:16" ht="15.75" thickBot="1" x14ac:dyDescent="0.3">
      <c r="B28" s="368" t="s">
        <v>240</v>
      </c>
      <c r="C28" s="369"/>
      <c r="D28" s="369"/>
      <c r="E28" s="382"/>
    </row>
    <row r="29" spans="2:16" ht="24.75" thickBot="1" x14ac:dyDescent="0.3">
      <c r="B29" s="179" t="s">
        <v>110</v>
      </c>
      <c r="C29" s="176" t="s">
        <v>111</v>
      </c>
      <c r="D29" s="176" t="s">
        <v>241</v>
      </c>
      <c r="E29" s="176" t="s">
        <v>146</v>
      </c>
    </row>
    <row r="30" spans="2:16" ht="53.25" customHeight="1" thickBot="1" x14ac:dyDescent="0.3">
      <c r="B30" s="178">
        <v>680019</v>
      </c>
      <c r="C30" s="194" t="s">
        <v>117</v>
      </c>
      <c r="D30" s="195">
        <v>1871.41</v>
      </c>
      <c r="E30" s="216">
        <f>'Relatório Custo'!$M$3</f>
        <v>0</v>
      </c>
    </row>
    <row r="31" spans="2:16" ht="53.25" customHeight="1" thickBot="1" x14ac:dyDescent="0.3">
      <c r="B31" s="179">
        <v>680020</v>
      </c>
      <c r="C31" s="196" t="s">
        <v>119</v>
      </c>
      <c r="D31" s="197">
        <v>1871.41</v>
      </c>
      <c r="E31" s="176" t="s">
        <v>242</v>
      </c>
      <c r="H31" s="189"/>
    </row>
    <row r="33" spans="2:7" ht="16.5" thickBot="1" x14ac:dyDescent="0.3">
      <c r="B33" s="175" t="s">
        <v>243</v>
      </c>
    </row>
    <row r="34" spans="2:7" ht="15.75" thickBot="1" x14ac:dyDescent="0.3">
      <c r="B34" s="368" t="s">
        <v>244</v>
      </c>
      <c r="C34" s="369"/>
      <c r="D34" s="369"/>
      <c r="E34" s="369"/>
      <c r="F34" s="369"/>
      <c r="G34" s="382"/>
    </row>
    <row r="35" spans="2:7" ht="39" thickBot="1" x14ac:dyDescent="0.3">
      <c r="B35" s="169" t="s">
        <v>111</v>
      </c>
      <c r="C35" s="171" t="s">
        <v>245</v>
      </c>
      <c r="D35" s="171" t="s">
        <v>246</v>
      </c>
      <c r="E35" s="171" t="s">
        <v>247</v>
      </c>
      <c r="F35" s="171" t="s">
        <v>248</v>
      </c>
      <c r="G35" s="171" t="s">
        <v>249</v>
      </c>
    </row>
    <row r="36" spans="2:7" ht="66.75" customHeight="1" thickBot="1" x14ac:dyDescent="0.3">
      <c r="B36" s="198" t="s">
        <v>117</v>
      </c>
      <c r="C36" s="199">
        <v>19.77</v>
      </c>
      <c r="D36" s="199">
        <v>1.32</v>
      </c>
      <c r="E36" s="199">
        <f>C36-D36</f>
        <v>18.45</v>
      </c>
      <c r="F36" s="202">
        <f>$R$8</f>
        <v>24.68</v>
      </c>
      <c r="G36" s="202">
        <f>F36*E36</f>
        <v>455.346</v>
      </c>
    </row>
    <row r="37" spans="2:7" ht="166.5" thickBot="1" x14ac:dyDescent="0.3">
      <c r="B37" s="169" t="s">
        <v>119</v>
      </c>
      <c r="C37" s="171">
        <v>19.77</v>
      </c>
      <c r="D37" s="171">
        <v>1.32</v>
      </c>
      <c r="E37" s="171">
        <f>C37-D37</f>
        <v>18.45</v>
      </c>
      <c r="F37" s="203">
        <f>$Q$7</f>
        <v>21</v>
      </c>
      <c r="G37" s="203">
        <f>F37*E37</f>
        <v>387.45</v>
      </c>
    </row>
    <row r="39" spans="2:7" ht="15.75" thickBot="1" x14ac:dyDescent="0.3">
      <c r="B39" t="s">
        <v>250</v>
      </c>
    </row>
    <row r="40" spans="2:7" ht="15.75" thickBot="1" x14ac:dyDescent="0.3">
      <c r="B40" s="368" t="s">
        <v>251</v>
      </c>
      <c r="C40" s="369"/>
      <c r="D40" s="369"/>
      <c r="E40" s="369"/>
      <c r="F40" s="382"/>
    </row>
    <row r="41" spans="2:7" ht="77.25" thickBot="1" x14ac:dyDescent="0.3">
      <c r="B41" s="169" t="s">
        <v>252</v>
      </c>
      <c r="C41" s="171" t="s">
        <v>253</v>
      </c>
      <c r="D41" s="171" t="s">
        <v>254</v>
      </c>
      <c r="E41" s="171" t="s">
        <v>255</v>
      </c>
      <c r="F41" s="171" t="s">
        <v>256</v>
      </c>
    </row>
    <row r="42" spans="2:7" ht="26.25" thickBot="1" x14ac:dyDescent="0.3">
      <c r="B42" s="198" t="s">
        <v>257</v>
      </c>
      <c r="C42" s="199">
        <v>4.83</v>
      </c>
      <c r="D42" s="199">
        <v>2</v>
      </c>
      <c r="E42" s="202">
        <f>$Q$7</f>
        <v>21</v>
      </c>
      <c r="F42" s="199">
        <f>C42*D42*E42</f>
        <v>202.86</v>
      </c>
      <c r="G42" s="189"/>
    </row>
    <row r="43" spans="2:7" ht="26.25" thickBot="1" x14ac:dyDescent="0.3">
      <c r="B43" s="169" t="s">
        <v>258</v>
      </c>
      <c r="C43" s="171">
        <v>4.83</v>
      </c>
      <c r="D43" s="171">
        <v>2</v>
      </c>
      <c r="E43" s="171">
        <f>$R$8</f>
        <v>24.68</v>
      </c>
      <c r="F43" s="203">
        <f>C43*D43*E43</f>
        <v>238.40880000000001</v>
      </c>
      <c r="G43" s="189"/>
    </row>
    <row r="45" spans="2:7" ht="15.75" x14ac:dyDescent="0.25">
      <c r="B45" s="175" t="s">
        <v>259</v>
      </c>
    </row>
    <row r="47" spans="2:7" x14ac:dyDescent="0.25">
      <c r="C47" t="s">
        <v>260</v>
      </c>
      <c r="D47">
        <v>7.69</v>
      </c>
    </row>
    <row r="48" spans="2:7" x14ac:dyDescent="0.25">
      <c r="C48" t="s">
        <v>261</v>
      </c>
      <c r="D48" s="189">
        <f>D47*(1+$C$5)</f>
        <v>8.3498020000000004</v>
      </c>
    </row>
    <row r="51" spans="2:18" ht="15.75" x14ac:dyDescent="0.25">
      <c r="B51" s="175" t="s">
        <v>262</v>
      </c>
    </row>
    <row r="52" spans="2:18" ht="15.75" thickBot="1" x14ac:dyDescent="0.3">
      <c r="B52">
        <v>2024</v>
      </c>
      <c r="K52">
        <v>2023</v>
      </c>
    </row>
    <row r="53" spans="2:18" ht="15.75" customHeight="1" thickBot="1" x14ac:dyDescent="0.3">
      <c r="B53" s="368" t="s">
        <v>263</v>
      </c>
      <c r="C53" s="369"/>
      <c r="D53" s="369"/>
      <c r="E53" s="369"/>
      <c r="F53" s="369"/>
      <c r="G53" s="369"/>
      <c r="H53" s="369"/>
      <c r="K53" s="370" t="s">
        <v>263</v>
      </c>
      <c r="L53" s="370"/>
      <c r="M53" s="370"/>
      <c r="N53" s="370"/>
      <c r="O53" s="370"/>
      <c r="P53" s="370"/>
      <c r="Q53" s="370"/>
    </row>
    <row r="54" spans="2:18" ht="36.75" thickBot="1" x14ac:dyDescent="0.3">
      <c r="B54" s="179" t="s">
        <v>264</v>
      </c>
      <c r="C54" s="176" t="s">
        <v>265</v>
      </c>
      <c r="D54" s="176" t="s">
        <v>266</v>
      </c>
      <c r="E54" s="176" t="s">
        <v>267</v>
      </c>
      <c r="F54" s="176" t="s">
        <v>268</v>
      </c>
      <c r="G54" s="176" t="s">
        <v>269</v>
      </c>
      <c r="H54" s="176" t="s">
        <v>97</v>
      </c>
      <c r="I54" s="176" t="s">
        <v>270</v>
      </c>
      <c r="K54" s="179" t="s">
        <v>264</v>
      </c>
      <c r="L54" s="176" t="s">
        <v>265</v>
      </c>
      <c r="M54" s="176" t="s">
        <v>266</v>
      </c>
      <c r="N54" s="176" t="s">
        <v>267</v>
      </c>
      <c r="O54" s="176" t="s">
        <v>268</v>
      </c>
      <c r="P54" s="176" t="s">
        <v>269</v>
      </c>
      <c r="Q54" s="176" t="s">
        <v>97</v>
      </c>
      <c r="R54" s="101"/>
    </row>
    <row r="55" spans="2:18" ht="24.75" thickBot="1" x14ac:dyDescent="0.3">
      <c r="B55" s="192" t="s">
        <v>271</v>
      </c>
      <c r="C55" s="193" t="s">
        <v>272</v>
      </c>
      <c r="D55" s="193">
        <v>2</v>
      </c>
      <c r="E55" s="202">
        <f>I55*(1+$C$4)</f>
        <v>50.727456000000004</v>
      </c>
      <c r="F55" s="202">
        <f>E55*D55</f>
        <v>101.45491200000001</v>
      </c>
      <c r="G55" s="199">
        <v>12</v>
      </c>
      <c r="H55" s="202">
        <f>F55/G55</f>
        <v>8.4545760000000012</v>
      </c>
      <c r="I55" s="199">
        <v>48.96</v>
      </c>
      <c r="K55" s="192" t="s">
        <v>271</v>
      </c>
      <c r="L55" s="193" t="s">
        <v>272</v>
      </c>
      <c r="M55" s="193">
        <v>2</v>
      </c>
      <c r="N55" s="199">
        <v>48.96</v>
      </c>
      <c r="O55" s="199">
        <f>N55*M55</f>
        <v>97.92</v>
      </c>
      <c r="P55" s="199">
        <v>12</v>
      </c>
      <c r="Q55" s="199">
        <v>8.16</v>
      </c>
      <c r="R55" s="217">
        <f>O55/P55</f>
        <v>8.16</v>
      </c>
    </row>
    <row r="56" spans="2:18" ht="36.75" thickBot="1" x14ac:dyDescent="0.3">
      <c r="B56" s="200" t="s">
        <v>273</v>
      </c>
      <c r="C56" s="176" t="s">
        <v>272</v>
      </c>
      <c r="D56" s="176">
        <v>2</v>
      </c>
      <c r="E56" s="203">
        <f t="shared" ref="E56:E61" si="0">I56*(1+$C$4)</f>
        <v>127.16055300000001</v>
      </c>
      <c r="F56" s="203">
        <f t="shared" ref="F56:F64" si="1">E56*D56</f>
        <v>254.32110600000001</v>
      </c>
      <c r="G56" s="171">
        <v>12</v>
      </c>
      <c r="H56" s="203">
        <f t="shared" ref="H56:H64" si="2">F56/G56</f>
        <v>21.1934255</v>
      </c>
      <c r="I56" s="171">
        <v>122.73</v>
      </c>
      <c r="K56" s="200" t="s">
        <v>273</v>
      </c>
      <c r="L56" s="176" t="s">
        <v>272</v>
      </c>
      <c r="M56" s="176">
        <v>2</v>
      </c>
      <c r="N56" s="171">
        <v>122.73</v>
      </c>
      <c r="O56" s="171">
        <f>N56*M56</f>
        <v>245.46</v>
      </c>
      <c r="P56" s="171">
        <v>12</v>
      </c>
      <c r="Q56" s="171">
        <v>20.46</v>
      </c>
      <c r="R56" s="217">
        <f t="shared" ref="R56:R64" si="3">O56/P56</f>
        <v>20.455000000000002</v>
      </c>
    </row>
    <row r="57" spans="2:18" ht="36.75" thickBot="1" x14ac:dyDescent="0.3">
      <c r="B57" s="192" t="s">
        <v>274</v>
      </c>
      <c r="C57" s="193" t="s">
        <v>272</v>
      </c>
      <c r="D57" s="193">
        <v>2</v>
      </c>
      <c r="E57" s="202">
        <f t="shared" si="0"/>
        <v>105.69256100000001</v>
      </c>
      <c r="F57" s="202">
        <f t="shared" si="1"/>
        <v>211.38512200000002</v>
      </c>
      <c r="G57" s="199">
        <v>12</v>
      </c>
      <c r="H57" s="202">
        <f t="shared" si="2"/>
        <v>17.615426833333334</v>
      </c>
      <c r="I57" s="199">
        <v>102.01</v>
      </c>
      <c r="K57" s="192" t="s">
        <v>274</v>
      </c>
      <c r="L57" s="193" t="s">
        <v>272</v>
      </c>
      <c r="M57" s="193">
        <v>2</v>
      </c>
      <c r="N57" s="199">
        <v>102.01</v>
      </c>
      <c r="O57" s="199">
        <f>N57*M57</f>
        <v>204.02</v>
      </c>
      <c r="P57" s="199">
        <v>12</v>
      </c>
      <c r="Q57" s="199">
        <v>17</v>
      </c>
      <c r="R57" s="217">
        <f t="shared" si="3"/>
        <v>17.001666666666669</v>
      </c>
    </row>
    <row r="58" spans="2:18" ht="24.75" thickBot="1" x14ac:dyDescent="0.3">
      <c r="B58" s="200" t="s">
        <v>275</v>
      </c>
      <c r="C58" s="176" t="s">
        <v>272</v>
      </c>
      <c r="D58" s="176">
        <v>2</v>
      </c>
      <c r="E58" s="203">
        <f t="shared" si="0"/>
        <v>82.546087</v>
      </c>
      <c r="F58" s="203">
        <f t="shared" si="1"/>
        <v>165.092174</v>
      </c>
      <c r="G58" s="171">
        <v>12</v>
      </c>
      <c r="H58" s="203">
        <f t="shared" si="2"/>
        <v>13.757681166666666</v>
      </c>
      <c r="I58" s="171">
        <v>79.67</v>
      </c>
      <c r="K58" s="200" t="s">
        <v>275</v>
      </c>
      <c r="L58" s="176" t="s">
        <v>272</v>
      </c>
      <c r="M58" s="204">
        <v>1</v>
      </c>
      <c r="N58" s="205">
        <v>79.67</v>
      </c>
      <c r="O58" s="205">
        <v>159.34</v>
      </c>
      <c r="P58" s="171">
        <v>12</v>
      </c>
      <c r="Q58" s="171">
        <v>13.28</v>
      </c>
      <c r="R58" s="217">
        <f t="shared" si="3"/>
        <v>13.278333333333334</v>
      </c>
    </row>
    <row r="59" spans="2:18" ht="24.75" thickBot="1" x14ac:dyDescent="0.3">
      <c r="B59" s="192" t="s">
        <v>276</v>
      </c>
      <c r="C59" s="193" t="s">
        <v>272</v>
      </c>
      <c r="D59" s="193">
        <v>4</v>
      </c>
      <c r="E59" s="202">
        <f t="shared" si="0"/>
        <v>7.4702809999999999</v>
      </c>
      <c r="F59" s="202">
        <f t="shared" si="1"/>
        <v>29.881124</v>
      </c>
      <c r="G59" s="199">
        <v>12</v>
      </c>
      <c r="H59" s="202">
        <f t="shared" si="2"/>
        <v>2.4900936666666666</v>
      </c>
      <c r="I59" s="199">
        <v>7.21</v>
      </c>
      <c r="K59" s="192" t="s">
        <v>276</v>
      </c>
      <c r="L59" s="193" t="s">
        <v>272</v>
      </c>
      <c r="M59" s="206">
        <v>2</v>
      </c>
      <c r="N59" s="207">
        <v>7.21</v>
      </c>
      <c r="O59" s="207">
        <v>21.63</v>
      </c>
      <c r="P59" s="199">
        <v>12</v>
      </c>
      <c r="Q59" s="199">
        <v>1.8</v>
      </c>
      <c r="R59" s="217">
        <f t="shared" si="3"/>
        <v>1.8025</v>
      </c>
    </row>
    <row r="60" spans="2:18" ht="24.75" thickBot="1" x14ac:dyDescent="0.3">
      <c r="B60" s="200" t="s">
        <v>277</v>
      </c>
      <c r="C60" s="176" t="s">
        <v>272</v>
      </c>
      <c r="D60" s="176">
        <v>2</v>
      </c>
      <c r="E60" s="203">
        <f t="shared" si="0"/>
        <v>14.660815000000001</v>
      </c>
      <c r="F60" s="203">
        <f t="shared" si="1"/>
        <v>29.321630000000003</v>
      </c>
      <c r="G60" s="171">
        <v>24</v>
      </c>
      <c r="H60" s="203">
        <f t="shared" si="2"/>
        <v>1.2217345833333335</v>
      </c>
      <c r="I60" s="171">
        <v>14.15</v>
      </c>
      <c r="K60" s="200" t="s">
        <v>277</v>
      </c>
      <c r="L60" s="176" t="s">
        <v>272</v>
      </c>
      <c r="M60" s="176">
        <v>1</v>
      </c>
      <c r="N60" s="171">
        <v>14.15</v>
      </c>
      <c r="O60" s="171">
        <v>14.15</v>
      </c>
      <c r="P60" s="171">
        <v>24</v>
      </c>
      <c r="Q60" s="171">
        <v>0.59</v>
      </c>
      <c r="R60" s="217">
        <f t="shared" si="3"/>
        <v>0.58958333333333335</v>
      </c>
    </row>
    <row r="61" spans="2:18" ht="24.75" thickBot="1" x14ac:dyDescent="0.3">
      <c r="B61" s="192" t="s">
        <v>278</v>
      </c>
      <c r="C61" s="193" t="s">
        <v>272</v>
      </c>
      <c r="D61" s="193">
        <v>2</v>
      </c>
      <c r="E61" s="202">
        <f t="shared" si="0"/>
        <v>98.284446000000003</v>
      </c>
      <c r="F61" s="202">
        <f t="shared" si="1"/>
        <v>196.56889200000001</v>
      </c>
      <c r="G61" s="199">
        <v>24</v>
      </c>
      <c r="H61" s="202">
        <f t="shared" si="2"/>
        <v>8.1903705000000002</v>
      </c>
      <c r="I61" s="199">
        <v>94.86</v>
      </c>
      <c r="K61" s="192" t="s">
        <v>278</v>
      </c>
      <c r="L61" s="193" t="s">
        <v>272</v>
      </c>
      <c r="M61" s="193">
        <v>1</v>
      </c>
      <c r="N61" s="199">
        <v>98.86</v>
      </c>
      <c r="O61" s="199">
        <v>98.86</v>
      </c>
      <c r="P61" s="199">
        <v>24</v>
      </c>
      <c r="Q61" s="199">
        <v>4.12</v>
      </c>
      <c r="R61" s="217">
        <f t="shared" si="3"/>
        <v>4.1191666666666666</v>
      </c>
    </row>
    <row r="62" spans="2:18" ht="24.75" thickBot="1" x14ac:dyDescent="0.3">
      <c r="B62" s="200" t="s">
        <v>279</v>
      </c>
      <c r="C62" s="176" t="s">
        <v>272</v>
      </c>
      <c r="D62" s="176">
        <v>1</v>
      </c>
      <c r="E62" s="203">
        <f>I62*(1+$C$3)</f>
        <v>5.9024730000000005</v>
      </c>
      <c r="F62" s="203">
        <f t="shared" si="1"/>
        <v>5.9024730000000005</v>
      </c>
      <c r="G62" s="171">
        <v>12</v>
      </c>
      <c r="H62" s="203">
        <f t="shared" si="2"/>
        <v>0.49187275000000003</v>
      </c>
      <c r="I62" s="171">
        <v>5.73</v>
      </c>
      <c r="K62" s="200" t="s">
        <v>279</v>
      </c>
      <c r="L62" s="176" t="s">
        <v>272</v>
      </c>
      <c r="M62" s="176">
        <v>1</v>
      </c>
      <c r="N62" s="171">
        <v>5.73</v>
      </c>
      <c r="O62" s="171">
        <v>5.73</v>
      </c>
      <c r="P62" s="171">
        <v>12</v>
      </c>
      <c r="Q62" s="171">
        <v>0.48</v>
      </c>
      <c r="R62" s="217">
        <f t="shared" si="3"/>
        <v>0.47750000000000004</v>
      </c>
    </row>
    <row r="63" spans="2:18" ht="36.75" thickBot="1" x14ac:dyDescent="0.3">
      <c r="B63" s="192" t="s">
        <v>280</v>
      </c>
      <c r="C63" s="193" t="s">
        <v>281</v>
      </c>
      <c r="D63" s="193">
        <v>1</v>
      </c>
      <c r="E63" s="202">
        <f t="shared" ref="E63:E64" si="4">I63*(1+$C$3)</f>
        <v>90.628198000000012</v>
      </c>
      <c r="F63" s="202">
        <f t="shared" si="1"/>
        <v>90.628198000000012</v>
      </c>
      <c r="G63" s="199">
        <v>30</v>
      </c>
      <c r="H63" s="202">
        <f t="shared" si="2"/>
        <v>3.0209399333333335</v>
      </c>
      <c r="I63" s="199">
        <v>87.98</v>
      </c>
      <c r="K63" s="192" t="s">
        <v>280</v>
      </c>
      <c r="L63" s="193" t="s">
        <v>281</v>
      </c>
      <c r="M63" s="193">
        <v>1</v>
      </c>
      <c r="N63" s="199">
        <v>87.98</v>
      </c>
      <c r="O63" s="199">
        <v>87.98</v>
      </c>
      <c r="P63" s="199">
        <v>30</v>
      </c>
      <c r="Q63" s="199">
        <v>2.93</v>
      </c>
      <c r="R63" s="217">
        <f t="shared" si="3"/>
        <v>2.932666666666667</v>
      </c>
    </row>
    <row r="64" spans="2:18" ht="36.75" thickBot="1" x14ac:dyDescent="0.3">
      <c r="B64" s="200" t="s">
        <v>282</v>
      </c>
      <c r="C64" s="176" t="s">
        <v>281</v>
      </c>
      <c r="D64" s="176">
        <v>1</v>
      </c>
      <c r="E64" s="203">
        <f t="shared" si="4"/>
        <v>20.602</v>
      </c>
      <c r="F64" s="203">
        <f t="shared" si="1"/>
        <v>20.602</v>
      </c>
      <c r="G64" s="171">
        <v>24</v>
      </c>
      <c r="H64" s="203">
        <f t="shared" si="2"/>
        <v>0.85841666666666672</v>
      </c>
      <c r="I64" s="171">
        <v>20</v>
      </c>
      <c r="K64" s="200" t="s">
        <v>282</v>
      </c>
      <c r="L64" s="176" t="s">
        <v>281</v>
      </c>
      <c r="M64" s="176">
        <v>1</v>
      </c>
      <c r="N64" s="171">
        <v>20</v>
      </c>
      <c r="O64" s="171">
        <v>20</v>
      </c>
      <c r="P64" s="171">
        <v>24</v>
      </c>
      <c r="Q64" s="171">
        <v>0.83</v>
      </c>
      <c r="R64" s="217">
        <f t="shared" si="3"/>
        <v>0.83333333333333337</v>
      </c>
    </row>
    <row r="65" spans="2:18" ht="15.75" thickBot="1" x14ac:dyDescent="0.3">
      <c r="B65" s="365" t="s">
        <v>283</v>
      </c>
      <c r="C65" s="366"/>
      <c r="D65" s="366"/>
      <c r="E65" s="366"/>
      <c r="F65" s="366"/>
      <c r="G65" s="367"/>
      <c r="H65" s="218">
        <f>SUM(H55:H64)</f>
        <v>77.294537600000012</v>
      </c>
      <c r="I65" s="101"/>
      <c r="K65" s="365" t="s">
        <v>283</v>
      </c>
      <c r="L65" s="366"/>
      <c r="M65" s="366"/>
      <c r="N65" s="366"/>
      <c r="O65" s="366"/>
      <c r="P65" s="367"/>
      <c r="Q65" s="201">
        <v>65.88</v>
      </c>
      <c r="R65" s="101"/>
    </row>
    <row r="85" spans="2:10" ht="15.75" x14ac:dyDescent="0.25">
      <c r="B85" s="175" t="s">
        <v>284</v>
      </c>
    </row>
    <row r="86" spans="2:10" x14ac:dyDescent="0.25">
      <c r="C86" s="165">
        <v>2024</v>
      </c>
      <c r="D86" s="165">
        <v>2023</v>
      </c>
    </row>
    <row r="87" spans="2:10" x14ac:dyDescent="0.25">
      <c r="B87" t="s">
        <v>285</v>
      </c>
      <c r="C87" s="165">
        <v>19.77</v>
      </c>
      <c r="D87" s="165">
        <v>19.010000000000002</v>
      </c>
    </row>
    <row r="88" spans="2:10" x14ac:dyDescent="0.25">
      <c r="B88" t="s">
        <v>98</v>
      </c>
      <c r="C88" s="165">
        <v>1.32</v>
      </c>
      <c r="D88" s="165">
        <v>1.27</v>
      </c>
    </row>
    <row r="89" spans="2:10" x14ac:dyDescent="0.25">
      <c r="B89" t="s">
        <v>106</v>
      </c>
      <c r="C89" s="165">
        <f>C87-C88</f>
        <v>18.45</v>
      </c>
      <c r="D89" s="165">
        <f>D87-D88</f>
        <v>17.740000000000002</v>
      </c>
    </row>
    <row r="90" spans="2:10" x14ac:dyDescent="0.25">
      <c r="B90" t="s">
        <v>102</v>
      </c>
      <c r="C90" s="212">
        <f>C87/12</f>
        <v>1.6475</v>
      </c>
      <c r="D90" s="212">
        <f>D87/12</f>
        <v>1.5841666666666667</v>
      </c>
    </row>
    <row r="93" spans="2:10" ht="15.75" x14ac:dyDescent="0.25">
      <c r="B93" s="211" t="s">
        <v>286</v>
      </c>
    </row>
    <row r="94" spans="2:10" ht="15.75" x14ac:dyDescent="0.25">
      <c r="B94" s="211"/>
    </row>
    <row r="95" spans="2:10" x14ac:dyDescent="0.25">
      <c r="B95" t="s">
        <v>287</v>
      </c>
    </row>
    <row r="96" spans="2:10" x14ac:dyDescent="0.25">
      <c r="B96" t="s">
        <v>288</v>
      </c>
      <c r="C96" s="163">
        <v>0.37734099999999998</v>
      </c>
      <c r="E96" s="377" t="s">
        <v>289</v>
      </c>
      <c r="F96" s="377"/>
      <c r="G96" s="377"/>
      <c r="H96" s="377"/>
      <c r="I96" s="377"/>
      <c r="J96" s="377"/>
    </row>
    <row r="97" spans="2:10" x14ac:dyDescent="0.25">
      <c r="B97" t="s">
        <v>290</v>
      </c>
      <c r="C97" s="163">
        <v>0.79264800000000002</v>
      </c>
      <c r="E97" s="377"/>
      <c r="F97" s="377"/>
      <c r="G97" s="377"/>
      <c r="H97" s="377"/>
      <c r="I97" s="377"/>
      <c r="J97" s="377"/>
    </row>
    <row r="98" spans="2:10" x14ac:dyDescent="0.25">
      <c r="B98" t="s">
        <v>291</v>
      </c>
      <c r="C98" s="163">
        <v>5.5714E-2</v>
      </c>
      <c r="E98" s="377"/>
      <c r="F98" s="377"/>
      <c r="G98" s="377"/>
      <c r="H98" s="377"/>
      <c r="I98" s="377"/>
      <c r="J98" s="377"/>
    </row>
    <row r="99" spans="2:10" x14ac:dyDescent="0.25">
      <c r="B99" t="s">
        <v>292</v>
      </c>
      <c r="C99">
        <v>17.759499999999999</v>
      </c>
      <c r="E99" s="377"/>
      <c r="F99" s="377"/>
      <c r="G99" s="377"/>
      <c r="H99" s="377"/>
      <c r="I99" s="377"/>
      <c r="J99" s="377"/>
    </row>
    <row r="100" spans="2:10" x14ac:dyDescent="0.25">
      <c r="C100" s="162">
        <f>(C96*C97*C98*24)/C99</f>
        <v>2.2519524246646338E-2</v>
      </c>
    </row>
    <row r="101" spans="2:10" x14ac:dyDescent="0.25">
      <c r="B101" t="s">
        <v>293</v>
      </c>
    </row>
    <row r="102" spans="2:10" x14ac:dyDescent="0.25">
      <c r="B102">
        <v>1302</v>
      </c>
      <c r="C102">
        <v>13.43</v>
      </c>
      <c r="E102">
        <f>0.3*B102</f>
        <v>390.59999999999997</v>
      </c>
      <c r="F102" s="162">
        <f>C102/E102</f>
        <v>3.4383000512032774E-2</v>
      </c>
    </row>
    <row r="103" spans="2:10" x14ac:dyDescent="0.25">
      <c r="B103">
        <v>1412</v>
      </c>
      <c r="C103" s="213">
        <f>(B103*C102)/B102</f>
        <v>14.564639016897081</v>
      </c>
    </row>
    <row r="106" spans="2:10" ht="16.5" thickBot="1" x14ac:dyDescent="0.3">
      <c r="B106" s="175" t="s">
        <v>294</v>
      </c>
    </row>
    <row r="107" spans="2:10" ht="20.25" customHeight="1" x14ac:dyDescent="0.25">
      <c r="B107" s="371" t="s">
        <v>110</v>
      </c>
      <c r="C107" s="373" t="s">
        <v>160</v>
      </c>
      <c r="D107" s="375" t="s">
        <v>295</v>
      </c>
    </row>
    <row r="108" spans="2:10" ht="15.75" thickBot="1" x14ac:dyDescent="0.3">
      <c r="B108" s="372"/>
      <c r="C108" s="374"/>
      <c r="D108" s="376"/>
    </row>
    <row r="109" spans="2:10" ht="228.75" thickBot="1" x14ac:dyDescent="0.3">
      <c r="B109" s="179">
        <v>680019</v>
      </c>
      <c r="C109" s="196" t="s">
        <v>117</v>
      </c>
      <c r="D109" s="236">
        <f>'Relatório Custo'!V3</f>
        <v>0</v>
      </c>
    </row>
    <row r="110" spans="2:10" ht="216.75" thickBot="1" x14ac:dyDescent="0.3">
      <c r="B110" s="178">
        <v>680020</v>
      </c>
      <c r="C110" s="194" t="s">
        <v>119</v>
      </c>
      <c r="D110" s="237" t="e">
        <f>'Relatório Custo'!#REF!</f>
        <v>#REF!</v>
      </c>
    </row>
    <row r="111" spans="2:10" x14ac:dyDescent="0.25">
      <c r="I111" t="s">
        <v>296</v>
      </c>
    </row>
    <row r="112" spans="2:10" ht="15.75" thickBot="1" x14ac:dyDescent="0.3"/>
    <row r="113" spans="2:6" ht="48.75" thickBot="1" x14ac:dyDescent="0.3">
      <c r="B113" s="208" t="s">
        <v>110</v>
      </c>
      <c r="C113" s="209" t="s">
        <v>160</v>
      </c>
      <c r="D113" s="209" t="s">
        <v>297</v>
      </c>
      <c r="E113" s="209" t="s">
        <v>298</v>
      </c>
      <c r="F113" s="210" t="s">
        <v>299</v>
      </c>
    </row>
    <row r="114" spans="2:6" ht="228.75" thickBot="1" x14ac:dyDescent="0.3">
      <c r="B114" s="179">
        <v>680019</v>
      </c>
      <c r="C114" s="196" t="s">
        <v>117</v>
      </c>
      <c r="D114" s="176">
        <f>'Relatório Custo'!V3</f>
        <v>0</v>
      </c>
      <c r="E114" s="176">
        <v>540</v>
      </c>
      <c r="F114" s="215">
        <f>D114/E114</f>
        <v>0</v>
      </c>
    </row>
    <row r="115" spans="2:6" ht="216.75" thickBot="1" x14ac:dyDescent="0.3">
      <c r="B115" s="178">
        <v>680020</v>
      </c>
      <c r="C115" s="194" t="s">
        <v>119</v>
      </c>
      <c r="D115" s="193" t="e">
        <f>'Relatório Custo'!#REF!</f>
        <v>#REF!</v>
      </c>
      <c r="E115" s="193">
        <v>600</v>
      </c>
      <c r="F115" s="216" t="e">
        <f>D115/E115</f>
        <v>#REF!</v>
      </c>
    </row>
  </sheetData>
  <mergeCells count="39">
    <mergeCell ref="O10:P10"/>
    <mergeCell ref="O11:O12"/>
    <mergeCell ref="O13:P13"/>
    <mergeCell ref="O8:P8"/>
    <mergeCell ref="O5:P5"/>
    <mergeCell ref="O4:P4"/>
    <mergeCell ref="O3:P3"/>
    <mergeCell ref="O1:P1"/>
    <mergeCell ref="O2:P2"/>
    <mergeCell ref="O6:O7"/>
    <mergeCell ref="B13:J13"/>
    <mergeCell ref="D23:D24"/>
    <mergeCell ref="E23:E24"/>
    <mergeCell ref="F23:F24"/>
    <mergeCell ref="B2:C2"/>
    <mergeCell ref="B19:H19"/>
    <mergeCell ref="B21:B22"/>
    <mergeCell ref="C21:C22"/>
    <mergeCell ref="D21:D22"/>
    <mergeCell ref="E21:E22"/>
    <mergeCell ref="F21:F22"/>
    <mergeCell ref="G21:G22"/>
    <mergeCell ref="H21:H22"/>
    <mergeCell ref="O14:R15"/>
    <mergeCell ref="B65:G65"/>
    <mergeCell ref="B53:H53"/>
    <mergeCell ref="K53:Q53"/>
    <mergeCell ref="B107:B108"/>
    <mergeCell ref="C107:C108"/>
    <mergeCell ref="D107:D108"/>
    <mergeCell ref="K65:P65"/>
    <mergeCell ref="E96:J99"/>
    <mergeCell ref="G23:G24"/>
    <mergeCell ref="H23:H24"/>
    <mergeCell ref="B28:E28"/>
    <mergeCell ref="B34:G34"/>
    <mergeCell ref="B40:F40"/>
    <mergeCell ref="B23:B24"/>
    <mergeCell ref="C23:C24"/>
  </mergeCells>
  <pageMargins left="0.511811024" right="0.511811024" top="0.78740157499999996" bottom="0.78740157499999996" header="0.31496062000000002" footer="0.31496062000000002"/>
  <pageSetup paperSize="9" orientation="portrait" verticalDpi="599"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394a398-d666-4b03-95e5-f25ddeadb0ce">
      <Terms xmlns="http://schemas.microsoft.com/office/infopath/2007/PartnerControls"/>
    </lcf76f155ced4ddcb4097134ff3c332f>
    <TaxCatchAll xmlns="61d53272-842b-45d3-bf59-100e224a2800" xsi:nil="true"/>
    <DataeHora xmlns="2394a398-d666-4b03-95e5-f25ddeadb0c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B8495ABF8FC67488CC8C4A064F30999" ma:contentTypeVersion="19" ma:contentTypeDescription="Crie um novo documento." ma:contentTypeScope="" ma:versionID="1ea6aefbd99065ca85499217826da319">
  <xsd:schema xmlns:xsd="http://www.w3.org/2001/XMLSchema" xmlns:xs="http://www.w3.org/2001/XMLSchema" xmlns:p="http://schemas.microsoft.com/office/2006/metadata/properties" xmlns:ns2="2394a398-d666-4b03-95e5-f25ddeadb0ce" xmlns:ns3="61d53272-842b-45d3-bf59-100e224a2800" targetNamespace="http://schemas.microsoft.com/office/2006/metadata/properties" ma:root="true" ma:fieldsID="ed84dc550403759ee52e3507da10a0aa" ns2:_="" ns3:_="">
    <xsd:import namespace="2394a398-d666-4b03-95e5-f25ddeadb0ce"/>
    <xsd:import namespace="61d53272-842b-45d3-bf59-100e224a280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DataeHor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94a398-d666-4b03-95e5-f25ddeadb0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DataeHora" ma:index="14" nillable="true" ma:displayName="Data e Hora" ma:format="DateTime" ma:internalName="DataeHora">
      <xsd:simpleType>
        <xsd:restriction base="dms:DateTime"/>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Marcações de imagem" ma:readOnly="false" ma:fieldId="{5cf76f15-5ced-4ddc-b409-7134ff3c332f}" ma:taxonomyMulti="true" ma:sspId="09e0922a-a576-4ac9-82f5-36725c33d7e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1d53272-842b-45d3-bf59-100e224a2800" elementFormDefault="qualified">
    <xsd:import namespace="http://schemas.microsoft.com/office/2006/documentManagement/types"/>
    <xsd:import namespace="http://schemas.microsoft.com/office/infopath/2007/PartnerControls"/>
    <xsd:element name="SharedWithUsers" ma:index="12"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hes de Compartilhado Com" ma:internalName="SharedWithDetails" ma:readOnly="true">
      <xsd:simpleType>
        <xsd:restriction base="dms:Note">
          <xsd:maxLength value="255"/>
        </xsd:restriction>
      </xsd:simpleType>
    </xsd:element>
    <xsd:element name="TaxCatchAll" ma:index="24" nillable="true" ma:displayName="Taxonomy Catch All Column" ma:hidden="true" ma:list="{e37ed312-3026-41f5-9a15-4b0c3ccb9f70}" ma:internalName="TaxCatchAll" ma:showField="CatchAllData" ma:web="61d53272-842b-45d3-bf59-100e224a28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1877D3-443A-44B7-9455-6EFE234A84FF}">
  <ds:schemaRefs>
    <ds:schemaRef ds:uri="http://schemas.openxmlformats.org/package/2006/metadata/core-properties"/>
    <ds:schemaRef ds:uri="http://purl.org/dc/elements/1.1/"/>
    <ds:schemaRef ds:uri="6b7c8730-a88d-4646-adae-a7acf4fe76de"/>
    <ds:schemaRef ds:uri="http://schemas.microsoft.com/office/2006/metadata/properties"/>
    <ds:schemaRef ds:uri="http://purl.org/dc/dcmitype/"/>
    <ds:schemaRef ds:uri="http://schemas.microsoft.com/office/2006/documentManagement/types"/>
    <ds:schemaRef ds:uri="http://www.w3.org/XML/1998/namespace"/>
    <ds:schemaRef ds:uri="http://schemas.microsoft.com/office/infopath/2007/PartnerControls"/>
    <ds:schemaRef ds:uri="25a0eb21-4c73-484f-900e-07f062c08868"/>
    <ds:schemaRef ds:uri="http://purl.org/dc/terms/"/>
    <ds:schemaRef ds:uri="2394a398-d666-4b03-95e5-f25ddeadb0ce"/>
    <ds:schemaRef ds:uri="61d53272-842b-45d3-bf59-100e224a2800"/>
  </ds:schemaRefs>
</ds:datastoreItem>
</file>

<file path=customXml/itemProps2.xml><?xml version="1.0" encoding="utf-8"?>
<ds:datastoreItem xmlns:ds="http://schemas.openxmlformats.org/officeDocument/2006/customXml" ds:itemID="{E7BB24C4-9B22-4F96-9A6D-EDE529FBF50A}">
  <ds:schemaRefs>
    <ds:schemaRef ds:uri="http://schemas.microsoft.com/sharepoint/v3/contenttype/forms"/>
  </ds:schemaRefs>
</ds:datastoreItem>
</file>

<file path=customXml/itemProps3.xml><?xml version="1.0" encoding="utf-8"?>
<ds:datastoreItem xmlns:ds="http://schemas.openxmlformats.org/officeDocument/2006/customXml" ds:itemID="{0DEF0A1B-4A28-477E-B5F4-B37A4039C5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94a398-d666-4b03-95e5-f25ddeadb0ce"/>
    <ds:schemaRef ds:uri="61d53272-842b-45d3-bf59-100e224a280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14</vt:i4>
      </vt:variant>
    </vt:vector>
  </HeadingPairs>
  <TitlesOfParts>
    <vt:vector size="22" baseType="lpstr">
      <vt:lpstr>Home</vt:lpstr>
      <vt:lpstr>Dados Cadastrais</vt:lpstr>
      <vt:lpstr>Indicadores Financeiros</vt:lpstr>
      <vt:lpstr>Relatório Custo</vt:lpstr>
      <vt:lpstr>Cronograma Físico Financeiro</vt:lpstr>
      <vt:lpstr>Resumo por Localidade</vt:lpstr>
      <vt:lpstr>Dúvidas</vt:lpstr>
      <vt:lpstr>Tabelas Estudo</vt:lpstr>
      <vt:lpstr>'Tabelas Estudo'!_Toc150858584</vt:lpstr>
      <vt:lpstr>'Tabelas Estudo'!_Toc150858588</vt:lpstr>
      <vt:lpstr>'Tabelas Estudo'!_Toc150858590</vt:lpstr>
      <vt:lpstr>'Tabelas Estudo'!_Toc150858599</vt:lpstr>
      <vt:lpstr>'Tabelas Estudo'!_Toc150858605</vt:lpstr>
      <vt:lpstr>'Tabelas Estudo'!_Toc150858606</vt:lpstr>
      <vt:lpstr>'Tabelas Estudo'!_Toc150858607</vt:lpstr>
      <vt:lpstr>'Cronograma Físico Financeiro'!Area_de_impressao</vt:lpstr>
      <vt:lpstr>'Dados Cadastrais'!Area_de_impressao</vt:lpstr>
      <vt:lpstr>'Indicadores Financeiros'!Area_de_impressao</vt:lpstr>
      <vt:lpstr>'Relatório Custo'!Area_de_impressao</vt:lpstr>
      <vt:lpstr>'Resumo por Localidade'!Area_de_impressao</vt:lpstr>
      <vt:lpstr>'Relatório Custo'!Titulos_de_impressao</vt:lpstr>
      <vt:lpstr>'Resumo por Localidade'!Titulos_de_impressao</vt:lpstr>
    </vt:vector>
  </TitlesOfParts>
  <Manager/>
  <Company>Tribunal de Justiça do Estado de São Paulo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imgaem</dc:creator>
  <cp:keywords/>
  <dc:description/>
  <cp:lastModifiedBy>MARCELLO YOSHIKAZU YOKOMISO</cp:lastModifiedBy>
  <cp:revision/>
  <cp:lastPrinted>2026-06-18T15:12:08Z</cp:lastPrinted>
  <dcterms:created xsi:type="dcterms:W3CDTF">2016-04-25T14:08:48Z</dcterms:created>
  <dcterms:modified xsi:type="dcterms:W3CDTF">2026-06-22T16:57:53Z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0x0101009B8495ABF8FC67488CC8C4A064F30999</vt:lpwstr>
  </property>
  <property fmtid="{D5CDD505-2E9C-101B-9397-08002B2CF9AE}" pid="3" name="WorkbookGuid">
    <vt:lpwstr>2271443d-021a-4059-a5f4-c381df56440e</vt:lpwstr>
  </property>
  <property fmtid="{D5CDD505-2E9C-101B-9397-08002B2CF9AE}" pid="4" name="MediaServiceImageTags">
    <vt:lpwstr/>
  </property>
</Properties>
</file>

<file path=userCustomization/customUI.xml><?xml version="1.0" encoding="utf-8"?>
<mso:customUI xmlns:mso="http://schemas.microsoft.com/office/2006/01/customui">
  <mso:ribbon>
    <mso:qat>
      <mso:documentControls>
        <mso:control idQ="mso:FileLinksToFiles" visible="true"/>
      </mso:documentControls>
    </mso:qat>
  </mso:ribbon>
</mso:customUI>
</file>