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8" Type="http://schemas.openxmlformats.org/officeDocument/2006/relationships/custom-properties" Target="docProps/custom.xml"/><Relationship Id="rId7" Type="http://schemas.openxmlformats.org/officeDocument/2006/relationships/extended-properties" Target="docProps/app.xml"/><Relationship Id="rId1" Type="http://schemas.openxmlformats.org/officeDocument/2006/relationships/officeDocument" Target="xl/workbook.xml"/><Relationship Id="rId6" Type="http://schemas.openxmlformats.org/package/2006/relationships/metadata/core-properties" Target="docProps/core.xml"/><Relationship Id="rId5" Type="http://schemas.microsoft.com/office/2006/relationships/ui/userCustomization" Target="userCustomization/customUI.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showInkAnnotation="0" defaultThemeVersion="124226"/>
  <mc:AlternateContent xmlns:mc="http://schemas.openxmlformats.org/markup-compatibility/2006">
    <mc:Choice Requires="x15">
      <x15ac:absPath xmlns:x15ac="http://schemas.microsoft.com/office/spreadsheetml/2010/11/ac" url="https://tjsp.sharepoint.com/teams/GRP_DiretoriadeLicitaeseSuprimentos/Documentos Compartilhados/002 - Licitações/Licitações/2022/p65066.26-PE/"/>
    </mc:Choice>
  </mc:AlternateContent>
  <xr:revisionPtr revIDLastSave="18" documentId="13_ncr:1_{C1820F32-6F7D-474D-85FA-EBDA9A2BED76}" xr6:coauthVersionLast="47" xr6:coauthVersionMax="47" xr10:uidLastSave="{C9EEC957-36C0-4419-82B5-8FE459A0133D}"/>
  <bookViews>
    <workbookView xWindow="2730" yWindow="1185" windowWidth="14205" windowHeight="15015" tabRatio="900" xr2:uid="{00000000-000D-0000-FFFF-FFFF00000000}"/>
  </bookViews>
  <sheets>
    <sheet name="Home" sheetId="30" r:id="rId1"/>
    <sheet name="Dados Cadastrais" sheetId="14" r:id="rId2"/>
    <sheet name="Indicadores Financeiros" sheetId="20" r:id="rId3"/>
    <sheet name="Relatório Custo" sheetId="7" r:id="rId4"/>
    <sheet name="Horas Extras" sheetId="31" r:id="rId5"/>
    <sheet name="Custo  Resumido" sheetId="24" r:id="rId6"/>
    <sheet name="Custo  Resumido por local" sheetId="29" r:id="rId7"/>
    <sheet name="Custo por Função" sheetId="28" r:id="rId8"/>
    <sheet name="Tabela de Códigos e Valores" sheetId="27" r:id="rId9"/>
  </sheets>
  <definedNames>
    <definedName name="_xlnm._FilterDatabase" localSheetId="5" hidden="1">'Custo  Resumido'!$A$2:$K$15</definedName>
    <definedName name="_xlnm._FilterDatabase" localSheetId="6" hidden="1">'Custo  Resumido por local'!$A$4:$K$17</definedName>
    <definedName name="_xlnm._FilterDatabase" localSheetId="3" hidden="1">'Relatório Custo'!$A$2:$LV$21</definedName>
    <definedName name="_xlnm._FilterDatabase" localSheetId="8" hidden="1">'Tabela de Códigos e Valores'!$A$4:$AE$15</definedName>
    <definedName name="_xlnm.Print_Area" localSheetId="5">'Custo  Resumido'!$A$1:$K$58</definedName>
    <definedName name="_xlnm.Print_Area" localSheetId="6">'Custo  Resumido por local'!$A$1:$K$60</definedName>
    <definedName name="_xlnm.Print_Area" localSheetId="7">'Custo por Função'!$A$1:$H$118</definedName>
    <definedName name="_xlnm.Print_Area" localSheetId="1">'Dados Cadastrais'!$A$1:$H$22</definedName>
    <definedName name="_xlnm.Print_Area" localSheetId="0">Home!$A$1:$K$47</definedName>
    <definedName name="_xlnm.Print_Area" localSheetId="4">'Horas Extras'!$A$1:$Q$9</definedName>
    <definedName name="_xlnm.Print_Area" localSheetId="2">'Indicadores Financeiros'!$A$1:$J$133</definedName>
    <definedName name="_xlnm.Print_Area" localSheetId="3">'Relatório Custo'!$A$1:$Z$23</definedName>
    <definedName name="_xlnm.Print_Area" localSheetId="8">'Tabela de Códigos e Valores'!$A$1:$AE$15</definedName>
    <definedName name="_xlnm.Print_Titles" localSheetId="3">'Relatório Custo'!$1:$2</definedName>
    <definedName name="_xlnm.Print_Titles" localSheetId="8">'Tabela de Códigos e Valores'!$A:$B,'Tabela de Códigos e Valores'!$1:$4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80" i="20" l="1"/>
  <c r="K79" i="20"/>
  <c r="M4" i="31"/>
  <c r="M5" i="31"/>
  <c r="M6" i="31"/>
  <c r="M7" i="31"/>
  <c r="M8" i="31"/>
  <c r="M9" i="31"/>
  <c r="M3" i="31"/>
  <c r="L6" i="31"/>
  <c r="L3" i="31"/>
  <c r="O8" i="7" l="1"/>
  <c r="O9" i="7"/>
  <c r="O10" i="7"/>
  <c r="O11" i="7"/>
  <c r="O12" i="7"/>
  <c r="O13" i="7"/>
  <c r="O21" i="7"/>
  <c r="M8" i="7"/>
  <c r="M11" i="7"/>
  <c r="V6" i="27"/>
  <c r="J100" i="20"/>
  <c r="V7" i="27" s="1"/>
  <c r="V5" i="27" l="1"/>
  <c r="V8" i="27"/>
  <c r="V9" i="27"/>
  <c r="D11" i="27"/>
  <c r="D12" i="27"/>
  <c r="D13" i="27"/>
  <c r="D14" i="27"/>
  <c r="D15" i="27"/>
  <c r="D10" i="27"/>
  <c r="Z15" i="27"/>
  <c r="Z14" i="27"/>
  <c r="Z12" i="27"/>
  <c r="Z11" i="27"/>
  <c r="F4" i="31"/>
  <c r="F5" i="31"/>
  <c r="F6" i="31"/>
  <c r="F7" i="31"/>
  <c r="F8" i="31"/>
  <c r="F9" i="31"/>
  <c r="F3" i="31"/>
  <c r="E4" i="31"/>
  <c r="E5" i="31"/>
  <c r="E6" i="31"/>
  <c r="E7" i="31"/>
  <c r="E8" i="31"/>
  <c r="E9" i="31"/>
  <c r="E3" i="31"/>
  <c r="C9" i="31"/>
  <c r="C4" i="31"/>
  <c r="C5" i="31"/>
  <c r="C6" i="31"/>
  <c r="C7" i="31"/>
  <c r="C8" i="31"/>
  <c r="C3" i="31"/>
  <c r="F21" i="7"/>
  <c r="G21" i="7"/>
  <c r="H21" i="7"/>
  <c r="E21" i="7"/>
  <c r="D21" i="7"/>
  <c r="B21" i="7"/>
  <c r="D8" i="7"/>
  <c r="I11" i="27"/>
  <c r="I12" i="27"/>
  <c r="I13" i="27"/>
  <c r="I14" i="27"/>
  <c r="I15" i="27"/>
  <c r="I10" i="27"/>
  <c r="D6" i="27"/>
  <c r="D7" i="27"/>
  <c r="D8" i="27"/>
  <c r="D9" i="27"/>
  <c r="D5" i="27"/>
  <c r="B8" i="27"/>
  <c r="B7" i="27"/>
  <c r="AA8" i="27"/>
  <c r="J8" i="27"/>
  <c r="J14" i="27" s="1"/>
  <c r="I8" i="27"/>
  <c r="N21" i="7" l="1"/>
  <c r="Z21" i="7"/>
  <c r="O6" i="7"/>
  <c r="O18" i="7"/>
  <c r="J13" i="27"/>
  <c r="J15" i="27"/>
  <c r="L8" i="27"/>
  <c r="Y21" i="7"/>
  <c r="V21" i="7"/>
  <c r="B6" i="27"/>
  <c r="B9" i="27"/>
  <c r="B5" i="27"/>
  <c r="H5" i="27"/>
  <c r="H6" i="27"/>
  <c r="H9" i="27"/>
  <c r="H7" i="27"/>
  <c r="H115" i="20"/>
  <c r="H116" i="20"/>
  <c r="H117" i="20"/>
  <c r="H118" i="20"/>
  <c r="H114" i="20"/>
  <c r="J60" i="20"/>
  <c r="J59" i="20"/>
  <c r="J58" i="20"/>
  <c r="J57" i="20"/>
  <c r="J42" i="20"/>
  <c r="J39" i="20"/>
  <c r="J34" i="20"/>
  <c r="P6" i="31" l="1"/>
  <c r="P7" i="31"/>
  <c r="P8" i="31"/>
  <c r="P3" i="31"/>
  <c r="P4" i="31"/>
  <c r="P5" i="31"/>
  <c r="Q21" i="7"/>
  <c r="P9" i="31"/>
  <c r="H20" i="7"/>
  <c r="H19" i="7"/>
  <c r="H18" i="7"/>
  <c r="H17" i="7"/>
  <c r="H16" i="7"/>
  <c r="H15" i="7"/>
  <c r="H14" i="7"/>
  <c r="H13" i="7"/>
  <c r="H12" i="7"/>
  <c r="H11" i="7"/>
  <c r="H10" i="7"/>
  <c r="H9" i="7"/>
  <c r="H8" i="7"/>
  <c r="H7" i="7"/>
  <c r="H6" i="7"/>
  <c r="H5" i="7"/>
  <c r="H4" i="7"/>
  <c r="H3" i="7"/>
  <c r="AA6" i="27"/>
  <c r="AA9" i="27"/>
  <c r="AA7" i="27"/>
  <c r="O5" i="7" s="1"/>
  <c r="AA5" i="27"/>
  <c r="O3" i="7" s="1"/>
  <c r="O7" i="7" l="1"/>
  <c r="O16" i="7"/>
  <c r="O19" i="7"/>
  <c r="O4" i="7"/>
  <c r="O20" i="7"/>
  <c r="O14" i="7"/>
  <c r="O15" i="7"/>
  <c r="O17" i="7"/>
  <c r="X4" i="27"/>
  <c r="J35" i="20" l="1"/>
  <c r="J36" i="20" s="1"/>
  <c r="G5" i="7"/>
  <c r="F5" i="7"/>
  <c r="E5" i="7"/>
  <c r="D5" i="7"/>
  <c r="B5" i="7"/>
  <c r="G6" i="7"/>
  <c r="F6" i="7"/>
  <c r="E6" i="7"/>
  <c r="D6" i="7"/>
  <c r="B6" i="7"/>
  <c r="K77" i="20" l="1"/>
  <c r="K78" i="20"/>
  <c r="B11" i="29"/>
  <c r="F11" i="29"/>
  <c r="I11" i="29" s="1"/>
  <c r="G11" i="29"/>
  <c r="B12" i="29"/>
  <c r="F12" i="29"/>
  <c r="I12" i="29" s="1"/>
  <c r="G12" i="29"/>
  <c r="B13" i="29"/>
  <c r="F13" i="29"/>
  <c r="I13" i="29" s="1"/>
  <c r="G13" i="29"/>
  <c r="B14" i="29"/>
  <c r="F14" i="29"/>
  <c r="I14" i="29" s="1"/>
  <c r="G14" i="29"/>
  <c r="B15" i="29"/>
  <c r="F15" i="29"/>
  <c r="I15" i="29" s="1"/>
  <c r="G15" i="29"/>
  <c r="H9" i="24"/>
  <c r="H10" i="24"/>
  <c r="H11" i="24"/>
  <c r="H12" i="24"/>
  <c r="H13" i="24"/>
  <c r="F9" i="24"/>
  <c r="G9" i="24"/>
  <c r="F10" i="24"/>
  <c r="G10" i="24"/>
  <c r="F11" i="24"/>
  <c r="G11" i="24"/>
  <c r="F12" i="24"/>
  <c r="G12" i="24"/>
  <c r="F13" i="24"/>
  <c r="G13" i="24"/>
  <c r="B9" i="24"/>
  <c r="B10" i="24"/>
  <c r="B11" i="24"/>
  <c r="B12" i="24"/>
  <c r="B13" i="24"/>
  <c r="G9" i="7"/>
  <c r="G10" i="7"/>
  <c r="G11" i="7"/>
  <c r="G12" i="7"/>
  <c r="G13" i="7"/>
  <c r="G14" i="7"/>
  <c r="G15" i="7"/>
  <c r="G16" i="7"/>
  <c r="G17" i="7"/>
  <c r="G18" i="7"/>
  <c r="G19" i="7"/>
  <c r="G20" i="7"/>
  <c r="F9" i="7"/>
  <c r="F10" i="7"/>
  <c r="F11" i="7"/>
  <c r="F12" i="7"/>
  <c r="F13" i="7"/>
  <c r="F14" i="7"/>
  <c r="F15" i="7"/>
  <c r="F16" i="7"/>
  <c r="F17" i="7"/>
  <c r="F18" i="7"/>
  <c r="F19" i="7"/>
  <c r="F20" i="7"/>
  <c r="E9" i="7"/>
  <c r="E10" i="7"/>
  <c r="E11" i="7"/>
  <c r="E12" i="7"/>
  <c r="E13" i="7"/>
  <c r="E14" i="7"/>
  <c r="E15" i="7"/>
  <c r="E16" i="7"/>
  <c r="E17" i="7"/>
  <c r="E18" i="7"/>
  <c r="E19" i="7"/>
  <c r="E20" i="7"/>
  <c r="D9" i="7"/>
  <c r="D10" i="7"/>
  <c r="D11" i="7"/>
  <c r="D12" i="7"/>
  <c r="D13" i="7"/>
  <c r="D14" i="7"/>
  <c r="D15" i="7"/>
  <c r="D16" i="7"/>
  <c r="D17" i="7"/>
  <c r="D18" i="7"/>
  <c r="D19" i="7"/>
  <c r="D20" i="7"/>
  <c r="B9" i="7"/>
  <c r="B10" i="7"/>
  <c r="B11" i="7"/>
  <c r="B12" i="7"/>
  <c r="B13" i="7"/>
  <c r="B14" i="7"/>
  <c r="B15" i="7"/>
  <c r="B16" i="7"/>
  <c r="B17" i="7"/>
  <c r="B18" i="7"/>
  <c r="B19" i="7"/>
  <c r="B20" i="7"/>
  <c r="Y10" i="27"/>
  <c r="N11" i="7" l="1"/>
  <c r="Z11" i="7"/>
  <c r="N10" i="7"/>
  <c r="Z10" i="7"/>
  <c r="N9" i="7"/>
  <c r="Z9" i="7"/>
  <c r="N13" i="7"/>
  <c r="Z13" i="7"/>
  <c r="N12" i="7"/>
  <c r="Z12" i="7"/>
  <c r="H11" i="29"/>
  <c r="H15" i="29"/>
  <c r="H14" i="29"/>
  <c r="H12" i="29"/>
  <c r="H13" i="29"/>
  <c r="H15" i="27" l="1"/>
  <c r="H14" i="27"/>
  <c r="H13" i="27"/>
  <c r="H12" i="27"/>
  <c r="H11" i="27"/>
  <c r="I21" i="7" s="1"/>
  <c r="H10" i="27"/>
  <c r="H8" i="27"/>
  <c r="Z8" i="27" l="1"/>
  <c r="G10" i="29"/>
  <c r="F10" i="29"/>
  <c r="B10" i="29"/>
  <c r="G9" i="29"/>
  <c r="F9" i="29"/>
  <c r="B9" i="29"/>
  <c r="G8" i="29"/>
  <c r="F8" i="29"/>
  <c r="B8" i="29"/>
  <c r="G7" i="29"/>
  <c r="F7" i="29"/>
  <c r="B7" i="29"/>
  <c r="G6" i="29"/>
  <c r="F6" i="29"/>
  <c r="B6" i="29"/>
  <c r="G5" i="29"/>
  <c r="F5" i="29"/>
  <c r="B5" i="29"/>
  <c r="H8" i="24" l="1"/>
  <c r="H7" i="24"/>
  <c r="H6" i="24"/>
  <c r="H5" i="24"/>
  <c r="H4" i="24"/>
  <c r="G8" i="24"/>
  <c r="F8" i="24"/>
  <c r="G7" i="24"/>
  <c r="F7" i="24"/>
  <c r="G6" i="24"/>
  <c r="F6" i="24"/>
  <c r="G5" i="24"/>
  <c r="F5" i="24"/>
  <c r="G4" i="24"/>
  <c r="F4" i="24"/>
  <c r="B8" i="24"/>
  <c r="B7" i="24"/>
  <c r="B6" i="24"/>
  <c r="B5" i="24"/>
  <c r="B4" i="24"/>
  <c r="J7" i="27" l="1"/>
  <c r="J9" i="27"/>
  <c r="K13" i="27" s="1"/>
  <c r="J6" i="27"/>
  <c r="I6" i="27"/>
  <c r="I5" i="27"/>
  <c r="J5" i="27"/>
  <c r="J84" i="20"/>
  <c r="G4" i="7"/>
  <c r="G7" i="7"/>
  <c r="G8" i="7"/>
  <c r="F4" i="7"/>
  <c r="F7" i="7"/>
  <c r="F8" i="7"/>
  <c r="E4" i="7"/>
  <c r="E7" i="7"/>
  <c r="E8" i="7"/>
  <c r="D4" i="7"/>
  <c r="D7" i="7"/>
  <c r="B7" i="7"/>
  <c r="B8" i="7"/>
  <c r="N8" i="7" l="1"/>
  <c r="Z8" i="7"/>
  <c r="K15" i="27"/>
  <c r="J11" i="27"/>
  <c r="J12" i="27"/>
  <c r="J10" i="27"/>
  <c r="I15" i="7"/>
  <c r="I20" i="7"/>
  <c r="I4" i="7"/>
  <c r="I7" i="7"/>
  <c r="I13" i="7"/>
  <c r="I5" i="7"/>
  <c r="I12" i="7"/>
  <c r="I11" i="7"/>
  <c r="I10" i="7"/>
  <c r="I17" i="7"/>
  <c r="I9" i="7"/>
  <c r="I16" i="7"/>
  <c r="I6" i="7"/>
  <c r="I18" i="7"/>
  <c r="H19" i="28"/>
  <c r="K14" i="27"/>
  <c r="H18" i="28"/>
  <c r="K10" i="27"/>
  <c r="H10" i="29"/>
  <c r="H9" i="29"/>
  <c r="H8" i="29"/>
  <c r="J85" i="20"/>
  <c r="J87" i="20"/>
  <c r="J86" i="20"/>
  <c r="I9" i="27"/>
  <c r="Z6" i="27"/>
  <c r="L6" i="27"/>
  <c r="F98" i="28"/>
  <c r="F97" i="28"/>
  <c r="F77" i="28"/>
  <c r="G76" i="28"/>
  <c r="F76" i="28"/>
  <c r="F30" i="28"/>
  <c r="F25" i="28"/>
  <c r="B14" i="28"/>
  <c r="C4" i="28"/>
  <c r="C9" i="28"/>
  <c r="E76" i="28" s="1"/>
  <c r="F8" i="28"/>
  <c r="F99" i="28" s="1"/>
  <c r="C7" i="28"/>
  <c r="C6" i="28"/>
  <c r="F96" i="28" s="1"/>
  <c r="C5" i="28"/>
  <c r="F95" i="28" s="1"/>
  <c r="A9" i="28"/>
  <c r="A102" i="28"/>
  <c r="N18" i="7" l="1"/>
  <c r="N17" i="7"/>
  <c r="N7" i="7"/>
  <c r="N6" i="7"/>
  <c r="N16" i="7"/>
  <c r="N20" i="7"/>
  <c r="N15" i="7"/>
  <c r="H4" i="31"/>
  <c r="H5" i="31"/>
  <c r="H9" i="31"/>
  <c r="H3" i="31"/>
  <c r="I3" i="31" s="1"/>
  <c r="H76" i="28"/>
  <c r="K4" i="7"/>
  <c r="V4" i="7" s="1"/>
  <c r="L13" i="27"/>
  <c r="L14" i="27"/>
  <c r="L15" i="27"/>
  <c r="K20" i="7" s="1"/>
  <c r="V20" i="7" s="1"/>
  <c r="L9" i="27"/>
  <c r="H7" i="29"/>
  <c r="Z9" i="27"/>
  <c r="J88" i="20"/>
  <c r="H111" i="28"/>
  <c r="F100" i="28"/>
  <c r="H6" i="31" l="1"/>
  <c r="I6" i="31" s="1"/>
  <c r="H7" i="31"/>
  <c r="H8" i="31"/>
  <c r="J3" i="31"/>
  <c r="I9" i="31"/>
  <c r="J9" i="31" s="1"/>
  <c r="I5" i="31"/>
  <c r="J5" i="31" s="1"/>
  <c r="I4" i="31"/>
  <c r="J4" i="31" s="1"/>
  <c r="H20" i="28"/>
  <c r="I7" i="27"/>
  <c r="N5" i="7" s="1"/>
  <c r="F3" i="7"/>
  <c r="I8" i="31" l="1"/>
  <c r="J8" i="31" s="1"/>
  <c r="I7" i="31"/>
  <c r="J7" i="31" s="1"/>
  <c r="J6" i="31"/>
  <c r="K7" i="7"/>
  <c r="K13" i="7"/>
  <c r="V13" i="7" s="1"/>
  <c r="K12" i="7"/>
  <c r="V12" i="7" s="1"/>
  <c r="K11" i="7"/>
  <c r="V11" i="7" s="1"/>
  <c r="L7" i="27"/>
  <c r="K5" i="7" s="1"/>
  <c r="Z7" i="27"/>
  <c r="G3" i="7"/>
  <c r="V5" i="7" l="1"/>
  <c r="V7" i="7"/>
  <c r="K18" i="7"/>
  <c r="K6" i="7"/>
  <c r="I14" i="7"/>
  <c r="I19" i="7"/>
  <c r="I3" i="7"/>
  <c r="I8" i="7"/>
  <c r="F14" i="28"/>
  <c r="L10" i="27"/>
  <c r="K11" i="27"/>
  <c r="L11" i="27" s="1"/>
  <c r="K12" i="27"/>
  <c r="L12" i="27" s="1"/>
  <c r="Z5" i="27"/>
  <c r="L5" i="27"/>
  <c r="N19" i="7" l="1"/>
  <c r="N14" i="7"/>
  <c r="V6" i="7"/>
  <c r="V18" i="7"/>
  <c r="I13" i="24" s="1"/>
  <c r="K21" i="7"/>
  <c r="K9" i="7"/>
  <c r="V9" i="7" s="1"/>
  <c r="I9" i="24" s="1"/>
  <c r="K16" i="7"/>
  <c r="K10" i="7"/>
  <c r="V10" i="7" s="1"/>
  <c r="K15" i="7"/>
  <c r="K17" i="7"/>
  <c r="K8" i="7"/>
  <c r="V8" i="7" s="1"/>
  <c r="K14" i="7"/>
  <c r="V14" i="7" s="1"/>
  <c r="K19" i="7"/>
  <c r="V19" i="7" s="1"/>
  <c r="K3" i="7"/>
  <c r="I8" i="29"/>
  <c r="I9" i="29"/>
  <c r="J23" i="20"/>
  <c r="F31" i="28" s="1"/>
  <c r="F42" i="28"/>
  <c r="I6" i="24" l="1"/>
  <c r="V17" i="7"/>
  <c r="I11" i="24" s="1"/>
  <c r="V15" i="7"/>
  <c r="V16" i="7"/>
  <c r="I12" i="24" s="1"/>
  <c r="I10" i="24"/>
  <c r="I8" i="24"/>
  <c r="I10" i="29"/>
  <c r="F68" i="28"/>
  <c r="H3" i="24"/>
  <c r="I7" i="24" l="1"/>
  <c r="G3" i="24"/>
  <c r="F3" i="24"/>
  <c r="B3" i="24"/>
  <c r="E3" i="7" l="1"/>
  <c r="D3" i="7"/>
  <c r="V3" i="7" l="1"/>
  <c r="V22" i="7" s="1"/>
  <c r="G14" i="28"/>
  <c r="H88" i="28" l="1"/>
  <c r="H87" i="28"/>
  <c r="H86" i="28"/>
  <c r="H21" i="28"/>
  <c r="G77" i="28"/>
  <c r="H77" i="28" s="1"/>
  <c r="B4" i="7"/>
  <c r="N4" i="7" s="1"/>
  <c r="H112" i="28" l="1"/>
  <c r="H6" i="29"/>
  <c r="J102" i="20"/>
  <c r="X8" i="27" s="1"/>
  <c r="J99" i="20"/>
  <c r="U8" i="27" s="1"/>
  <c r="J98" i="20"/>
  <c r="T8" i="27" s="1"/>
  <c r="J97" i="20"/>
  <c r="S8" i="27" s="1"/>
  <c r="J92" i="20"/>
  <c r="N8" i="27" s="1"/>
  <c r="J95" i="20"/>
  <c r="Q8" i="27" s="1"/>
  <c r="J94" i="20"/>
  <c r="P8" i="27" s="1"/>
  <c r="J93" i="20"/>
  <c r="O8" i="27" s="1"/>
  <c r="J96" i="20"/>
  <c r="R8" i="27" s="1"/>
  <c r="J101" i="20"/>
  <c r="W11" i="27" l="1"/>
  <c r="W14" i="27"/>
  <c r="Y14" i="27" s="1"/>
  <c r="M12" i="7" s="1"/>
  <c r="L8" i="31"/>
  <c r="L4" i="31"/>
  <c r="L9" i="31"/>
  <c r="L5" i="31"/>
  <c r="L7" i="31"/>
  <c r="W15" i="27"/>
  <c r="Y15" i="27" s="1"/>
  <c r="M13" i="7" s="1"/>
  <c r="W8" i="27"/>
  <c r="Y8" i="27" s="1"/>
  <c r="Y13" i="27"/>
  <c r="W12" i="27"/>
  <c r="Y12" i="27" s="1"/>
  <c r="M10" i="7" s="1"/>
  <c r="Y11" i="27"/>
  <c r="W5" i="27"/>
  <c r="R9" i="27"/>
  <c r="R7" i="27"/>
  <c r="R6" i="27"/>
  <c r="N9" i="27"/>
  <c r="N6" i="27"/>
  <c r="N7" i="27"/>
  <c r="X9" i="27"/>
  <c r="X7" i="27"/>
  <c r="X6" i="27"/>
  <c r="O9" i="27"/>
  <c r="O7" i="27"/>
  <c r="O6" i="27"/>
  <c r="S7" i="27"/>
  <c r="S6" i="27"/>
  <c r="S9" i="27"/>
  <c r="P7" i="27"/>
  <c r="P6" i="27"/>
  <c r="P9" i="27"/>
  <c r="T7" i="27"/>
  <c r="T6" i="27"/>
  <c r="T9" i="27"/>
  <c r="W6" i="27"/>
  <c r="W7" i="27"/>
  <c r="W9" i="27"/>
  <c r="Q7" i="27"/>
  <c r="Q6" i="27"/>
  <c r="Q9" i="27"/>
  <c r="U7" i="27"/>
  <c r="U6" i="27"/>
  <c r="U9" i="27"/>
  <c r="O5" i="27"/>
  <c r="H79" i="28" s="1"/>
  <c r="R5" i="27"/>
  <c r="H82" i="28" s="1"/>
  <c r="P5" i="27"/>
  <c r="H80" i="28" s="1"/>
  <c r="T5" i="27"/>
  <c r="H84" i="28" s="1"/>
  <c r="U5" i="27"/>
  <c r="H85" i="28" s="1"/>
  <c r="X5" i="27"/>
  <c r="S5" i="27"/>
  <c r="H83" i="28" s="1"/>
  <c r="Q5" i="27"/>
  <c r="H81" i="28" s="1"/>
  <c r="N5" i="27"/>
  <c r="H78" i="28" s="1"/>
  <c r="B3" i="7"/>
  <c r="N3" i="7" s="1"/>
  <c r="M6" i="7" l="1"/>
  <c r="M18" i="7"/>
  <c r="M9" i="7"/>
  <c r="M21" i="7"/>
  <c r="H31" i="29"/>
  <c r="H30" i="29"/>
  <c r="H56" i="29"/>
  <c r="H53" i="29"/>
  <c r="H51" i="29"/>
  <c r="H45" i="29"/>
  <c r="H48" i="29"/>
  <c r="H40" i="29"/>
  <c r="H37" i="29"/>
  <c r="H35" i="29"/>
  <c r="H52" i="29"/>
  <c r="H55" i="29"/>
  <c r="H32" i="29"/>
  <c r="H50" i="29"/>
  <c r="H57" i="29"/>
  <c r="H54" i="29"/>
  <c r="H44" i="29"/>
  <c r="H58" i="29"/>
  <c r="H49" i="29"/>
  <c r="H46" i="29"/>
  <c r="H36" i="29"/>
  <c r="H41" i="29"/>
  <c r="H38" i="29"/>
  <c r="H39" i="29"/>
  <c r="H42" i="29"/>
  <c r="H33" i="29"/>
  <c r="H47" i="29"/>
  <c r="H59" i="29"/>
  <c r="H34" i="29"/>
  <c r="H43" i="29"/>
  <c r="H5" i="29"/>
  <c r="H14" i="28"/>
  <c r="Y9" i="27"/>
  <c r="Y6" i="27"/>
  <c r="Y7" i="27"/>
  <c r="M5" i="7" s="1"/>
  <c r="Y5" i="27"/>
  <c r="M3" i="7" s="1"/>
  <c r="J24" i="20"/>
  <c r="F32" i="28" s="1"/>
  <c r="J21" i="20"/>
  <c r="F29" i="28" s="1"/>
  <c r="J20" i="20"/>
  <c r="F28" i="28" s="1"/>
  <c r="J19" i="20"/>
  <c r="F27" i="28" s="1"/>
  <c r="J18" i="20"/>
  <c r="F3" i="20"/>
  <c r="C3" i="28" s="1"/>
  <c r="F2" i="20"/>
  <c r="C2" i="28" s="1"/>
  <c r="M16" i="7" l="1"/>
  <c r="M7" i="7"/>
  <c r="M19" i="7"/>
  <c r="M15" i="7"/>
  <c r="M17" i="7"/>
  <c r="M14" i="7"/>
  <c r="M20" i="7"/>
  <c r="M4" i="7"/>
  <c r="F26" i="28"/>
  <c r="F33" i="28" s="1"/>
  <c r="J25" i="20"/>
  <c r="I23" i="29" s="1"/>
  <c r="Q5" i="7"/>
  <c r="Q6" i="7"/>
  <c r="H89" i="28"/>
  <c r="Q9" i="7"/>
  <c r="Q17" i="7"/>
  <c r="AC13" i="27"/>
  <c r="AC12" i="27"/>
  <c r="AC11" i="27"/>
  <c r="Q7" i="7"/>
  <c r="Q16" i="7"/>
  <c r="Q10" i="7"/>
  <c r="Q18" i="7"/>
  <c r="Q11" i="7"/>
  <c r="Q19" i="7"/>
  <c r="Q4" i="7"/>
  <c r="Q12" i="7"/>
  <c r="Q20" i="7"/>
  <c r="AC10" i="27"/>
  <c r="AC8" i="27"/>
  <c r="Q14" i="7"/>
  <c r="Q13" i="7"/>
  <c r="Q15" i="7"/>
  <c r="AC15" i="27"/>
  <c r="Q8" i="7"/>
  <c r="AC14" i="27"/>
  <c r="AC7" i="27"/>
  <c r="AC6" i="27"/>
  <c r="AC9" i="27"/>
  <c r="C10" i="28"/>
  <c r="G116" i="28" s="1"/>
  <c r="AC5" i="27"/>
  <c r="Q3" i="7"/>
  <c r="F67" i="28"/>
  <c r="F66" i="28"/>
  <c r="F65" i="28"/>
  <c r="J50" i="20"/>
  <c r="F58" i="28" s="1"/>
  <c r="J45" i="20"/>
  <c r="F53" i="28" s="1"/>
  <c r="F50" i="28"/>
  <c r="F47" i="28"/>
  <c r="J28" i="20"/>
  <c r="F36" i="28" l="1"/>
  <c r="J20" i="29"/>
  <c r="J18" i="24"/>
  <c r="J44" i="20"/>
  <c r="F52" i="28" s="1"/>
  <c r="I21" i="24"/>
  <c r="I70" i="20"/>
  <c r="J40" i="20"/>
  <c r="J29" i="20"/>
  <c r="J67" i="20"/>
  <c r="J52" i="20"/>
  <c r="F60" i="28" s="1"/>
  <c r="J43" i="20"/>
  <c r="F51" i="28" s="1"/>
  <c r="J56" i="20"/>
  <c r="F43" i="28"/>
  <c r="F44" i="28" s="1"/>
  <c r="J46" i="20" l="1"/>
  <c r="F54" i="28" s="1"/>
  <c r="F48" i="28"/>
  <c r="F37" i="28"/>
  <c r="J22" i="29"/>
  <c r="F64" i="28"/>
  <c r="J21" i="29"/>
  <c r="J68" i="20"/>
  <c r="J19" i="24"/>
  <c r="J69" i="20"/>
  <c r="J20" i="24"/>
  <c r="J41" i="20"/>
  <c r="F49" i="28" s="1"/>
  <c r="J30" i="20"/>
  <c r="F38" i="28" s="1"/>
  <c r="J51" i="20"/>
  <c r="F59" i="28" s="1"/>
  <c r="F61" i="28" s="1"/>
  <c r="J61" i="20"/>
  <c r="F69" i="28" s="1"/>
  <c r="F70" i="28" s="1"/>
  <c r="J47" i="20" l="1"/>
  <c r="F55" i="28"/>
  <c r="J23" i="29"/>
  <c r="F39" i="28"/>
  <c r="H114" i="28"/>
  <c r="J21" i="24"/>
  <c r="J70" i="20"/>
  <c r="J62" i="20"/>
  <c r="J53" i="20"/>
  <c r="J24" i="29" s="1"/>
  <c r="J31" i="20"/>
  <c r="Z4" i="7" l="1"/>
  <c r="Z20" i="7"/>
  <c r="Z5" i="7"/>
  <c r="Z7" i="7"/>
  <c r="Z6" i="7"/>
  <c r="Z18" i="7"/>
  <c r="Z19" i="7"/>
  <c r="Z15" i="7"/>
  <c r="Z17" i="7"/>
  <c r="Z16" i="7"/>
  <c r="Z14" i="7"/>
  <c r="Z3" i="7"/>
  <c r="F72" i="28"/>
  <c r="H72" i="28" s="1"/>
  <c r="H92" i="28" s="1"/>
  <c r="J25" i="29"/>
  <c r="J64" i="20"/>
  <c r="J71" i="20"/>
  <c r="J72" i="20" s="1"/>
  <c r="W21" i="7" s="1"/>
  <c r="J22" i="24"/>
  <c r="K3" i="31" l="1"/>
  <c r="O3" i="31" s="1"/>
  <c r="Q3" i="31" s="1"/>
  <c r="K4" i="31"/>
  <c r="O4" i="31" s="1"/>
  <c r="Q4" i="31" s="1"/>
  <c r="K5" i="31"/>
  <c r="O5" i="31" s="1"/>
  <c r="Q5" i="31" s="1"/>
  <c r="K9" i="31"/>
  <c r="O9" i="31" s="1"/>
  <c r="Q9" i="31" s="1"/>
  <c r="K7" i="31"/>
  <c r="O7" i="31" s="1"/>
  <c r="Q7" i="31" s="1"/>
  <c r="K6" i="31"/>
  <c r="O6" i="31" s="1"/>
  <c r="Q6" i="31" s="1"/>
  <c r="K8" i="31"/>
  <c r="O8" i="31" s="1"/>
  <c r="Q8" i="31" s="1"/>
  <c r="W5" i="7"/>
  <c r="W6" i="7"/>
  <c r="W19" i="7"/>
  <c r="W13" i="7"/>
  <c r="W17" i="7"/>
  <c r="W14" i="7"/>
  <c r="W18" i="7"/>
  <c r="W20" i="7"/>
  <c r="W12" i="7"/>
  <c r="W10" i="7"/>
  <c r="W9" i="7"/>
  <c r="W15" i="7"/>
  <c r="W11" i="7"/>
  <c r="W16" i="7"/>
  <c r="W4" i="7"/>
  <c r="W7" i="7"/>
  <c r="W8" i="7"/>
  <c r="M14" i="27"/>
  <c r="M13" i="27"/>
  <c r="M15" i="27"/>
  <c r="M8" i="27"/>
  <c r="M10" i="27"/>
  <c r="M11" i="27"/>
  <c r="L21" i="7" s="1"/>
  <c r="P21" i="7" s="1"/>
  <c r="R21" i="7" s="1"/>
  <c r="S21" i="7" s="1"/>
  <c r="T21" i="7" s="1"/>
  <c r="M12" i="27"/>
  <c r="M6" i="27"/>
  <c r="M9" i="27"/>
  <c r="M7" i="27"/>
  <c r="M5" i="27"/>
  <c r="J23" i="24"/>
  <c r="L20" i="7" l="1"/>
  <c r="P20" i="7" s="1"/>
  <c r="R20" i="7" s="1"/>
  <c r="L4" i="7"/>
  <c r="P4" i="7" s="1"/>
  <c r="R4" i="7" s="1"/>
  <c r="L15" i="7"/>
  <c r="P15" i="7" s="1"/>
  <c r="L16" i="7"/>
  <c r="P16" i="7" s="1"/>
  <c r="R16" i="7" s="1"/>
  <c r="L19" i="7"/>
  <c r="P19" i="7" s="1"/>
  <c r="R19" i="7" s="1"/>
  <c r="L3" i="7"/>
  <c r="L8" i="7"/>
  <c r="P8" i="7" s="1"/>
  <c r="R8" i="7" s="1"/>
  <c r="L14" i="7"/>
  <c r="P14" i="7" s="1"/>
  <c r="R14" i="7" s="1"/>
  <c r="L18" i="7"/>
  <c r="P18" i="7" s="1"/>
  <c r="R18" i="7" s="1"/>
  <c r="L6" i="7"/>
  <c r="P6" i="7" s="1"/>
  <c r="R6" i="7" s="1"/>
  <c r="L13" i="7"/>
  <c r="P13" i="7" s="1"/>
  <c r="L5" i="7"/>
  <c r="P5" i="7" s="1"/>
  <c r="R5" i="7" s="1"/>
  <c r="Y5" i="7" s="1"/>
  <c r="L12" i="7"/>
  <c r="P12" i="7" s="1"/>
  <c r="R12" i="7" s="1"/>
  <c r="L11" i="7"/>
  <c r="P11" i="7" s="1"/>
  <c r="L10" i="7"/>
  <c r="P10" i="7" s="1"/>
  <c r="R10" i="7" s="1"/>
  <c r="L17" i="7"/>
  <c r="P17" i="7" s="1"/>
  <c r="R17" i="7" s="1"/>
  <c r="L9" i="7"/>
  <c r="P9" i="7" s="1"/>
  <c r="R9" i="7" s="1"/>
  <c r="L7" i="7"/>
  <c r="P7" i="7" s="1"/>
  <c r="R7" i="7" s="1"/>
  <c r="AB10" i="27"/>
  <c r="AD10" i="27" s="1"/>
  <c r="AE10" i="27" s="1"/>
  <c r="R3" i="31" s="1"/>
  <c r="AB15" i="27"/>
  <c r="AD15" i="27" s="1"/>
  <c r="AE15" i="27" s="1"/>
  <c r="R8" i="31" s="1"/>
  <c r="AB8" i="27"/>
  <c r="AD8" i="27" s="1"/>
  <c r="AE8" i="27" s="1"/>
  <c r="AB11" i="27"/>
  <c r="AD11" i="27" s="1"/>
  <c r="AE11" i="27" s="1"/>
  <c r="R9" i="31" s="1"/>
  <c r="AB13" i="27"/>
  <c r="AD13" i="27" s="1"/>
  <c r="AE13" i="27" s="1"/>
  <c r="R6" i="31" s="1"/>
  <c r="AB12" i="27"/>
  <c r="AD12" i="27" s="1"/>
  <c r="AE12" i="27" s="1"/>
  <c r="R5" i="31" s="1"/>
  <c r="AB14" i="27"/>
  <c r="AD14" i="27" s="1"/>
  <c r="AE14" i="27" s="1"/>
  <c r="R7" i="31" s="1"/>
  <c r="AB7" i="27"/>
  <c r="AD7" i="27" s="1"/>
  <c r="AE7" i="27" s="1"/>
  <c r="AB9" i="27"/>
  <c r="AB6" i="27"/>
  <c r="AB5" i="27"/>
  <c r="H100" i="28" s="1"/>
  <c r="H102" i="28" s="1"/>
  <c r="H104" i="28" s="1"/>
  <c r="R4" i="31" l="1"/>
  <c r="S14" i="7"/>
  <c r="T14" i="7" s="1"/>
  <c r="Y14" i="7"/>
  <c r="S20" i="7"/>
  <c r="T20" i="7" s="1"/>
  <c r="Y20" i="7"/>
  <c r="S16" i="7"/>
  <c r="T16" i="7" s="1"/>
  <c r="Y16" i="7"/>
  <c r="S9" i="7"/>
  <c r="T9" i="7" s="1"/>
  <c r="Y9" i="7"/>
  <c r="S12" i="7"/>
  <c r="T12" i="7" s="1"/>
  <c r="Y12" i="7"/>
  <c r="S19" i="7"/>
  <c r="T19" i="7" s="1"/>
  <c r="Y19" i="7"/>
  <c r="S17" i="7"/>
  <c r="T17" i="7" s="1"/>
  <c r="Y17" i="7"/>
  <c r="S18" i="7"/>
  <c r="T18" i="7" s="1"/>
  <c r="Y18" i="7"/>
  <c r="S10" i="7"/>
  <c r="T10" i="7" s="1"/>
  <c r="Y10" i="7"/>
  <c r="S5" i="7"/>
  <c r="T5" i="7" s="1"/>
  <c r="R11" i="7"/>
  <c r="R13" i="7"/>
  <c r="R15" i="7"/>
  <c r="Y6" i="7"/>
  <c r="S6" i="7"/>
  <c r="T6" i="7" s="1"/>
  <c r="J14" i="29"/>
  <c r="S7" i="7"/>
  <c r="T7" i="7" s="1"/>
  <c r="Y7" i="7"/>
  <c r="S8" i="7"/>
  <c r="T8" i="7" s="1"/>
  <c r="Y8" i="7"/>
  <c r="Y4" i="7"/>
  <c r="S4" i="7"/>
  <c r="T4" i="7" s="1"/>
  <c r="I3" i="24"/>
  <c r="I5" i="29"/>
  <c r="F108" i="28"/>
  <c r="H106" i="28"/>
  <c r="AD6" i="27"/>
  <c r="AE6" i="27" s="1"/>
  <c r="AD9" i="27"/>
  <c r="AE9" i="27" s="1"/>
  <c r="W3" i="7"/>
  <c r="W22" i="7" s="1"/>
  <c r="AD5" i="27"/>
  <c r="AE5" i="27" s="1"/>
  <c r="P3" i="7"/>
  <c r="J10" i="24" l="1"/>
  <c r="J12" i="29"/>
  <c r="J11" i="29"/>
  <c r="J9" i="24"/>
  <c r="J12" i="24"/>
  <c r="S11" i="7"/>
  <c r="T11" i="7" s="1"/>
  <c r="Y11" i="7"/>
  <c r="S15" i="7"/>
  <c r="T15" i="7" s="1"/>
  <c r="Y15" i="7"/>
  <c r="S13" i="7"/>
  <c r="T13" i="7" s="1"/>
  <c r="K15" i="29" s="1"/>
  <c r="Y13" i="7"/>
  <c r="J31" i="29"/>
  <c r="J30" i="29"/>
  <c r="J39" i="29"/>
  <c r="J55" i="29"/>
  <c r="J40" i="29"/>
  <c r="J56" i="29"/>
  <c r="J33" i="29"/>
  <c r="J42" i="29"/>
  <c r="J58" i="29"/>
  <c r="J35" i="29"/>
  <c r="J51" i="29"/>
  <c r="J36" i="29"/>
  <c r="J52" i="29"/>
  <c r="J45" i="29"/>
  <c r="J41" i="29"/>
  <c r="J46" i="29"/>
  <c r="J43" i="29"/>
  <c r="J53" i="29"/>
  <c r="J47" i="29"/>
  <c r="J32" i="29"/>
  <c r="J48" i="29"/>
  <c r="J34" i="29"/>
  <c r="J50" i="29"/>
  <c r="J49" i="29"/>
  <c r="J59" i="29"/>
  <c r="J44" i="29"/>
  <c r="J37" i="29"/>
  <c r="J38" i="29"/>
  <c r="J54" i="29"/>
  <c r="J57" i="29"/>
  <c r="K14" i="29"/>
  <c r="K12" i="24"/>
  <c r="K11" i="29"/>
  <c r="K9" i="24"/>
  <c r="K12" i="29"/>
  <c r="K10" i="24"/>
  <c r="K6" i="24"/>
  <c r="J10" i="29"/>
  <c r="J8" i="29"/>
  <c r="K8" i="29"/>
  <c r="J8" i="24"/>
  <c r="I5" i="24"/>
  <c r="I7" i="29"/>
  <c r="K8" i="24"/>
  <c r="K10" i="29"/>
  <c r="I4" i="24"/>
  <c r="I6" i="29"/>
  <c r="H55" i="24"/>
  <c r="H53" i="24"/>
  <c r="H51" i="24"/>
  <c r="H36" i="24"/>
  <c r="H33" i="24"/>
  <c r="H31" i="24"/>
  <c r="H50" i="24"/>
  <c r="H37" i="24"/>
  <c r="H38" i="24"/>
  <c r="H56" i="24"/>
  <c r="H46" i="24"/>
  <c r="H40" i="24"/>
  <c r="H41" i="24"/>
  <c r="H29" i="24"/>
  <c r="H49" i="24"/>
  <c r="H42" i="24"/>
  <c r="H34" i="24"/>
  <c r="H28" i="24"/>
  <c r="H44" i="24"/>
  <c r="H43" i="24"/>
  <c r="H30" i="24"/>
  <c r="H57" i="24"/>
  <c r="H48" i="24"/>
  <c r="H54" i="24"/>
  <c r="H45" i="24"/>
  <c r="H52" i="24"/>
  <c r="H32" i="24"/>
  <c r="H39" i="24"/>
  <c r="H47" i="24"/>
  <c r="H35" i="24"/>
  <c r="J13" i="24" l="1"/>
  <c r="J15" i="29"/>
  <c r="K9" i="29"/>
  <c r="J9" i="29"/>
  <c r="J13" i="29"/>
  <c r="J11" i="24"/>
  <c r="K11" i="24"/>
  <c r="J7" i="24"/>
  <c r="K13" i="29"/>
  <c r="K13" i="24"/>
  <c r="I16" i="29"/>
  <c r="K19" i="29" s="1"/>
  <c r="K25" i="29" s="1"/>
  <c r="I14" i="24"/>
  <c r="K7" i="24"/>
  <c r="J6" i="24"/>
  <c r="H60" i="29"/>
  <c r="J6" i="29"/>
  <c r="J7" i="29"/>
  <c r="J54" i="24"/>
  <c r="J45" i="24"/>
  <c r="J40" i="24"/>
  <c r="J33" i="24"/>
  <c r="J48" i="24"/>
  <c r="J29" i="24"/>
  <c r="J49" i="24"/>
  <c r="J37" i="24"/>
  <c r="J34" i="24"/>
  <c r="J31" i="24"/>
  <c r="J32" i="24"/>
  <c r="J44" i="24"/>
  <c r="J47" i="24"/>
  <c r="J39" i="24"/>
  <c r="J55" i="24"/>
  <c r="J36" i="24"/>
  <c r="J46" i="24"/>
  <c r="J38" i="24"/>
  <c r="J50" i="24"/>
  <c r="J42" i="24"/>
  <c r="J43" i="24"/>
  <c r="J51" i="24"/>
  <c r="J53" i="24"/>
  <c r="J41" i="24"/>
  <c r="J30" i="24"/>
  <c r="J56" i="24"/>
  <c r="J57" i="24"/>
  <c r="J35" i="24"/>
  <c r="J28" i="24"/>
  <c r="J52" i="24"/>
  <c r="J4" i="24"/>
  <c r="J5" i="24"/>
  <c r="H58" i="24"/>
  <c r="R3" i="7"/>
  <c r="Y3" i="7" s="1"/>
  <c r="S3" i="7" l="1"/>
  <c r="J60" i="29"/>
  <c r="K5" i="24"/>
  <c r="K7" i="29"/>
  <c r="K4" i="24"/>
  <c r="K6" i="29"/>
  <c r="J58" i="24"/>
  <c r="J14" i="28"/>
  <c r="S22" i="7" l="1"/>
  <c r="I104" i="28"/>
  <c r="C28" i="24"/>
  <c r="C30" i="29"/>
  <c r="C31" i="29"/>
  <c r="C47" i="29"/>
  <c r="C53" i="29"/>
  <c r="C34" i="29"/>
  <c r="C56" i="29"/>
  <c r="C46" i="29"/>
  <c r="C59" i="29"/>
  <c r="C37" i="29"/>
  <c r="C48" i="29"/>
  <c r="C54" i="29"/>
  <c r="C51" i="29"/>
  <c r="C57" i="29"/>
  <c r="C40" i="29"/>
  <c r="C38" i="29"/>
  <c r="C43" i="29"/>
  <c r="C49" i="29"/>
  <c r="C32" i="29"/>
  <c r="C45" i="29"/>
  <c r="C35" i="29"/>
  <c r="C41" i="29"/>
  <c r="C52" i="29"/>
  <c r="C58" i="29"/>
  <c r="C33" i="29"/>
  <c r="C44" i="29"/>
  <c r="C50" i="29"/>
  <c r="C55" i="29"/>
  <c r="C36" i="29"/>
  <c r="C42" i="29"/>
  <c r="C39" i="29"/>
  <c r="T3" i="7"/>
  <c r="T22" i="7" s="1"/>
  <c r="J3" i="24"/>
  <c r="J14" i="24" s="1"/>
  <c r="J5" i="29"/>
  <c r="J16" i="29" s="1"/>
  <c r="C60" i="29" l="1"/>
  <c r="K5" i="29"/>
  <c r="K16" i="29" s="1"/>
  <c r="K3" i="24"/>
  <c r="K14" i="24" s="1"/>
  <c r="C47" i="24"/>
  <c r="C31" i="24"/>
  <c r="C53" i="24"/>
  <c r="C37" i="24"/>
  <c r="C46" i="24"/>
  <c r="C30" i="24"/>
  <c r="C32" i="24"/>
  <c r="C33" i="24"/>
  <c r="C34" i="24"/>
  <c r="C51" i="24"/>
  <c r="C35" i="24"/>
  <c r="C48" i="24"/>
  <c r="C36" i="24"/>
  <c r="C29" i="24"/>
  <c r="C57" i="24"/>
  <c r="C41" i="24"/>
  <c r="C42" i="24"/>
  <c r="C56" i="24"/>
  <c r="C49" i="24"/>
  <c r="C50" i="24"/>
  <c r="C55" i="24"/>
  <c r="C39" i="24"/>
  <c r="C52" i="24"/>
  <c r="C40" i="24"/>
  <c r="C54" i="24"/>
  <c r="C44" i="24"/>
  <c r="C45" i="24"/>
  <c r="C38" i="24"/>
  <c r="C43" i="24"/>
  <c r="K17" i="24"/>
  <c r="K23" i="24" s="1"/>
  <c r="G61" i="29" l="1"/>
  <c r="C58" i="24"/>
  <c r="G59" i="24" s="1"/>
  <c r="H115" i="28"/>
  <c r="H116" i="28" s="1"/>
  <c r="H117" i="28" l="1"/>
</calcChain>
</file>

<file path=xl/sharedStrings.xml><?xml version="1.0" encoding="utf-8"?>
<sst xmlns="http://schemas.openxmlformats.org/spreadsheetml/2006/main" count="449" uniqueCount="259">
  <si>
    <t>FICHA CADASTRAL DA EMPRESA</t>
  </si>
  <si>
    <t>Pregão Nº</t>
  </si>
  <si>
    <t>Processo nº</t>
  </si>
  <si>
    <t>Sim</t>
  </si>
  <si>
    <t>DADOS CADASTRAIS</t>
  </si>
  <si>
    <t>Não</t>
  </si>
  <si>
    <t>CNPJ</t>
  </si>
  <si>
    <t>Razão Social</t>
  </si>
  <si>
    <t>Endereço</t>
  </si>
  <si>
    <t>Bairro</t>
  </si>
  <si>
    <t>Cidade</t>
  </si>
  <si>
    <t>UF</t>
  </si>
  <si>
    <t>CEP</t>
  </si>
  <si>
    <t>Telefone</t>
  </si>
  <si>
    <t>e-mail</t>
  </si>
  <si>
    <t>REPRESENTANTE(S) DA EMPRESA</t>
  </si>
  <si>
    <t>CPF</t>
  </si>
  <si>
    <t>Nome</t>
  </si>
  <si>
    <t>Sócio Administrador?</t>
  </si>
  <si>
    <t>Signatário do Contrato?</t>
  </si>
  <si>
    <t>(sim/não)</t>
  </si>
  <si>
    <t>Local</t>
  </si>
  <si>
    <t>Data</t>
  </si>
  <si>
    <t>Assinatura</t>
  </si>
  <si>
    <t>DADOS DA EMPRESA</t>
  </si>
  <si>
    <t>Incidência cumulativa de PIS e de COFINS</t>
  </si>
  <si>
    <t>Incidência não-cumulativa de PIS e de COFINS</t>
  </si>
  <si>
    <t>Simples Nacional</t>
  </si>
  <si>
    <t>Sindicato da categoria</t>
  </si>
  <si>
    <t>Data base da categoria</t>
  </si>
  <si>
    <t>Fornecimento de cesta básica aos funcionários? (sim/não)</t>
  </si>
  <si>
    <t>Regime Tributário</t>
  </si>
  <si>
    <t>SAT (RATxFAP) (%)</t>
  </si>
  <si>
    <t>Despesas Administrativas(%)</t>
  </si>
  <si>
    <t>Lucro Bruto (%)</t>
  </si>
  <si>
    <t>COFINS</t>
  </si>
  <si>
    <t>PIS</t>
  </si>
  <si>
    <t>Desoneração da Folha (%)</t>
  </si>
  <si>
    <t>Vigência Contratual</t>
  </si>
  <si>
    <t>meses</t>
  </si>
  <si>
    <t>Módulo I - Encargos previdenciários e FGTS</t>
  </si>
  <si>
    <t>Percentual</t>
  </si>
  <si>
    <t>Previdência Social</t>
  </si>
  <si>
    <t>SESI/SESC</t>
  </si>
  <si>
    <t>SENAI/SENAC</t>
  </si>
  <si>
    <t>INCRA</t>
  </si>
  <si>
    <t>Salário Educação</t>
  </si>
  <si>
    <t>FGTS</t>
  </si>
  <si>
    <t>SAT (RAT X FAP)</t>
  </si>
  <si>
    <t>SEBRAE</t>
  </si>
  <si>
    <t>Total Módulo I</t>
  </si>
  <si>
    <t>Módulo II - 13º Salário e Adicional de Férias</t>
  </si>
  <si>
    <t>13º  salário</t>
  </si>
  <si>
    <t>Abono de férias</t>
  </si>
  <si>
    <t>Encargos sociais incidentes</t>
  </si>
  <si>
    <t>Total Módulo II</t>
  </si>
  <si>
    <t>Módulo III - Afastamento Maternidade</t>
  </si>
  <si>
    <t>Afastamento Maternidade</t>
  </si>
  <si>
    <t>Total Módulo III</t>
  </si>
  <si>
    <t>Módulo IV - Provisão para Rescisão</t>
  </si>
  <si>
    <t>Aviso prévio indenizado</t>
  </si>
  <si>
    <t>Incidência FGTS sobre o aviso prévio indenizado</t>
  </si>
  <si>
    <t>Multa FGTS sobre o aviso prévio indenizado</t>
  </si>
  <si>
    <t>Aviso prévio trabalhado</t>
  </si>
  <si>
    <t>Encargos sociais incidentes sobre aviso prévio trabalhado</t>
  </si>
  <si>
    <t>Multa FGTS sobre o aviso prévio trabalhado</t>
  </si>
  <si>
    <t>Indenização Adicional</t>
  </si>
  <si>
    <t>Multa FGTS sobre depósitos de FGTS</t>
  </si>
  <si>
    <t>Total Módulo IV</t>
  </si>
  <si>
    <t>Módulo V - Multa de FGTS</t>
  </si>
  <si>
    <t>Remuneração</t>
  </si>
  <si>
    <t>Férias + Adicional de Férias</t>
  </si>
  <si>
    <t>13º Salário</t>
  </si>
  <si>
    <t>Total Módulo V</t>
  </si>
  <si>
    <t>Módulo VI - Custo de Reposição do Profissional Ausente</t>
  </si>
  <si>
    <t>Férias</t>
  </si>
  <si>
    <t>Auxílio doença</t>
  </si>
  <si>
    <t>Licença paternidade</t>
  </si>
  <si>
    <t>Faltas legais</t>
  </si>
  <si>
    <t>Acidente de trabalho</t>
  </si>
  <si>
    <t>Total Módulo VI</t>
  </si>
  <si>
    <t>Total dos Encargos Sociais e Trabalhistas</t>
  </si>
  <si>
    <t>PERCENTUAIS DE CONTIGENCIAMENTO MENSAL DE ENCARGOS TRABALHISTAS</t>
  </si>
  <si>
    <t>Abono de Férias</t>
  </si>
  <si>
    <t>Incidência de encargos trabalhistas: percentual total do Módulo I s/ os itens 1, 2 e 3</t>
  </si>
  <si>
    <t>Multa FGTS</t>
  </si>
  <si>
    <t>Percentual a ser contingenciado - Resolução CNJ nº 651/2025</t>
  </si>
  <si>
    <t xml:space="preserve">PARÂMETROS DE CÁLCULO </t>
  </si>
  <si>
    <t>Dias úteis estimados - posto 44 horas de segunda-feira a sexta-feira</t>
  </si>
  <si>
    <t>Salário Mínimo Federal</t>
  </si>
  <si>
    <t>Adicional Noturno (para cálculo da hora extra noturna)</t>
  </si>
  <si>
    <t>% do adicional da hora extra comum</t>
  </si>
  <si>
    <t>% do adicional da hora extra aos sábados</t>
  </si>
  <si>
    <t>% do adicional da hora extra aos domingos e feriados</t>
  </si>
  <si>
    <t>VALORES REFERENCIAIS - SALÁRIO BASE e ADICIONAIS - CONVENÇÃO COLETIVA DA CATEGORIA</t>
  </si>
  <si>
    <t>Grupo</t>
  </si>
  <si>
    <t>Descrição</t>
  </si>
  <si>
    <t>SALÁRIO BASE MENSAL - R$</t>
  </si>
  <si>
    <t>ADICIONAIS - R$</t>
  </si>
  <si>
    <t>TOTAL REMUNERAÇÃO R$</t>
  </si>
  <si>
    <t>Supervisor geral especializado em refrigeração, controle e administração</t>
  </si>
  <si>
    <t>Técnico mecânico especializado em Refrigeração</t>
  </si>
  <si>
    <t xml:space="preserve">Técnico Elétrico/ Eletrônico/ Eletrotécnico, especializado em refrigeração </t>
  </si>
  <si>
    <t>Operador</t>
  </si>
  <si>
    <t>Auxiliar Técnico especializado em Refrigeração</t>
  </si>
  <si>
    <t>BENEFÍCIOS - Convenção Coletiva de Trabalho</t>
  </si>
  <si>
    <t>Base</t>
  </si>
  <si>
    <t>Valor - R$</t>
  </si>
  <si>
    <t>Parte do Empregado - R$</t>
  </si>
  <si>
    <t>Valor Mensal Final - R$</t>
  </si>
  <si>
    <t>Assistência médica</t>
  </si>
  <si>
    <t>Valor Mensal</t>
  </si>
  <si>
    <t>Assistência Odontológica</t>
  </si>
  <si>
    <t>Auxílio Creche</t>
  </si>
  <si>
    <t>Benefício Mais Familiar</t>
  </si>
  <si>
    <t xml:space="preserve">Auxílio alimentação/ Cesta básica </t>
  </si>
  <si>
    <t>Dia do Trabalhador</t>
  </si>
  <si>
    <t>Norma Regulamentadora Nº 07</t>
  </si>
  <si>
    <t>Seguro de vida</t>
  </si>
  <si>
    <t>Auxílio filho com necessidades especiais</t>
  </si>
  <si>
    <t>Vale refeição /Alimentação</t>
  </si>
  <si>
    <t>Valor diário</t>
  </si>
  <si>
    <t>Outros (especificar e inserir valor mensal)</t>
  </si>
  <si>
    <t>VALORES REFERENCIAIS - UNIFORMES, EPIs e FERRAMENTAS</t>
  </si>
  <si>
    <t>Uniformes, EPI´s e FERRAMENTAS - Valor Mensal - R$</t>
  </si>
  <si>
    <t>Técnico Elétrico/ Eletrônico/ Eletrotécnico especializado em Refrigeração</t>
  </si>
  <si>
    <t>MUNICÍPIOS DE PRESTAÇÃO DE SERVIÇOS</t>
  </si>
  <si>
    <t>Lote</t>
  </si>
  <si>
    <t>Município</t>
  </si>
  <si>
    <t>ISSQN</t>
  </si>
  <si>
    <t>BDI *</t>
  </si>
  <si>
    <t>Vale Transporte - (Ida e Volta) - R$</t>
  </si>
  <si>
    <t>Mês de Início da Prestação de Serviços</t>
  </si>
  <si>
    <t>São Paulo - Fórum Criminal - Complexo Judiciário Ministro Mário Guimarães</t>
  </si>
  <si>
    <t>São Paulo - GADE IV - 23 de Maio</t>
  </si>
  <si>
    <t>São Paulo - GADE V - 9 de Julho</t>
  </si>
  <si>
    <t>São Paulo - GADE VI - MMDC</t>
  </si>
  <si>
    <t>São Paulo - Unidade Administrativa I - Praça do Patriarca</t>
  </si>
  <si>
    <t>*Fórmula BDI= (1+taxa_adm) x (1+taxa_lucro) / (1-%PIS-%COFINS-%ISS) -1</t>
  </si>
  <si>
    <t>Fórmula BDI com desoneração = (1+taxa_adm) x (1+taxa_lucro) / (1-%PIS-%COFINS-%ISS-%Desoneração) -1</t>
  </si>
  <si>
    <t>Localidade</t>
  </si>
  <si>
    <t>Código</t>
  </si>
  <si>
    <t>Função</t>
  </si>
  <si>
    <t>Unidade</t>
  </si>
  <si>
    <t>Mês de Início da Prestação</t>
  </si>
  <si>
    <t>Periodicidade</t>
  </si>
  <si>
    <t>Quantidade de Funcionários por Posto</t>
  </si>
  <si>
    <t>Dias Estimados por Mês</t>
  </si>
  <si>
    <t>Quantidade de Postos/Horas</t>
  </si>
  <si>
    <t>Remuneração (Salários + Adicionais)</t>
  </si>
  <si>
    <t>Encargos Sociais e Trabalhistas</t>
  </si>
  <si>
    <t>Benefícios</t>
  </si>
  <si>
    <t>Vale Transporte</t>
  </si>
  <si>
    <t>Uniformes e EPI´s</t>
  </si>
  <si>
    <t>Valor Total Mensal Unitário</t>
  </si>
  <si>
    <t>BDI</t>
  </si>
  <si>
    <t xml:space="preserve">Valor Total Mensal Unitário com BDI
</t>
  </si>
  <si>
    <t xml:space="preserve">Valor Total Mensal
</t>
  </si>
  <si>
    <t xml:space="preserve">Valor Total período contratual
</t>
  </si>
  <si>
    <t>Valor Total Mensal Remuneração</t>
  </si>
  <si>
    <t xml:space="preserve">Valor Mensal a Contigenciar </t>
  </si>
  <si>
    <t xml:space="preserve">Desconto - Falta sem reposição (por funcionário)
</t>
  </si>
  <si>
    <t xml:space="preserve">Desconto - Dia útil não trabalhado (por funcionário)
</t>
  </si>
  <si>
    <t>Quantidade de Horas</t>
  </si>
  <si>
    <t>Adicional de Hora Extra</t>
  </si>
  <si>
    <t>Remuneração Total</t>
  </si>
  <si>
    <t>Benefícios (Vale refeição)</t>
  </si>
  <si>
    <t>Valor Unitário da Hora- sem BDI</t>
  </si>
  <si>
    <t xml:space="preserve">Valor Unitário da Hora- com BDI
</t>
  </si>
  <si>
    <t>QUADRO RESUMO</t>
  </si>
  <si>
    <t>Quantidade</t>
  </si>
  <si>
    <t>Remuneração Mensal *</t>
  </si>
  <si>
    <t>Valor Total Mensal</t>
  </si>
  <si>
    <t xml:space="preserve">Valor Total </t>
  </si>
  <si>
    <t>TOTAL</t>
  </si>
  <si>
    <t>* Remuneração mensal para cálculo do contingenciamento de encargos trabalhistas</t>
  </si>
  <si>
    <t>A</t>
  </si>
  <si>
    <t>Total da Mão de Obra (remuneração Mensal)</t>
  </si>
  <si>
    <t>B</t>
  </si>
  <si>
    <t>C</t>
  </si>
  <si>
    <t>D</t>
  </si>
  <si>
    <t>E</t>
  </si>
  <si>
    <t>Incidência de encargos trabalhistas: percentual total do Módulo I s/ os itens A,B, C e D</t>
  </si>
  <si>
    <t>F</t>
  </si>
  <si>
    <t>Valor total mensal a contingenciar</t>
  </si>
  <si>
    <t>CRONOGRAMA FÍSICO FINANCEIRO</t>
  </si>
  <si>
    <t>Mês</t>
  </si>
  <si>
    <t>Valor</t>
  </si>
  <si>
    <t>Total Mensal Remuneração</t>
  </si>
  <si>
    <t>Total Mensal Contingenciamento</t>
  </si>
  <si>
    <t>Total Geral</t>
  </si>
  <si>
    <t>Localidade:</t>
  </si>
  <si>
    <t>Mensal</t>
  </si>
  <si>
    <t>DADOS DA FUNÇÃO</t>
  </si>
  <si>
    <t>Qtde</t>
  </si>
  <si>
    <t>PLANILHA DE FORMAÇÃO DE PREÇOS</t>
  </si>
  <si>
    <t>Módulo I - Mão de obra  (remuneração)</t>
  </si>
  <si>
    <t>Valor "R$"</t>
  </si>
  <si>
    <t>Salário base Mensal</t>
  </si>
  <si>
    <t>Adicionais</t>
  </si>
  <si>
    <t>Hora Extra</t>
  </si>
  <si>
    <t>Total  de Mão de Obra (remuneração)</t>
  </si>
  <si>
    <t>ENCARGOS PREVIDENCIÁRIOS E TRABALHISTAS</t>
  </si>
  <si>
    <t>Módulo II - Encargos previdenciários e FGTS</t>
  </si>
  <si>
    <t>Módulo III - 13º Salário e Adicional de Férias</t>
  </si>
  <si>
    <t>Módulo IV - Afastamento Maternidade</t>
  </si>
  <si>
    <t>Afastamento maternidade</t>
  </si>
  <si>
    <t>Módulo V - Provisão para Rescisão</t>
  </si>
  <si>
    <t>Módulo VI - Multa de FGTS e Contribuição Social</t>
  </si>
  <si>
    <t>Módulo VII - Custo de Reposição do Profissional Ausente</t>
  </si>
  <si>
    <t>Total Módulo VII</t>
  </si>
  <si>
    <t>Módulo VIII - Insumos e Obrigações Decorrentes de Convenção Coletiva</t>
  </si>
  <si>
    <t xml:space="preserve">Dias úteis </t>
  </si>
  <si>
    <t>Dedução</t>
  </si>
  <si>
    <t xml:space="preserve">Vale Refeição </t>
  </si>
  <si>
    <t>Assistência Médica</t>
  </si>
  <si>
    <t>Benefício Social Sindical</t>
  </si>
  <si>
    <t xml:space="preserve">Cesta básica </t>
  </si>
  <si>
    <t>Norma Regulamentadora nº 7</t>
  </si>
  <si>
    <t>Seguro de Vida</t>
  </si>
  <si>
    <t>Uniformes, EPIs e Ferramentas</t>
  </si>
  <si>
    <t>Outros</t>
  </si>
  <si>
    <t>Total Módulo VIII</t>
  </si>
  <si>
    <t xml:space="preserve">Custo Total </t>
  </si>
  <si>
    <t>Módulo X - Benefícios e Despesas Indiretas (BDI)</t>
  </si>
  <si>
    <t>Valor R$</t>
  </si>
  <si>
    <t>Despesas Administrativas/indiretas</t>
  </si>
  <si>
    <t>Lucro Bruto</t>
  </si>
  <si>
    <t>Total Módulo X</t>
  </si>
  <si>
    <t>PREÇO TOTAL MENSAL (Preço total mensal X Quantidade de postos)</t>
  </si>
  <si>
    <t>Valor posto/dia</t>
  </si>
  <si>
    <t>Valor de desconto por dia não trabalhado</t>
  </si>
  <si>
    <t>TOTAL DE DESCONTO POR DIA NO PERÍODO DO RECESSO FORENSE</t>
  </si>
  <si>
    <t>Item</t>
  </si>
  <si>
    <t>Valor Dia R$</t>
  </si>
  <si>
    <t>Vale alimentação</t>
  </si>
  <si>
    <t>Vale transporte</t>
  </si>
  <si>
    <t>Materiais e sua depreciação</t>
  </si>
  <si>
    <t>Custo de reposição por ausências legais + encargos sociais</t>
  </si>
  <si>
    <t>Subtotal</t>
  </si>
  <si>
    <t>Benefícios e Despesas Indiretas (BDI)</t>
  </si>
  <si>
    <t>Total de desconto individual por dia</t>
  </si>
  <si>
    <t>Salário Base</t>
  </si>
  <si>
    <t>Adicionais Insalubridade e Periculosidade</t>
  </si>
  <si>
    <t>Encargos Sociais</t>
  </si>
  <si>
    <t>Uniformes EPIs Ferramentas</t>
  </si>
  <si>
    <t>Valor Total s/BDI</t>
  </si>
  <si>
    <t>Valor Total c/ BDI</t>
  </si>
  <si>
    <t>Periculosidade</t>
  </si>
  <si>
    <t>Benefício Familiar</t>
  </si>
  <si>
    <t>Vale refeição /ticket refeição</t>
  </si>
  <si>
    <t>Total Benefícios</t>
  </si>
  <si>
    <t>Posto</t>
  </si>
  <si>
    <t>Técnico em Refrigeração Mecânico - Hora Extra Noturna</t>
  </si>
  <si>
    <t>Técnico em Refrigeração Mecânico - Hora Extra Sábado</t>
  </si>
  <si>
    <t>Técnico em Refrigeração Mecânico - Hora Extra Domingo e Feriado</t>
  </si>
  <si>
    <t>Auxiliar Técnico em Refrigeração - Hora Extra Noturna</t>
  </si>
  <si>
    <t>Auxiliar Técnico em Refrigeração - Hora Extra Sábado</t>
  </si>
  <si>
    <t>Auxiliar Técnico em Refrigeração - Hora Extra Domingos e Feriados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</si>
</sst>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_(&quot;R$ &quot;* #,##0.00_);_(&quot;R$ &quot;* \(#,##0.00\);_(&quot;R$ &quot;* &quot;-&quot;??_);_(@_)"/>
    <numFmt numFmtId="165" formatCode="_(* #,##0.00_);_(* \(#,##0.00\);_(* &quot;-&quot;??_);_(@_)"/>
    <numFmt numFmtId="166" formatCode="00\-0000"/>
    <numFmt numFmtId="167" formatCode="_-* #,##0_-;\-* #,##0_-;_-* &quot;-&quot;??_-;_-@_-"/>
    <numFmt numFmtId="168" formatCode="0_ ;\-0\ "/>
    <numFmt numFmtId="169" formatCode="#,##0_ ;\-#,##0\ "/>
    <numFmt numFmtId="170" formatCode="_-* #,##0.0000_-;\-* #,##0.0000_-;_-* &quot;-&quot;??_-;_-@_-"/>
    <numFmt numFmtId="171" formatCode="_-* #,##0.00000_-;\-* #,##0.00000_-;_-* &quot;-&quot;??_-;_-@_-"/>
  </numFmts>
  <fonts count="36" x14ac:knownFonts="1">
    <font>
      <sz val="11"/>
      <color theme="1"/>
      <name val="Calibri"/>
      <family val="2"/>
      <scheme val="minor"/>
    </font>
    <font>
      <sz val="11"/>
      <color theme="1"/>
      <name val="Calibri"/>
      <family val="2"/>
      <scheme val="minor"/>
    </font>
    <font>
      <sz val="10"/>
      <name val="Arial"/>
      <family val="2"/>
    </font>
    <font>
      <sz val="10"/>
      <color indexed="8"/>
      <name val="Arial"/>
      <family val="2"/>
    </font>
    <font>
      <b/>
      <sz val="9"/>
      <color theme="1"/>
      <name val="Calibri"/>
      <family val="2"/>
      <scheme val="minor"/>
    </font>
    <font>
      <sz val="9"/>
      <color theme="1"/>
      <name val="Calibri"/>
      <family val="2"/>
      <scheme val="minor"/>
    </font>
    <font>
      <b/>
      <sz val="9"/>
      <name val="Calibri"/>
      <family val="2"/>
      <scheme val="minor"/>
    </font>
    <font>
      <sz val="9"/>
      <color theme="0"/>
      <name val="Calibri"/>
      <family val="2"/>
      <scheme val="minor"/>
    </font>
    <font>
      <sz val="9"/>
      <name val="Calibri"/>
      <family val="2"/>
      <scheme val="minor"/>
    </font>
    <font>
      <b/>
      <sz val="9"/>
      <color theme="1"/>
      <name val="Calibri"/>
      <family val="2"/>
    </font>
    <font>
      <sz val="9"/>
      <color theme="1"/>
      <name val="Calibri"/>
      <family val="2"/>
    </font>
    <font>
      <sz val="9"/>
      <color rgb="FFFF0000"/>
      <name val="Calibri"/>
      <family val="2"/>
      <scheme val="minor"/>
    </font>
    <font>
      <b/>
      <sz val="8"/>
      <name val="Calibri"/>
      <family val="2"/>
      <scheme val="minor"/>
    </font>
    <font>
      <b/>
      <sz val="8"/>
      <color theme="1"/>
      <name val="Calibri"/>
      <family val="2"/>
      <scheme val="minor"/>
    </font>
    <font>
      <sz val="8"/>
      <color theme="1"/>
      <name val="Calibri"/>
      <family val="2"/>
      <scheme val="minor"/>
    </font>
    <font>
      <sz val="8"/>
      <name val="Calibri"/>
      <family val="2"/>
      <scheme val="minor"/>
    </font>
    <font>
      <sz val="10"/>
      <color theme="1"/>
      <name val="Calibri"/>
      <family val="2"/>
      <scheme val="minor"/>
    </font>
    <font>
      <b/>
      <sz val="10"/>
      <color theme="1"/>
      <name val="Calibri"/>
      <family val="2"/>
      <scheme val="minor"/>
    </font>
    <font>
      <b/>
      <sz val="9"/>
      <color theme="4" tint="-0.249977111117893"/>
      <name val="Calibri"/>
      <family val="2"/>
      <scheme val="minor"/>
    </font>
    <font>
      <sz val="10"/>
      <color theme="0" tint="-0.499984740745262"/>
      <name val="Calibri"/>
      <family val="2"/>
      <scheme val="minor"/>
    </font>
    <font>
      <sz val="11"/>
      <color rgb="FFFF0000"/>
      <name val="Calibri"/>
      <family val="2"/>
      <scheme val="minor"/>
    </font>
    <font>
      <sz val="11"/>
      <color theme="0"/>
      <name val="Calibri"/>
      <family val="2"/>
      <scheme val="minor"/>
    </font>
    <font>
      <sz val="8"/>
      <color rgb="FFFF0000"/>
      <name val="Calibri"/>
      <family val="2"/>
      <scheme val="minor"/>
    </font>
    <font>
      <sz val="8"/>
      <color theme="0"/>
      <name val="Calibri"/>
      <family val="2"/>
      <scheme val="minor"/>
    </font>
    <font>
      <b/>
      <sz val="8"/>
      <color rgb="FFC00000"/>
      <name val="Calibri"/>
      <family val="2"/>
      <scheme val="minor"/>
    </font>
    <font>
      <b/>
      <sz val="10"/>
      <name val="Calibri"/>
      <family val="2"/>
      <scheme val="minor"/>
    </font>
    <font>
      <b/>
      <sz val="9"/>
      <color theme="4"/>
      <name val="Calibri"/>
      <family val="2"/>
      <scheme val="minor"/>
    </font>
    <font>
      <b/>
      <sz val="18"/>
      <name val="Calibri"/>
      <family val="2"/>
      <scheme val="minor"/>
    </font>
    <font>
      <sz val="18"/>
      <name val="Calibri"/>
      <family val="2"/>
      <scheme val="minor"/>
    </font>
    <font>
      <b/>
      <sz val="14"/>
      <color theme="1"/>
      <name val="Calibri"/>
      <family val="2"/>
      <scheme val="minor"/>
    </font>
    <font>
      <b/>
      <sz val="10"/>
      <color rgb="FF000000"/>
      <name val="Calibri"/>
      <family val="2"/>
      <scheme val="minor"/>
    </font>
    <font>
      <sz val="10"/>
      <color rgb="FF000000"/>
      <name val="Calibri"/>
      <family val="2"/>
      <scheme val="minor"/>
    </font>
    <font>
      <sz val="10.5"/>
      <color rgb="FF000000"/>
      <name val="Calibri"/>
      <family val="2"/>
      <scheme val="minor"/>
    </font>
    <font>
      <b/>
      <sz val="9"/>
      <color rgb="FF000000"/>
      <name val="Calibri"/>
      <family val="2"/>
      <scheme val="minor"/>
    </font>
    <font>
      <sz val="11"/>
      <name val="Calibri"/>
      <family val="2"/>
    </font>
    <font>
      <sz val="8"/>
      <color theme="4"/>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D9D9D9"/>
        <bgColor indexed="64"/>
      </patternFill>
    </fill>
    <fill>
      <patternFill patternType="solid">
        <fgColor rgb="FFF2F2F2"/>
        <bgColor indexed="64"/>
      </patternFill>
    </fill>
    <fill>
      <patternFill patternType="solid">
        <fgColor rgb="FFFFFFFF"/>
        <bgColor indexed="64"/>
      </patternFill>
    </fill>
    <fill>
      <patternFill patternType="solid">
        <fgColor theme="0" tint="-0.14999847407452621"/>
        <bgColor theme="4"/>
      </patternFill>
    </fill>
    <fill>
      <patternFill patternType="solid">
        <fgColor theme="0" tint="-0.249977111117893"/>
        <bgColor theme="4"/>
      </patternFill>
    </fill>
    <fill>
      <patternFill patternType="solid">
        <fgColor theme="6" tint="0.59999389629810485"/>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79998168889431442"/>
        <bgColor theme="4"/>
      </patternFill>
    </fill>
    <fill>
      <patternFill patternType="solid">
        <fgColor rgb="FFE5F3FF"/>
        <bgColor indexed="64"/>
      </patternFill>
    </fill>
  </fills>
  <borders count="59">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top style="thin">
        <color theme="0" tint="-0.499984740745262"/>
      </top>
      <bottom/>
      <diagonal/>
    </border>
    <border>
      <left style="thin">
        <color theme="0"/>
      </left>
      <right/>
      <top style="thin">
        <color theme="0"/>
      </top>
      <bottom style="thin">
        <color theme="0"/>
      </bottom>
      <diagonal/>
    </border>
    <border>
      <left/>
      <right/>
      <top style="thin">
        <color theme="0"/>
      </top>
      <bottom style="thin">
        <color theme="0"/>
      </bottom>
      <diagonal/>
    </border>
    <border>
      <left style="thin">
        <color theme="0"/>
      </left>
      <right style="thin">
        <color theme="0"/>
      </right>
      <top style="thin">
        <color theme="0"/>
      </top>
      <bottom/>
      <diagonal/>
    </border>
    <border>
      <left style="thin">
        <color theme="3" tint="0.59996337778862885"/>
      </left>
      <right/>
      <top style="thin">
        <color theme="3" tint="0.59996337778862885"/>
      </top>
      <bottom style="thin">
        <color theme="3" tint="0.59996337778862885"/>
      </bottom>
      <diagonal/>
    </border>
    <border>
      <left/>
      <right/>
      <top style="thin">
        <color theme="3" tint="0.59996337778862885"/>
      </top>
      <bottom style="thin">
        <color theme="3" tint="0.59996337778862885"/>
      </bottom>
      <diagonal/>
    </border>
    <border>
      <left/>
      <right style="thin">
        <color theme="3" tint="0.59996337778862885"/>
      </right>
      <top style="thin">
        <color theme="3" tint="0.59996337778862885"/>
      </top>
      <bottom style="thin">
        <color theme="3" tint="0.59996337778862885"/>
      </bottom>
      <diagonal/>
    </border>
    <border>
      <left/>
      <right/>
      <top style="thin">
        <color theme="3" tint="0.59996337778862885"/>
      </top>
      <bottom/>
      <diagonal/>
    </border>
    <border>
      <left style="thin">
        <color theme="3" tint="0.59996337778862885"/>
      </left>
      <right/>
      <top style="thin">
        <color theme="3" tint="0.59996337778862885"/>
      </top>
      <bottom/>
      <diagonal/>
    </border>
    <border>
      <left/>
      <right/>
      <top/>
      <bottom style="thin">
        <color theme="0" tint="-0.499984740745262"/>
      </bottom>
      <diagonal/>
    </border>
    <border>
      <left/>
      <right/>
      <top/>
      <bottom style="thin">
        <color theme="0"/>
      </bottom>
      <diagonal/>
    </border>
    <border>
      <left/>
      <right style="thin">
        <color theme="0"/>
      </right>
      <top style="thin">
        <color theme="0" tint="-0.499984740745262"/>
      </top>
      <bottom/>
      <diagonal/>
    </border>
    <border>
      <left/>
      <right style="thin">
        <color theme="0"/>
      </right>
      <top/>
      <bottom/>
      <diagonal/>
    </border>
    <border>
      <left/>
      <right style="thin">
        <color theme="0"/>
      </right>
      <top/>
      <bottom style="thin">
        <color theme="0"/>
      </bottom>
      <diagonal/>
    </border>
    <border>
      <left style="thin">
        <color theme="3" tint="0.59996337778862885"/>
      </left>
      <right style="thin">
        <color theme="3" tint="0.59996337778862885"/>
      </right>
      <top style="thin">
        <color theme="3" tint="0.59996337778862885"/>
      </top>
      <bottom style="thin">
        <color theme="3" tint="0.59996337778862885"/>
      </bottom>
      <diagonal/>
    </border>
    <border>
      <left style="thin">
        <color theme="0"/>
      </left>
      <right/>
      <top style="thin">
        <color theme="3" tint="0.59996337778862885"/>
      </top>
      <bottom style="thin">
        <color theme="0"/>
      </bottom>
      <diagonal/>
    </border>
    <border>
      <left/>
      <right/>
      <top style="thin">
        <color theme="3" tint="0.59996337778862885"/>
      </top>
      <bottom style="thin">
        <color theme="0"/>
      </bottom>
      <diagonal/>
    </border>
    <border>
      <left/>
      <right style="thin">
        <color theme="0"/>
      </right>
      <top style="thin">
        <color theme="3" tint="0.59996337778862885"/>
      </top>
      <bottom style="thin">
        <color theme="0"/>
      </bottom>
      <diagonal/>
    </border>
    <border>
      <left/>
      <right/>
      <top/>
      <bottom style="thin">
        <color theme="3" tint="0.59996337778862885"/>
      </bottom>
      <diagonal/>
    </border>
    <border>
      <left style="thin">
        <color theme="3" tint="0.59996337778862885"/>
      </left>
      <right/>
      <top/>
      <bottom style="thin">
        <color theme="3" tint="0.59996337778862885"/>
      </bottom>
      <diagonal/>
    </border>
    <border>
      <left/>
      <right style="thin">
        <color theme="0"/>
      </right>
      <top style="thin">
        <color theme="3" tint="0.59996337778862885"/>
      </top>
      <bottom style="thin">
        <color theme="3" tint="0.59996337778862885"/>
      </bottom>
      <diagonal/>
    </border>
    <border>
      <left/>
      <right style="thin">
        <color theme="3" tint="0.59996337778862885"/>
      </right>
      <top style="thin">
        <color theme="3" tint="0.59996337778862885"/>
      </top>
      <bottom/>
      <diagonal/>
    </border>
    <border>
      <left style="thin">
        <color theme="3" tint="0.59996337778862885"/>
      </left>
      <right style="thin">
        <color theme="3" tint="0.59996337778862885"/>
      </right>
      <top style="thin">
        <color theme="3" tint="0.59996337778862885"/>
      </top>
      <bottom/>
      <diagonal/>
    </border>
    <border>
      <left style="thin">
        <color theme="3" tint="0.59996337778862885"/>
      </left>
      <right style="thin">
        <color theme="3" tint="0.59996337778862885"/>
      </right>
      <top/>
      <bottom/>
      <diagonal/>
    </border>
    <border>
      <left style="thin">
        <color theme="3" tint="0.59996337778862885"/>
      </left>
      <right style="thin">
        <color theme="3" tint="0.59996337778862885"/>
      </right>
      <top/>
      <bottom style="thin">
        <color theme="3" tint="0.59996337778862885"/>
      </bottom>
      <diagonal/>
    </border>
    <border>
      <left/>
      <right style="thin">
        <color theme="3" tint="0.59996337778862885"/>
      </right>
      <top/>
      <bottom style="thin">
        <color theme="3" tint="0.59996337778862885"/>
      </bottom>
      <diagonal/>
    </border>
    <border>
      <left/>
      <right style="thin">
        <color theme="0" tint="-0.499984740745262"/>
      </right>
      <top/>
      <bottom style="thin">
        <color theme="0" tint="-0.499984740745262"/>
      </bottom>
      <diagonal/>
    </border>
    <border>
      <left style="thin">
        <color theme="0" tint="-0.499984740745262"/>
      </left>
      <right/>
      <top/>
      <bottom style="thin">
        <color theme="0" tint="-0.499984740745262"/>
      </bottom>
      <diagonal/>
    </border>
    <border>
      <left style="thin">
        <color theme="0"/>
      </left>
      <right style="thin">
        <color theme="0"/>
      </right>
      <top/>
      <bottom/>
      <diagonal/>
    </border>
    <border>
      <left/>
      <right style="thin">
        <color theme="3" tint="0.59996337778862885"/>
      </right>
      <top/>
      <bottom/>
      <diagonal/>
    </border>
    <border>
      <left style="thin">
        <color theme="3" tint="0.59996337778862885"/>
      </left>
      <right/>
      <top/>
      <bottom/>
      <diagonal/>
    </border>
    <border>
      <left style="thin">
        <color theme="4"/>
      </left>
      <right style="thin">
        <color theme="4"/>
      </right>
      <top style="thin">
        <color theme="4"/>
      </top>
      <bottom style="thin">
        <color theme="4"/>
      </bottom>
      <diagonal/>
    </border>
    <border>
      <left style="thin">
        <color theme="4"/>
      </left>
      <right/>
      <top style="thin">
        <color theme="4"/>
      </top>
      <bottom style="thin">
        <color theme="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theme="0"/>
      </left>
      <right style="thin">
        <color theme="0"/>
      </right>
      <top style="thin">
        <color theme="4" tint="0.39997558519241921"/>
      </top>
      <bottom style="thin">
        <color theme="3" tint="0.59996337778862885"/>
      </bottom>
      <diagonal/>
    </border>
    <border>
      <left style="thin">
        <color theme="0"/>
      </left>
      <right style="thin">
        <color theme="0"/>
      </right>
      <top style="thin">
        <color theme="3" tint="0.59996337778862885"/>
      </top>
      <bottom style="thin">
        <color theme="4" tint="0.39997558519241921"/>
      </bottom>
      <diagonal/>
    </border>
    <border>
      <left/>
      <right/>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164" fontId="2" fillId="0" borderId="0" applyFont="0" applyFill="0" applyBorder="0" applyAlignment="0" applyProtection="0"/>
    <xf numFmtId="0" fontId="2" fillId="0" borderId="0"/>
    <xf numFmtId="9" fontId="2" fillId="0" borderId="0" applyFont="0" applyFill="0" applyBorder="0" applyAlignment="0" applyProtection="0"/>
    <xf numFmtId="165" fontId="2" fillId="0" borderId="0" applyFont="0" applyFill="0" applyBorder="0" applyAlignment="0" applyProtection="0"/>
    <xf numFmtId="0" fontId="3" fillId="0" borderId="0"/>
    <xf numFmtId="43" fontId="1" fillId="0" borderId="0" applyFont="0" applyFill="0" applyBorder="0" applyAlignment="0" applyProtection="0"/>
    <xf numFmtId="43" fontId="2" fillId="0" borderId="0" applyFont="0" applyFill="0" applyBorder="0" applyAlignment="0" applyProtection="0"/>
    <xf numFmtId="0" fontId="34" fillId="0" borderId="0"/>
  </cellStyleXfs>
  <cellXfs count="537">
    <xf numFmtId="0" fontId="0" fillId="0" borderId="0" xfId="0"/>
    <xf numFmtId="10" fontId="5" fillId="0" borderId="4" xfId="2" applyNumberFormat="1" applyFont="1" applyBorder="1" applyAlignment="1" applyProtection="1">
      <alignment vertical="center"/>
    </xf>
    <xf numFmtId="0" fontId="5" fillId="0" borderId="4" xfId="0" applyFont="1" applyBorder="1" applyAlignment="1">
      <alignment horizontal="center" vertical="center" wrapText="1"/>
    </xf>
    <xf numFmtId="166" fontId="6" fillId="9" borderId="4" xfId="0" applyNumberFormat="1" applyFont="1" applyFill="1" applyBorder="1" applyAlignment="1">
      <alignment horizontal="center" vertical="center" wrapText="1"/>
    </xf>
    <xf numFmtId="0" fontId="5" fillId="0" borderId="0" xfId="0" applyFont="1" applyAlignment="1">
      <alignment vertical="center"/>
    </xf>
    <xf numFmtId="0" fontId="5" fillId="0" borderId="4" xfId="0" applyFont="1" applyBorder="1" applyAlignment="1">
      <alignment horizontal="left" vertical="center" wrapText="1"/>
    </xf>
    <xf numFmtId="0" fontId="5" fillId="0" borderId="3" xfId="0" applyFont="1" applyBorder="1"/>
    <xf numFmtId="0" fontId="5" fillId="0" borderId="1" xfId="0" applyFont="1" applyBorder="1"/>
    <xf numFmtId="0" fontId="9" fillId="0" borderId="7" xfId="0" applyFont="1" applyBorder="1" applyAlignment="1">
      <alignment horizontal="left" vertical="center" wrapText="1"/>
    </xf>
    <xf numFmtId="0" fontId="7" fillId="0" borderId="1" xfId="0" applyFont="1" applyBorder="1"/>
    <xf numFmtId="0" fontId="9" fillId="2" borderId="4" xfId="0" applyFont="1" applyFill="1" applyBorder="1" applyAlignment="1">
      <alignment horizontal="left" vertical="center" wrapText="1"/>
    </xf>
    <xf numFmtId="0" fontId="9" fillId="2" borderId="7"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10" fillId="8" borderId="4" xfId="0" applyFont="1" applyFill="1" applyBorder="1" applyAlignment="1" applyProtection="1">
      <alignment horizontal="left" vertical="center" wrapText="1"/>
      <protection locked="0"/>
    </xf>
    <xf numFmtId="0" fontId="9" fillId="8" borderId="4" xfId="0" applyFont="1" applyFill="1" applyBorder="1" applyAlignment="1">
      <alignment horizontal="center" vertical="center" wrapText="1"/>
    </xf>
    <xf numFmtId="0" fontId="10" fillId="8" borderId="4" xfId="0" applyFont="1" applyFill="1" applyBorder="1" applyAlignment="1" applyProtection="1">
      <alignment horizontal="center" vertical="center" wrapText="1"/>
      <protection locked="0"/>
    </xf>
    <xf numFmtId="14" fontId="10" fillId="8" borderId="4" xfId="0" applyNumberFormat="1" applyFont="1" applyFill="1" applyBorder="1" applyAlignment="1" applyProtection="1">
      <alignment horizontal="center" vertical="center" wrapText="1"/>
      <protection locked="0"/>
    </xf>
    <xf numFmtId="0" fontId="5" fillId="0" borderId="2" xfId="0" applyFont="1" applyBorder="1"/>
    <xf numFmtId="0" fontId="8" fillId="0" borderId="4" xfId="0" applyFont="1" applyBorder="1" applyAlignment="1">
      <alignment horizontal="center" vertical="center" wrapText="1"/>
    </xf>
    <xf numFmtId="0" fontId="8" fillId="0" borderId="4" xfId="0" applyFont="1" applyBorder="1" applyAlignment="1">
      <alignment vertical="center" wrapText="1"/>
    </xf>
    <xf numFmtId="43" fontId="8" fillId="0" borderId="4" xfId="1" applyFont="1" applyFill="1" applyBorder="1" applyAlignment="1" applyProtection="1">
      <alignment vertical="center"/>
    </xf>
    <xf numFmtId="43" fontId="6" fillId="0" borderId="4" xfId="1" applyFont="1" applyFill="1" applyBorder="1" applyAlignment="1" applyProtection="1">
      <alignment vertical="center"/>
    </xf>
    <xf numFmtId="0" fontId="5" fillId="0" borderId="1" xfId="0" applyFont="1" applyBorder="1" applyAlignment="1">
      <alignment vertical="center" wrapText="1"/>
    </xf>
    <xf numFmtId="0" fontId="5" fillId="0" borderId="0" xfId="0" applyFont="1" applyAlignment="1">
      <alignment horizontal="center" vertical="center" wrapText="1"/>
    </xf>
    <xf numFmtId="0" fontId="5" fillId="0" borderId="1" xfId="1" applyNumberFormat="1" applyFont="1" applyBorder="1" applyAlignment="1" applyProtection="1">
      <alignment vertical="center" wrapText="1"/>
    </xf>
    <xf numFmtId="0" fontId="5" fillId="0" borderId="0" xfId="0" applyFont="1" applyAlignment="1">
      <alignment vertical="center" wrapText="1"/>
    </xf>
    <xf numFmtId="0" fontId="5" fillId="0" borderId="0" xfId="1" applyNumberFormat="1" applyFont="1" applyAlignment="1" applyProtection="1">
      <alignment vertical="center"/>
    </xf>
    <xf numFmtId="43" fontId="5" fillId="0" borderId="0" xfId="1" applyFont="1" applyAlignment="1" applyProtection="1">
      <alignment vertical="center"/>
    </xf>
    <xf numFmtId="43" fontId="5" fillId="0" borderId="1" xfId="0" applyNumberFormat="1" applyFont="1" applyBorder="1" applyAlignment="1">
      <alignment vertical="center" wrapText="1"/>
    </xf>
    <xf numFmtId="43" fontId="6" fillId="4" borderId="4" xfId="1" applyFont="1" applyFill="1" applyBorder="1" applyAlignment="1" applyProtection="1">
      <alignment vertical="center"/>
    </xf>
    <xf numFmtId="10" fontId="5" fillId="0" borderId="4" xfId="2" applyNumberFormat="1" applyFont="1" applyBorder="1" applyAlignment="1" applyProtection="1">
      <alignment horizontal="right" vertical="center" wrapText="1"/>
    </xf>
    <xf numFmtId="0" fontId="5" fillId="4" borderId="4" xfId="0" applyFont="1" applyFill="1" applyBorder="1" applyAlignment="1">
      <alignment vertical="center"/>
    </xf>
    <xf numFmtId="168" fontId="5" fillId="4" borderId="4" xfId="1" applyNumberFormat="1" applyFont="1" applyFill="1" applyBorder="1" applyAlignment="1" applyProtection="1">
      <alignment horizontal="center" vertical="center"/>
    </xf>
    <xf numFmtId="0" fontId="7" fillId="2" borderId="11" xfId="0" applyFont="1" applyFill="1" applyBorder="1"/>
    <xf numFmtId="43" fontId="5" fillId="0" borderId="3" xfId="0" applyNumberFormat="1" applyFont="1" applyBorder="1"/>
    <xf numFmtId="0" fontId="8" fillId="0" borderId="1" xfId="0" applyFont="1" applyBorder="1"/>
    <xf numFmtId="0" fontId="5" fillId="0" borderId="8" xfId="0" applyFont="1" applyBorder="1" applyAlignment="1">
      <alignment vertical="center"/>
    </xf>
    <xf numFmtId="0" fontId="4" fillId="4" borderId="4" xfId="0" applyFont="1" applyFill="1" applyBorder="1" applyAlignment="1">
      <alignment horizontal="center" vertical="center"/>
    </xf>
    <xf numFmtId="0" fontId="5" fillId="0" borderId="4" xfId="0" applyFont="1" applyBorder="1" applyAlignment="1">
      <alignment horizontal="center" vertical="center"/>
    </xf>
    <xf numFmtId="10" fontId="4" fillId="4" borderId="4" xfId="0" applyNumberFormat="1" applyFont="1" applyFill="1" applyBorder="1" applyAlignment="1">
      <alignment vertical="center"/>
    </xf>
    <xf numFmtId="0" fontId="8" fillId="0" borderId="0" xfId="0" applyFont="1" applyAlignment="1">
      <alignment vertical="center"/>
    </xf>
    <xf numFmtId="10" fontId="8" fillId="0" borderId="1" xfId="2" applyNumberFormat="1" applyFont="1" applyBorder="1" applyProtection="1"/>
    <xf numFmtId="10" fontId="8" fillId="0" borderId="1" xfId="0" applyNumberFormat="1" applyFont="1" applyBorder="1"/>
    <xf numFmtId="10" fontId="5" fillId="0" borderId="3" xfId="0" applyNumberFormat="1" applyFont="1" applyBorder="1"/>
    <xf numFmtId="9" fontId="8" fillId="0" borderId="1" xfId="0" applyNumberFormat="1" applyFont="1" applyBorder="1"/>
    <xf numFmtId="10" fontId="5" fillId="0" borderId="4" xfId="0" applyNumberFormat="1" applyFont="1" applyBorder="1" applyAlignment="1">
      <alignment vertical="center"/>
    </xf>
    <xf numFmtId="10" fontId="4" fillId="3" borderId="4" xfId="0" applyNumberFormat="1" applyFont="1" applyFill="1" applyBorder="1" applyAlignment="1">
      <alignment vertical="center"/>
    </xf>
    <xf numFmtId="0" fontId="8" fillId="0" borderId="3" xfId="0" applyFont="1" applyBorder="1"/>
    <xf numFmtId="10" fontId="5" fillId="0" borderId="4" xfId="2" applyNumberFormat="1" applyFont="1" applyBorder="1" applyAlignment="1" applyProtection="1">
      <alignment horizontal="center" vertical="center"/>
    </xf>
    <xf numFmtId="43" fontId="5" fillId="0" borderId="4" xfId="1" applyFont="1" applyBorder="1" applyAlignment="1" applyProtection="1">
      <alignment vertical="center"/>
    </xf>
    <xf numFmtId="2" fontId="8" fillId="0" borderId="3" xfId="0" applyNumberFormat="1" applyFont="1" applyBorder="1"/>
    <xf numFmtId="0" fontId="5" fillId="0" borderId="1" xfId="0" applyFont="1" applyBorder="1" applyProtection="1">
      <protection locked="0"/>
    </xf>
    <xf numFmtId="0" fontId="5" fillId="0" borderId="0" xfId="0" applyFont="1"/>
    <xf numFmtId="43" fontId="5" fillId="0" borderId="1" xfId="1" applyFont="1" applyBorder="1" applyAlignment="1" applyProtection="1">
      <alignment vertical="center" wrapText="1"/>
    </xf>
    <xf numFmtId="0" fontId="5" fillId="0" borderId="13" xfId="0" applyFont="1" applyBorder="1"/>
    <xf numFmtId="0" fontId="5" fillId="0" borderId="13" xfId="0" applyFont="1" applyBorder="1" applyProtection="1">
      <protection locked="0"/>
    </xf>
    <xf numFmtId="0" fontId="11" fillId="0" borderId="1" xfId="0" applyFont="1" applyBorder="1"/>
    <xf numFmtId="43" fontId="11" fillId="0" borderId="1" xfId="0" applyNumberFormat="1" applyFont="1" applyBorder="1"/>
    <xf numFmtId="43" fontId="5" fillId="0" borderId="1" xfId="0" applyNumberFormat="1" applyFont="1" applyBorder="1"/>
    <xf numFmtId="43" fontId="4" fillId="0" borderId="4" xfId="1" applyFont="1" applyBorder="1" applyAlignment="1" applyProtection="1">
      <alignment vertical="center"/>
    </xf>
    <xf numFmtId="0" fontId="5" fillId="0" borderId="19" xfId="0" applyFont="1" applyBorder="1" applyAlignment="1">
      <alignment vertical="center"/>
    </xf>
    <xf numFmtId="0" fontId="4" fillId="4" borderId="4" xfId="0" applyFont="1" applyFill="1" applyBorder="1" applyAlignment="1">
      <alignment horizontal="center" vertical="center" wrapText="1"/>
    </xf>
    <xf numFmtId="0" fontId="5" fillId="0" borderId="3" xfId="0" applyFont="1" applyBorder="1" applyAlignment="1">
      <alignment wrapText="1"/>
    </xf>
    <xf numFmtId="0" fontId="5" fillId="0" borderId="1" xfId="0" applyFont="1" applyBorder="1" applyAlignment="1">
      <alignment wrapText="1"/>
    </xf>
    <xf numFmtId="43" fontId="5" fillId="11" borderId="4" xfId="1" applyFont="1" applyFill="1" applyBorder="1" applyAlignment="1" applyProtection="1">
      <alignment vertical="center"/>
      <protection locked="0"/>
    </xf>
    <xf numFmtId="0" fontId="5" fillId="11" borderId="4" xfId="1" applyNumberFormat="1" applyFont="1" applyFill="1" applyBorder="1" applyAlignment="1" applyProtection="1">
      <alignment horizontal="left" vertical="center"/>
      <protection locked="0"/>
    </xf>
    <xf numFmtId="10" fontId="5" fillId="11" borderId="4" xfId="2" applyNumberFormat="1" applyFont="1" applyFill="1" applyBorder="1" applyAlignment="1" applyProtection="1">
      <alignment vertical="center"/>
      <protection locked="0"/>
    </xf>
    <xf numFmtId="0" fontId="6" fillId="4" borderId="7" xfId="0" applyFont="1" applyFill="1" applyBorder="1" applyAlignment="1">
      <alignment vertical="center"/>
    </xf>
    <xf numFmtId="0" fontId="6" fillId="4" borderId="8" xfId="0" applyFont="1" applyFill="1" applyBorder="1" applyAlignment="1">
      <alignment vertical="center"/>
    </xf>
    <xf numFmtId="0" fontId="5" fillId="0" borderId="12" xfId="0" applyFont="1" applyBorder="1" applyAlignment="1">
      <alignment vertical="center" wrapText="1"/>
    </xf>
    <xf numFmtId="0" fontId="14" fillId="0" borderId="1" xfId="0" applyFont="1" applyBorder="1" applyAlignment="1">
      <alignment vertical="center" wrapText="1"/>
    </xf>
    <xf numFmtId="43" fontId="14" fillId="0" borderId="24" xfId="1" applyFont="1" applyBorder="1" applyAlignment="1" applyProtection="1">
      <alignment vertical="center"/>
    </xf>
    <xf numFmtId="43" fontId="14" fillId="0" borderId="1" xfId="0" applyNumberFormat="1" applyFont="1" applyBorder="1" applyAlignment="1">
      <alignment vertical="center" wrapText="1"/>
    </xf>
    <xf numFmtId="43" fontId="14" fillId="0" borderId="1" xfId="1" applyFont="1" applyBorder="1" applyAlignment="1" applyProtection="1">
      <alignment vertical="center" wrapText="1"/>
    </xf>
    <xf numFmtId="43" fontId="13" fillId="4" borderId="24" xfId="0" applyNumberFormat="1" applyFont="1" applyFill="1" applyBorder="1" applyAlignment="1">
      <alignment vertical="center"/>
    </xf>
    <xf numFmtId="43" fontId="13" fillId="0" borderId="1" xfId="0" applyNumberFormat="1" applyFont="1" applyBorder="1" applyAlignment="1">
      <alignment vertical="center" wrapText="1"/>
    </xf>
    <xf numFmtId="0" fontId="14" fillId="0" borderId="25" xfId="0" applyFont="1" applyBorder="1" applyAlignment="1">
      <alignment vertical="center"/>
    </xf>
    <xf numFmtId="0" fontId="14" fillId="0" borderId="26" xfId="0" applyFont="1" applyBorder="1" applyAlignment="1">
      <alignment vertical="center"/>
    </xf>
    <xf numFmtId="43" fontId="13" fillId="0" borderId="24" xfId="1" applyFont="1" applyBorder="1" applyAlignment="1" applyProtection="1">
      <alignment horizontal="left" vertical="center"/>
    </xf>
    <xf numFmtId="10" fontId="14" fillId="0" borderId="24" xfId="2" applyNumberFormat="1" applyFont="1" applyBorder="1" applyAlignment="1" applyProtection="1">
      <alignment horizontal="right" vertical="center"/>
    </xf>
    <xf numFmtId="0" fontId="14" fillId="0" borderId="15" xfId="0" applyFont="1" applyBorder="1" applyAlignment="1">
      <alignment vertical="center"/>
    </xf>
    <xf numFmtId="0" fontId="13" fillId="0" borderId="24" xfId="0" applyFont="1" applyBorder="1" applyAlignment="1">
      <alignment horizontal="right" vertical="center"/>
    </xf>
    <xf numFmtId="10" fontId="14" fillId="0" borderId="15" xfId="2" applyNumberFormat="1" applyFont="1" applyBorder="1" applyAlignment="1" applyProtection="1">
      <alignment vertical="center"/>
    </xf>
    <xf numFmtId="10" fontId="13" fillId="12" borderId="29" xfId="2" applyNumberFormat="1" applyFont="1" applyFill="1" applyBorder="1" applyAlignment="1" applyProtection="1">
      <alignment horizontal="right" vertical="center"/>
    </xf>
    <xf numFmtId="43" fontId="13" fillId="12" borderId="24" xfId="1" applyFont="1" applyFill="1" applyBorder="1" applyAlignment="1" applyProtection="1">
      <alignment horizontal="left" vertical="center"/>
    </xf>
    <xf numFmtId="0" fontId="14" fillId="0" borderId="3" xfId="0" applyFont="1" applyBorder="1" applyAlignment="1">
      <alignment vertical="center" wrapText="1"/>
    </xf>
    <xf numFmtId="0" fontId="14" fillId="0" borderId="2" xfId="0" applyFont="1" applyBorder="1" applyAlignment="1">
      <alignment vertical="center" wrapText="1"/>
    </xf>
    <xf numFmtId="0" fontId="0" fillId="0" borderId="10" xfId="0" applyBorder="1" applyAlignment="1">
      <alignment vertical="center" wrapText="1"/>
    </xf>
    <xf numFmtId="0" fontId="0" fillId="0" borderId="21" xfId="0" applyBorder="1" applyAlignment="1">
      <alignment vertical="center" wrapText="1"/>
    </xf>
    <xf numFmtId="0" fontId="0" fillId="0" borderId="0" xfId="0" applyAlignment="1">
      <alignment vertical="center" wrapText="1"/>
    </xf>
    <xf numFmtId="0" fontId="0" fillId="0" borderId="22" xfId="0" applyBorder="1" applyAlignment="1">
      <alignment vertical="center" wrapText="1"/>
    </xf>
    <xf numFmtId="0" fontId="0" fillId="0" borderId="20" xfId="0" applyBorder="1" applyAlignment="1">
      <alignment vertical="center" wrapText="1"/>
    </xf>
    <xf numFmtId="0" fontId="0" fillId="0" borderId="23" xfId="0" applyBorder="1" applyAlignment="1">
      <alignment vertical="center" wrapText="1"/>
    </xf>
    <xf numFmtId="43" fontId="6" fillId="4" borderId="8" xfId="1" applyFont="1" applyFill="1" applyBorder="1" applyAlignment="1" applyProtection="1">
      <alignment vertical="center"/>
    </xf>
    <xf numFmtId="43" fontId="5" fillId="0" borderId="0" xfId="1" applyFont="1" applyAlignment="1" applyProtection="1">
      <alignment vertical="center" wrapText="1"/>
    </xf>
    <xf numFmtId="0" fontId="14" fillId="0" borderId="30" xfId="0" applyFont="1" applyBorder="1" applyAlignment="1">
      <alignment horizontal="center" vertical="center"/>
    </xf>
    <xf numFmtId="43" fontId="14" fillId="0" borderId="2" xfId="0" applyNumberFormat="1" applyFont="1" applyBorder="1" applyAlignment="1">
      <alignment vertical="center" wrapText="1"/>
    </xf>
    <xf numFmtId="43" fontId="14" fillId="0" borderId="27" xfId="0" applyNumberFormat="1" applyFont="1" applyBorder="1" applyAlignment="1">
      <alignment vertical="center"/>
    </xf>
    <xf numFmtId="43" fontId="14" fillId="0" borderId="3" xfId="0" applyNumberFormat="1" applyFont="1" applyBorder="1" applyAlignment="1">
      <alignment vertical="center" wrapText="1"/>
    </xf>
    <xf numFmtId="0" fontId="5" fillId="0" borderId="13" xfId="0" applyFont="1" applyBorder="1" applyAlignment="1">
      <alignment vertical="center" wrapText="1"/>
    </xf>
    <xf numFmtId="0" fontId="10" fillId="8" borderId="7" xfId="0" applyFont="1" applyFill="1" applyBorder="1" applyAlignment="1" applyProtection="1">
      <alignment horizontal="left" vertical="center" wrapText="1"/>
      <protection locked="0"/>
    </xf>
    <xf numFmtId="0" fontId="9" fillId="7" borderId="4" xfId="0" applyFont="1" applyFill="1" applyBorder="1" applyAlignment="1">
      <alignment horizontal="center" vertical="center" wrapText="1"/>
    </xf>
    <xf numFmtId="0" fontId="9" fillId="7" borderId="5" xfId="0" applyFont="1" applyFill="1" applyBorder="1" applyAlignment="1">
      <alignment horizontal="center" vertical="center" wrapText="1"/>
    </xf>
    <xf numFmtId="0" fontId="10" fillId="8" borderId="4" xfId="0" applyFont="1" applyFill="1" applyBorder="1" applyAlignment="1" applyProtection="1">
      <alignment horizontal="justify" vertical="center" wrapText="1"/>
      <protection locked="0"/>
    </xf>
    <xf numFmtId="0" fontId="9" fillId="7" borderId="6" xfId="0" applyFont="1" applyFill="1" applyBorder="1" applyAlignment="1">
      <alignment horizontal="center" vertical="center" wrapText="1"/>
    </xf>
    <xf numFmtId="0" fontId="14" fillId="0" borderId="14" xfId="0" applyFont="1" applyBorder="1" applyAlignment="1">
      <alignment horizontal="left" vertical="center"/>
    </xf>
    <xf numFmtId="0" fontId="14" fillId="0" borderId="15" xfId="0" applyFont="1" applyBorder="1" applyAlignment="1">
      <alignment horizontal="left" vertical="center"/>
    </xf>
    <xf numFmtId="0" fontId="14" fillId="0" borderId="16" xfId="0" applyFont="1" applyBorder="1" applyAlignment="1">
      <alignment horizontal="left" vertical="center"/>
    </xf>
    <xf numFmtId="0" fontId="14" fillId="0" borderId="15" xfId="0" applyFont="1" applyBorder="1" applyAlignment="1">
      <alignment horizontal="center" vertical="center"/>
    </xf>
    <xf numFmtId="43" fontId="13" fillId="4" borderId="16" xfId="1" applyFont="1" applyFill="1" applyBorder="1" applyAlignment="1" applyProtection="1">
      <alignment horizontal="right" vertical="center"/>
    </xf>
    <xf numFmtId="0" fontId="14" fillId="0" borderId="24" xfId="0" applyFont="1" applyBorder="1" applyAlignment="1">
      <alignment horizontal="left" vertical="center"/>
    </xf>
    <xf numFmtId="0" fontId="14" fillId="0" borderId="24" xfId="0" applyFont="1" applyBorder="1" applyAlignment="1">
      <alignment horizontal="center" vertical="center"/>
    </xf>
    <xf numFmtId="43" fontId="13" fillId="12" borderId="24" xfId="0" applyNumberFormat="1" applyFont="1" applyFill="1" applyBorder="1" applyAlignment="1">
      <alignment horizontal="center" vertical="center"/>
    </xf>
    <xf numFmtId="43" fontId="5" fillId="0" borderId="4" xfId="1" applyFont="1" applyBorder="1" applyAlignment="1" applyProtection="1">
      <alignment horizontal="left" vertical="center" wrapText="1"/>
    </xf>
    <xf numFmtId="10" fontId="8" fillId="0" borderId="4" xfId="2" applyNumberFormat="1" applyFont="1" applyFill="1" applyBorder="1" applyAlignment="1" applyProtection="1">
      <alignment vertical="center"/>
    </xf>
    <xf numFmtId="43" fontId="6" fillId="4" borderId="8" xfId="0" applyNumberFormat="1" applyFont="1" applyFill="1" applyBorder="1" applyAlignment="1">
      <alignment vertical="center"/>
    </xf>
    <xf numFmtId="0" fontId="13" fillId="12" borderId="18" xfId="0" applyFont="1" applyFill="1" applyBorder="1" applyAlignment="1">
      <alignment horizontal="center" vertical="center"/>
    </xf>
    <xf numFmtId="0" fontId="13" fillId="12" borderId="32" xfId="0" applyFont="1" applyFill="1" applyBorder="1" applyAlignment="1">
      <alignment horizontal="center" vertical="center" wrapText="1"/>
    </xf>
    <xf numFmtId="0" fontId="12" fillId="12" borderId="32" xfId="0" applyFont="1" applyFill="1" applyBorder="1" applyAlignment="1">
      <alignment horizontal="center" vertical="center" wrapText="1"/>
    </xf>
    <xf numFmtId="43" fontId="12" fillId="12" borderId="32" xfId="1" applyFont="1" applyFill="1" applyBorder="1" applyAlignment="1" applyProtection="1">
      <alignment horizontal="center" vertical="center" wrapText="1"/>
    </xf>
    <xf numFmtId="0" fontId="14" fillId="0" borderId="26" xfId="0" applyFont="1" applyBorder="1" applyAlignment="1">
      <alignment horizontal="left" vertical="center"/>
    </xf>
    <xf numFmtId="0" fontId="14" fillId="0" borderId="2" xfId="0" applyFont="1" applyBorder="1" applyAlignment="1">
      <alignment horizontal="left" vertical="center" wrapText="1"/>
    </xf>
    <xf numFmtId="0" fontId="14" fillId="0" borderId="1" xfId="0" applyFont="1" applyBorder="1" applyAlignment="1">
      <alignment horizontal="left" vertical="center" wrapText="1"/>
    </xf>
    <xf numFmtId="0" fontId="0" fillId="0" borderId="0" xfId="0" applyAlignment="1">
      <alignment horizontal="left"/>
    </xf>
    <xf numFmtId="169" fontId="14" fillId="0" borderId="14" xfId="1" applyNumberFormat="1" applyFont="1" applyBorder="1" applyAlignment="1" applyProtection="1">
      <alignment vertical="center"/>
    </xf>
    <xf numFmtId="10" fontId="5" fillId="0" borderId="1" xfId="0" applyNumberFormat="1" applyFont="1" applyBorder="1"/>
    <xf numFmtId="10" fontId="5" fillId="0" borderId="3" xfId="2" applyNumberFormat="1" applyFont="1" applyBorder="1" applyProtection="1"/>
    <xf numFmtId="43" fontId="8" fillId="0" borderId="1" xfId="0" applyNumberFormat="1" applyFont="1" applyBorder="1"/>
    <xf numFmtId="0" fontId="4" fillId="4" borderId="4" xfId="0" applyFont="1" applyFill="1" applyBorder="1" applyAlignment="1">
      <alignment vertical="center" wrapText="1"/>
    </xf>
    <xf numFmtId="0" fontId="4" fillId="4" borderId="7" xfId="0" applyFont="1" applyFill="1" applyBorder="1" applyAlignment="1">
      <alignment vertical="center" wrapText="1"/>
    </xf>
    <xf numFmtId="0" fontId="4" fillId="4" borderId="8" xfId="0" applyFont="1" applyFill="1" applyBorder="1" applyAlignment="1">
      <alignment vertical="center" wrapText="1"/>
    </xf>
    <xf numFmtId="0" fontId="4" fillId="4" borderId="7" xfId="0" applyFont="1" applyFill="1" applyBorder="1" applyAlignment="1">
      <alignment vertical="center"/>
    </xf>
    <xf numFmtId="0" fontId="4" fillId="4" borderId="8" xfId="0" applyFont="1" applyFill="1" applyBorder="1" applyAlignment="1">
      <alignment vertical="center"/>
    </xf>
    <xf numFmtId="0" fontId="5" fillId="0" borderId="0" xfId="0" applyFont="1" applyAlignment="1">
      <alignment horizontal="center" vertical="center"/>
    </xf>
    <xf numFmtId="0" fontId="5" fillId="0" borderId="0" xfId="0" applyFont="1" applyAlignment="1">
      <alignment horizontal="left" vertical="center"/>
    </xf>
    <xf numFmtId="43" fontId="5" fillId="0" borderId="0" xfId="1" applyFont="1" applyFill="1" applyBorder="1" applyAlignment="1" applyProtection="1">
      <alignment horizontal="center" vertical="center"/>
      <protection locked="0"/>
    </xf>
    <xf numFmtId="0" fontId="5" fillId="0" borderId="3" xfId="0" applyFont="1" applyBorder="1" applyAlignment="1">
      <alignment vertical="center" wrapText="1"/>
    </xf>
    <xf numFmtId="0" fontId="0" fillId="0" borderId="1" xfId="0" applyBorder="1"/>
    <xf numFmtId="0" fontId="20" fillId="0" borderId="1" xfId="0" applyFont="1" applyBorder="1"/>
    <xf numFmtId="0" fontId="21" fillId="0" borderId="1" xfId="0" applyFont="1" applyBorder="1"/>
    <xf numFmtId="43" fontId="0" fillId="0" borderId="2" xfId="0" applyNumberFormat="1" applyBorder="1"/>
    <xf numFmtId="0" fontId="0" fillId="0" borderId="2" xfId="0" applyBorder="1"/>
    <xf numFmtId="0" fontId="0" fillId="0" borderId="3" xfId="0" applyBorder="1"/>
    <xf numFmtId="43" fontId="0" fillId="0" borderId="1" xfId="0" applyNumberFormat="1" applyBorder="1"/>
    <xf numFmtId="10" fontId="14" fillId="0" borderId="24" xfId="0" applyNumberFormat="1" applyFont="1" applyBorder="1" applyAlignment="1">
      <alignment vertical="center"/>
    </xf>
    <xf numFmtId="0" fontId="12" fillId="3" borderId="24" xfId="0" applyFont="1" applyFill="1" applyBorder="1" applyAlignment="1">
      <alignment vertical="center"/>
    </xf>
    <xf numFmtId="171" fontId="0" fillId="0" borderId="1" xfId="1" applyNumberFormat="1" applyFont="1" applyBorder="1" applyProtection="1"/>
    <xf numFmtId="0" fontId="0" fillId="0" borderId="13" xfId="0" applyBorder="1"/>
    <xf numFmtId="43" fontId="0" fillId="0" borderId="3" xfId="0" applyNumberFormat="1" applyBorder="1"/>
    <xf numFmtId="43" fontId="14" fillId="0" borderId="24" xfId="1" applyFont="1" applyFill="1" applyBorder="1" applyAlignment="1" applyProtection="1">
      <alignment vertical="center"/>
    </xf>
    <xf numFmtId="43" fontId="13" fillId="3" borderId="24" xfId="1" applyFont="1" applyFill="1" applyBorder="1" applyAlignment="1" applyProtection="1">
      <alignment vertical="center"/>
    </xf>
    <xf numFmtId="43" fontId="13" fillId="4" borderId="24" xfId="1" applyFont="1" applyFill="1" applyBorder="1" applyAlignment="1" applyProtection="1">
      <alignment vertical="center"/>
    </xf>
    <xf numFmtId="0" fontId="14" fillId="0" borderId="14" xfId="0" applyFont="1" applyBorder="1" applyAlignment="1">
      <alignment horizontal="center" vertical="center"/>
    </xf>
    <xf numFmtId="0" fontId="14" fillId="0" borderId="18" xfId="0" applyFont="1" applyBorder="1" applyAlignment="1">
      <alignment horizontal="center" vertical="center"/>
    </xf>
    <xf numFmtId="0" fontId="14" fillId="0" borderId="0" xfId="0" applyFont="1" applyAlignment="1">
      <alignment vertical="center"/>
    </xf>
    <xf numFmtId="0" fontId="14" fillId="0" borderId="1" xfId="0" applyFont="1" applyBorder="1" applyAlignment="1">
      <alignment vertical="center"/>
    </xf>
    <xf numFmtId="0" fontId="22" fillId="0" borderId="1" xfId="0" applyFont="1" applyBorder="1" applyAlignment="1">
      <alignment vertical="center"/>
    </xf>
    <xf numFmtId="0" fontId="23" fillId="0" borderId="1" xfId="0" applyFont="1" applyBorder="1" applyAlignment="1">
      <alignment vertical="center"/>
    </xf>
    <xf numFmtId="43" fontId="14" fillId="0" borderId="1" xfId="0" applyNumberFormat="1" applyFont="1" applyBorder="1" applyAlignment="1">
      <alignment vertical="center"/>
    </xf>
    <xf numFmtId="170" fontId="14" fillId="0" borderId="1" xfId="1" applyNumberFormat="1" applyFont="1" applyBorder="1" applyAlignment="1">
      <alignment vertical="center"/>
    </xf>
    <xf numFmtId="0" fontId="14" fillId="0" borderId="3" xfId="0" applyFont="1" applyBorder="1" applyAlignment="1">
      <alignment vertical="center"/>
    </xf>
    <xf numFmtId="0" fontId="14" fillId="0" borderId="32" xfId="0" applyFont="1" applyBorder="1" applyAlignment="1">
      <alignment horizontal="center" vertical="center"/>
    </xf>
    <xf numFmtId="10" fontId="0" fillId="0" borderId="1" xfId="0" applyNumberFormat="1" applyBorder="1"/>
    <xf numFmtId="0" fontId="13" fillId="4" borderId="24" xfId="1" applyNumberFormat="1" applyFont="1" applyFill="1" applyBorder="1" applyAlignment="1" applyProtection="1">
      <alignment horizontal="center" vertical="center"/>
    </xf>
    <xf numFmtId="43" fontId="0" fillId="0" borderId="1" xfId="0" applyNumberFormat="1" applyBorder="1" applyAlignment="1">
      <alignment vertical="center"/>
    </xf>
    <xf numFmtId="43" fontId="20" fillId="0" borderId="1" xfId="1" applyFont="1" applyBorder="1" applyAlignment="1" applyProtection="1">
      <alignment vertical="center"/>
    </xf>
    <xf numFmtId="167" fontId="14" fillId="0" borderId="24" xfId="1" applyNumberFormat="1" applyFont="1" applyFill="1" applyBorder="1" applyAlignment="1" applyProtection="1">
      <alignment vertical="center"/>
    </xf>
    <xf numFmtId="43" fontId="14" fillId="0" borderId="24" xfId="1" applyFont="1" applyFill="1" applyBorder="1" applyAlignment="1" applyProtection="1">
      <alignment horizontal="center" vertical="center"/>
    </xf>
    <xf numFmtId="166" fontId="24" fillId="0" borderId="24" xfId="1" applyNumberFormat="1" applyFont="1" applyFill="1" applyBorder="1" applyAlignment="1" applyProtection="1">
      <alignment horizontal="center" vertical="center"/>
      <protection locked="0"/>
    </xf>
    <xf numFmtId="0" fontId="13" fillId="3" borderId="24" xfId="0" applyFont="1" applyFill="1" applyBorder="1" applyAlignment="1">
      <alignment horizontal="center" vertical="center"/>
    </xf>
    <xf numFmtId="2" fontId="20" fillId="0" borderId="1" xfId="0" applyNumberFormat="1" applyFont="1" applyBorder="1"/>
    <xf numFmtId="0" fontId="13" fillId="0" borderId="24" xfId="0" applyFont="1" applyBorder="1" applyAlignment="1">
      <alignment horizontal="center" vertical="center"/>
    </xf>
    <xf numFmtId="0" fontId="13" fillId="4" borderId="14" xfId="0" applyFont="1" applyFill="1" applyBorder="1" applyAlignment="1">
      <alignment horizontal="left" vertical="center"/>
    </xf>
    <xf numFmtId="0" fontId="13" fillId="4" borderId="15" xfId="0" applyFont="1" applyFill="1" applyBorder="1" applyAlignment="1">
      <alignment horizontal="left" vertical="center"/>
    </xf>
    <xf numFmtId="0" fontId="13" fillId="4" borderId="16" xfId="0" applyFont="1" applyFill="1" applyBorder="1" applyAlignment="1">
      <alignment horizontal="left" vertical="center"/>
    </xf>
    <xf numFmtId="43" fontId="13" fillId="4" borderId="14" xfId="1" applyFont="1" applyFill="1" applyBorder="1" applyAlignment="1" applyProtection="1">
      <alignment horizontal="center" vertical="center"/>
    </xf>
    <xf numFmtId="43" fontId="13" fillId="4" borderId="15" xfId="1" applyFont="1" applyFill="1" applyBorder="1" applyAlignment="1" applyProtection="1">
      <alignment horizontal="center" vertical="center"/>
    </xf>
    <xf numFmtId="43" fontId="13" fillId="4" borderId="16" xfId="1" applyFont="1" applyFill="1" applyBorder="1" applyAlignment="1" applyProtection="1">
      <alignment horizontal="center" vertical="center"/>
    </xf>
    <xf numFmtId="0" fontId="13" fillId="3" borderId="14" xfId="0" applyFont="1" applyFill="1" applyBorder="1" applyAlignment="1">
      <alignment horizontal="right" vertical="center"/>
    </xf>
    <xf numFmtId="0" fontId="13" fillId="5" borderId="24" xfId="0" applyFont="1" applyFill="1" applyBorder="1" applyAlignment="1">
      <alignment horizontal="center" vertical="center"/>
    </xf>
    <xf numFmtId="0" fontId="14" fillId="0" borderId="17" xfId="0" applyFont="1" applyBorder="1" applyAlignment="1">
      <alignment horizontal="center" vertical="center"/>
    </xf>
    <xf numFmtId="43" fontId="13" fillId="4" borderId="24" xfId="1" applyFont="1" applyFill="1" applyBorder="1" applyAlignment="1" applyProtection="1">
      <alignment horizontal="center" vertical="center"/>
    </xf>
    <xf numFmtId="43" fontId="14" fillId="2" borderId="24" xfId="1" applyFont="1" applyFill="1" applyBorder="1" applyAlignment="1" applyProtection="1">
      <alignment horizontal="center" vertical="center"/>
    </xf>
    <xf numFmtId="0" fontId="14" fillId="0" borderId="28" xfId="0" applyFont="1" applyBorder="1" applyAlignment="1">
      <alignment horizontal="center" vertical="center"/>
    </xf>
    <xf numFmtId="0" fontId="13" fillId="3" borderId="24" xfId="0" applyFont="1" applyFill="1" applyBorder="1" applyAlignment="1">
      <alignment vertical="center"/>
    </xf>
    <xf numFmtId="0" fontId="14" fillId="0" borderId="0" xfId="0" applyFont="1" applyAlignment="1">
      <alignment horizontal="center" vertical="center"/>
    </xf>
    <xf numFmtId="0" fontId="0" fillId="0" borderId="38" xfId="0" applyBorder="1"/>
    <xf numFmtId="43" fontId="13" fillId="3" borderId="24" xfId="1" applyFont="1" applyFill="1" applyBorder="1" applyAlignment="1" applyProtection="1">
      <alignment horizontal="center" vertical="center"/>
    </xf>
    <xf numFmtId="43" fontId="22" fillId="0" borderId="3" xfId="0" applyNumberFormat="1" applyFont="1" applyBorder="1" applyAlignment="1">
      <alignment vertical="center"/>
    </xf>
    <xf numFmtId="43" fontId="14" fillId="0" borderId="24" xfId="1" applyFont="1" applyBorder="1" applyAlignment="1" applyProtection="1">
      <alignment horizontal="center" vertical="center"/>
    </xf>
    <xf numFmtId="43" fontId="13" fillId="0" borderId="24" xfId="1" applyFont="1" applyBorder="1" applyAlignment="1" applyProtection="1">
      <alignment horizontal="center" vertical="center"/>
    </xf>
    <xf numFmtId="0" fontId="0" fillId="0" borderId="12" xfId="0" applyBorder="1"/>
    <xf numFmtId="0" fontId="0" fillId="0" borderId="11" xfId="0" applyBorder="1"/>
    <xf numFmtId="0" fontId="20" fillId="0" borderId="3" xfId="0" applyFont="1" applyBorder="1"/>
    <xf numFmtId="43" fontId="8" fillId="0" borderId="3" xfId="0" applyNumberFormat="1" applyFont="1" applyBorder="1"/>
    <xf numFmtId="0" fontId="5" fillId="0" borderId="7" xfId="0" applyFont="1" applyBorder="1" applyAlignment="1">
      <alignment vertical="center"/>
    </xf>
    <xf numFmtId="0" fontId="5" fillId="0" borderId="9" xfId="0" applyFont="1" applyBorder="1" applyAlignment="1">
      <alignment vertical="center"/>
    </xf>
    <xf numFmtId="43" fontId="5" fillId="0" borderId="4" xfId="1" applyFont="1" applyBorder="1" applyAlignment="1" applyProtection="1">
      <alignment horizontal="center" vertical="center"/>
    </xf>
    <xf numFmtId="0" fontId="15" fillId="0" borderId="14" xfId="0" applyFont="1" applyBorder="1" applyAlignment="1">
      <alignment horizontal="left" vertical="center" wrapText="1"/>
    </xf>
    <xf numFmtId="0" fontId="15" fillId="0" borderId="15" xfId="0" applyFont="1" applyBorder="1" applyAlignment="1">
      <alignment horizontal="left" vertical="center" wrapText="1"/>
    </xf>
    <xf numFmtId="0" fontId="15" fillId="0" borderId="16" xfId="0" applyFont="1" applyBorder="1" applyAlignment="1">
      <alignment horizontal="left" vertical="center" wrapText="1"/>
    </xf>
    <xf numFmtId="166" fontId="5" fillId="0" borderId="4" xfId="0" applyNumberFormat="1" applyFont="1" applyBorder="1" applyAlignment="1">
      <alignment horizontal="left" vertical="center" wrapText="1"/>
    </xf>
    <xf numFmtId="43" fontId="5" fillId="11" borderId="4" xfId="1" applyFont="1" applyFill="1" applyBorder="1" applyAlignment="1" applyProtection="1">
      <alignment horizontal="center" vertical="center"/>
      <protection locked="0"/>
    </xf>
    <xf numFmtId="43" fontId="0" fillId="0" borderId="3" xfId="1" applyFont="1" applyBorder="1" applyProtection="1"/>
    <xf numFmtId="0" fontId="4" fillId="12" borderId="24" xfId="0" applyFont="1" applyFill="1" applyBorder="1" applyAlignment="1">
      <alignment vertical="center" wrapText="1"/>
    </xf>
    <xf numFmtId="43" fontId="22" fillId="0" borderId="1" xfId="0" applyNumberFormat="1" applyFont="1" applyBorder="1" applyAlignment="1">
      <alignment vertical="center" wrapText="1"/>
    </xf>
    <xf numFmtId="0" fontId="22" fillId="0" borderId="1" xfId="0" applyFont="1" applyBorder="1" applyAlignment="1">
      <alignment vertical="center" wrapText="1"/>
    </xf>
    <xf numFmtId="0" fontId="20" fillId="0" borderId="0" xfId="0" applyFont="1"/>
    <xf numFmtId="43" fontId="14" fillId="0" borderId="25" xfId="0" applyNumberFormat="1" applyFont="1" applyBorder="1" applyAlignment="1">
      <alignment vertical="center" wrapText="1"/>
    </xf>
    <xf numFmtId="43" fontId="14" fillId="0" borderId="26" xfId="0" applyNumberFormat="1" applyFont="1" applyBorder="1" applyAlignment="1">
      <alignment vertical="center" wrapText="1"/>
    </xf>
    <xf numFmtId="43" fontId="14" fillId="0" borderId="27" xfId="0" applyNumberFormat="1" applyFont="1" applyBorder="1" applyAlignment="1">
      <alignment vertical="center" wrapText="1"/>
    </xf>
    <xf numFmtId="166" fontId="5" fillId="0" borderId="41" xfId="0" applyNumberFormat="1" applyFont="1" applyBorder="1" applyAlignment="1">
      <alignment horizontal="left" vertical="center" wrapText="1"/>
    </xf>
    <xf numFmtId="0" fontId="16" fillId="0" borderId="41" xfId="0" applyFont="1" applyBorder="1" applyAlignment="1">
      <alignment vertical="center" wrapText="1"/>
    </xf>
    <xf numFmtId="0" fontId="16" fillId="0" borderId="41" xfId="0" applyFont="1" applyBorder="1" applyAlignment="1">
      <alignment horizontal="center" vertical="center" wrapText="1"/>
    </xf>
    <xf numFmtId="43" fontId="16" fillId="0" borderId="41" xfId="0" applyNumberFormat="1" applyFont="1" applyBorder="1" applyAlignment="1">
      <alignment vertical="center" wrapText="1"/>
    </xf>
    <xf numFmtId="43" fontId="16" fillId="0" borderId="41" xfId="1" applyFont="1" applyBorder="1" applyAlignment="1">
      <alignment vertical="center" wrapText="1"/>
    </xf>
    <xf numFmtId="43" fontId="16" fillId="0" borderId="41" xfId="1" applyFont="1" applyBorder="1" applyAlignment="1">
      <alignment horizontal="right" vertical="center" wrapText="1"/>
    </xf>
    <xf numFmtId="43" fontId="17" fillId="0" borderId="41" xfId="1" applyFont="1" applyBorder="1" applyAlignment="1">
      <alignment horizontal="right" vertical="center" wrapText="1"/>
    </xf>
    <xf numFmtId="43" fontId="17" fillId="0" borderId="41" xfId="0" applyNumberFormat="1" applyFont="1" applyBorder="1" applyAlignment="1">
      <alignment horizontal="right" vertical="center" wrapText="1"/>
    </xf>
    <xf numFmtId="10" fontId="16" fillId="0" borderId="41" xfId="2" applyNumberFormat="1" applyFont="1" applyBorder="1" applyAlignment="1">
      <alignment vertical="center" wrapText="1"/>
    </xf>
    <xf numFmtId="43" fontId="17" fillId="0" borderId="41" xfId="0" applyNumberFormat="1" applyFont="1" applyBorder="1" applyAlignment="1">
      <alignment vertical="center" wrapText="1"/>
    </xf>
    <xf numFmtId="0" fontId="17" fillId="0" borderId="0" xfId="0" applyFont="1" applyAlignment="1">
      <alignment vertical="center" wrapText="1"/>
    </xf>
    <xf numFmtId="0" fontId="16" fillId="0" borderId="0" xfId="0" applyFont="1" applyAlignment="1">
      <alignment horizontal="center" vertical="center" wrapText="1"/>
    </xf>
    <xf numFmtId="0" fontId="16" fillId="0" borderId="0" xfId="0" applyFont="1" applyAlignment="1">
      <alignment vertical="center" wrapText="1"/>
    </xf>
    <xf numFmtId="0" fontId="16" fillId="0" borderId="0" xfId="0" applyFont="1" applyAlignment="1">
      <alignment horizontal="right" vertical="center" wrapText="1"/>
    </xf>
    <xf numFmtId="9" fontId="17" fillId="0" borderId="0" xfId="0" applyNumberFormat="1" applyFont="1" applyAlignment="1">
      <alignment vertical="center" wrapText="1"/>
    </xf>
    <xf numFmtId="43" fontId="16" fillId="0" borderId="0" xfId="0" applyNumberFormat="1" applyFont="1" applyAlignment="1">
      <alignment vertical="center" wrapText="1"/>
    </xf>
    <xf numFmtId="0" fontId="19" fillId="0" borderId="0" xfId="0" applyFont="1" applyAlignment="1">
      <alignment horizontal="center" vertical="center" wrapText="1"/>
    </xf>
    <xf numFmtId="0" fontId="17" fillId="12" borderId="41" xfId="0" applyFont="1" applyFill="1" applyBorder="1" applyAlignment="1">
      <alignment horizontal="center" vertical="center" wrapText="1"/>
    </xf>
    <xf numFmtId="0" fontId="17" fillId="12" borderId="42" xfId="0" applyFont="1" applyFill="1" applyBorder="1" applyAlignment="1">
      <alignment horizontal="center" vertical="center" wrapText="1"/>
    </xf>
    <xf numFmtId="0" fontId="17" fillId="0" borderId="41" xfId="0" applyFont="1" applyBorder="1" applyAlignment="1">
      <alignment vertical="center" wrapText="1"/>
    </xf>
    <xf numFmtId="0" fontId="6" fillId="4" borderId="8" xfId="0" applyFont="1" applyFill="1" applyBorder="1" applyAlignment="1">
      <alignment horizontal="center" vertical="center"/>
    </xf>
    <xf numFmtId="0" fontId="5" fillId="0" borderId="13" xfId="0" applyFont="1" applyBorder="1" applyAlignment="1">
      <alignment horizontal="center" vertical="center" wrapText="1"/>
    </xf>
    <xf numFmtId="0" fontId="5" fillId="0" borderId="1" xfId="0" applyFont="1" applyBorder="1" applyAlignment="1">
      <alignment horizontal="center" vertical="center" wrapText="1"/>
    </xf>
    <xf numFmtId="43" fontId="16" fillId="0" borderId="0" xfId="0" applyNumberFormat="1" applyFont="1" applyAlignment="1">
      <alignment horizontal="center" vertical="center" wrapText="1"/>
    </xf>
    <xf numFmtId="1" fontId="5" fillId="0" borderId="4" xfId="1" applyNumberFormat="1" applyFont="1" applyBorder="1" applyAlignment="1" applyProtection="1">
      <alignment horizontal="center" vertical="center" wrapText="1"/>
    </xf>
    <xf numFmtId="1" fontId="6" fillId="4" borderId="8" xfId="0" applyNumberFormat="1" applyFont="1" applyFill="1" applyBorder="1" applyAlignment="1">
      <alignment horizontal="center" vertical="center"/>
    </xf>
    <xf numFmtId="1" fontId="5" fillId="0" borderId="1" xfId="0" applyNumberFormat="1" applyFont="1" applyBorder="1" applyAlignment="1">
      <alignment horizontal="center" vertical="center" wrapText="1"/>
    </xf>
    <xf numFmtId="1" fontId="5" fillId="0" borderId="0" xfId="0" applyNumberFormat="1" applyFont="1" applyAlignment="1">
      <alignment horizontal="center" vertical="center" wrapText="1"/>
    </xf>
    <xf numFmtId="1" fontId="26" fillId="0" borderId="4" xfId="1" applyNumberFormat="1" applyFont="1" applyBorder="1" applyAlignment="1" applyProtection="1">
      <alignment horizontal="center" vertical="center" wrapText="1"/>
    </xf>
    <xf numFmtId="0" fontId="5" fillId="0" borderId="7" xfId="0" applyFont="1" applyBorder="1" applyAlignment="1">
      <alignment horizontal="center" vertical="center"/>
    </xf>
    <xf numFmtId="43" fontId="17" fillId="12" borderId="41" xfId="0" applyNumberFormat="1" applyFont="1" applyFill="1" applyBorder="1" applyAlignment="1">
      <alignment horizontal="center" vertical="center" wrapText="1"/>
    </xf>
    <xf numFmtId="0" fontId="0" fillId="2" borderId="0" xfId="0" applyFill="1"/>
    <xf numFmtId="0" fontId="0" fillId="2" borderId="43" xfId="0" applyFill="1" applyBorder="1"/>
    <xf numFmtId="0" fontId="0" fillId="2" borderId="44" xfId="0" applyFill="1" applyBorder="1"/>
    <xf numFmtId="0" fontId="0" fillId="2" borderId="45" xfId="0" applyFill="1" applyBorder="1"/>
    <xf numFmtId="0" fontId="0" fillId="2" borderId="46" xfId="0" applyFill="1" applyBorder="1"/>
    <xf numFmtId="0" fontId="27" fillId="2" borderId="0" xfId="0" applyFont="1" applyFill="1" applyAlignment="1">
      <alignment vertical="center"/>
    </xf>
    <xf numFmtId="0" fontId="0" fillId="2" borderId="47" xfId="0" applyFill="1" applyBorder="1"/>
    <xf numFmtId="0" fontId="28" fillId="2" borderId="0" xfId="0" applyFont="1" applyFill="1" applyAlignment="1">
      <alignment vertical="center"/>
    </xf>
    <xf numFmtId="0" fontId="29" fillId="2" borderId="0" xfId="0" applyFont="1" applyFill="1"/>
    <xf numFmtId="0" fontId="30" fillId="2" borderId="0" xfId="0" applyFont="1" applyFill="1"/>
    <xf numFmtId="0" fontId="31" fillId="2" borderId="0" xfId="0" applyFont="1" applyFill="1"/>
    <xf numFmtId="0" fontId="31" fillId="2" borderId="47" xfId="0" applyFont="1" applyFill="1" applyBorder="1"/>
    <xf numFmtId="0" fontId="31" fillId="2" borderId="0" xfId="0" applyFont="1" applyFill="1" applyAlignment="1">
      <alignment wrapText="1"/>
    </xf>
    <xf numFmtId="0" fontId="31" fillId="2" borderId="47" xfId="0" applyFont="1" applyFill="1" applyBorder="1" applyAlignment="1">
      <alignment wrapText="1"/>
    </xf>
    <xf numFmtId="0" fontId="31" fillId="2" borderId="0" xfId="0" applyFont="1" applyFill="1" applyAlignment="1">
      <alignment vertical="top" wrapText="1"/>
    </xf>
    <xf numFmtId="0" fontId="31" fillId="2" borderId="47" xfId="0" applyFont="1" applyFill="1" applyBorder="1" applyAlignment="1">
      <alignment vertical="top" wrapText="1"/>
    </xf>
    <xf numFmtId="0" fontId="0" fillId="2" borderId="48" xfId="0" applyFill="1" applyBorder="1"/>
    <xf numFmtId="0" fontId="0" fillId="2" borderId="49" xfId="0" applyFill="1" applyBorder="1"/>
    <xf numFmtId="0" fontId="0" fillId="2" borderId="50" xfId="0" applyFill="1" applyBorder="1"/>
    <xf numFmtId="0" fontId="13" fillId="0" borderId="28" xfId="0" applyFont="1" applyBorder="1" applyAlignment="1">
      <alignment horizontal="left" vertical="center"/>
    </xf>
    <xf numFmtId="0" fontId="13" fillId="0" borderId="0" xfId="0" applyFont="1" applyAlignment="1">
      <alignment horizontal="left" vertical="center"/>
    </xf>
    <xf numFmtId="43" fontId="13" fillId="0" borderId="15" xfId="1" applyFont="1" applyFill="1" applyBorder="1" applyAlignment="1" applyProtection="1">
      <alignment horizontal="center" vertical="center"/>
    </xf>
    <xf numFmtId="171" fontId="0" fillId="0" borderId="1" xfId="1" applyNumberFormat="1" applyFont="1" applyFill="1" applyBorder="1" applyProtection="1"/>
    <xf numFmtId="0" fontId="0" fillId="0" borderId="51" xfId="0" applyBorder="1"/>
    <xf numFmtId="0" fontId="0" fillId="0" borderId="52" xfId="0" applyBorder="1"/>
    <xf numFmtId="43" fontId="16" fillId="0" borderId="41" xfId="1" applyFont="1" applyFill="1" applyBorder="1" applyAlignment="1">
      <alignment vertical="center" wrapText="1"/>
    </xf>
    <xf numFmtId="43" fontId="16" fillId="0" borderId="41" xfId="1" applyFont="1" applyFill="1" applyBorder="1" applyAlignment="1">
      <alignment horizontal="right" vertical="center" wrapText="1"/>
    </xf>
    <xf numFmtId="43" fontId="17" fillId="0" borderId="41" xfId="1" applyFont="1" applyFill="1" applyBorder="1" applyAlignment="1">
      <alignment horizontal="right" vertical="center" wrapText="1"/>
    </xf>
    <xf numFmtId="10" fontId="16" fillId="0" borderId="41" xfId="2" applyNumberFormat="1" applyFont="1" applyFill="1" applyBorder="1" applyAlignment="1">
      <alignment vertical="center" wrapText="1"/>
    </xf>
    <xf numFmtId="0" fontId="16" fillId="0" borderId="4" xfId="0" applyFont="1" applyBorder="1"/>
    <xf numFmtId="0" fontId="16" fillId="0" borderId="0" xfId="0" applyFont="1"/>
    <xf numFmtId="0" fontId="16" fillId="0" borderId="4" xfId="0" applyFont="1" applyBorder="1" applyAlignment="1">
      <alignment wrapText="1"/>
    </xf>
    <xf numFmtId="43" fontId="16" fillId="0" borderId="42" xfId="1" applyFont="1" applyBorder="1" applyAlignment="1">
      <alignment vertical="center" wrapText="1"/>
    </xf>
    <xf numFmtId="43" fontId="16" fillId="0" borderId="4" xfId="1" applyFont="1" applyBorder="1" applyAlignment="1">
      <alignment vertical="center" wrapText="1"/>
    </xf>
    <xf numFmtId="0" fontId="16" fillId="0" borderId="4" xfId="0" applyFont="1" applyBorder="1" applyAlignment="1">
      <alignment vertical="center"/>
    </xf>
    <xf numFmtId="43" fontId="16" fillId="0" borderId="4" xfId="0" applyNumberFormat="1" applyFont="1" applyBorder="1" applyAlignment="1">
      <alignment vertical="center"/>
    </xf>
    <xf numFmtId="10" fontId="16" fillId="0" borderId="4" xfId="0" applyNumberFormat="1" applyFont="1" applyBorder="1" applyAlignment="1">
      <alignment vertical="center"/>
    </xf>
    <xf numFmtId="43" fontId="4" fillId="11" borderId="4" xfId="1" applyFont="1" applyFill="1" applyBorder="1" applyAlignment="1" applyProtection="1">
      <alignment vertical="center"/>
      <protection locked="0"/>
    </xf>
    <xf numFmtId="0" fontId="0" fillId="0" borderId="0" xfId="0" applyAlignment="1">
      <alignment vertical="center"/>
    </xf>
    <xf numFmtId="0" fontId="16" fillId="0" borderId="4" xfId="0" applyFont="1" applyBorder="1" applyAlignment="1">
      <alignment horizontal="center" vertical="center"/>
    </xf>
    <xf numFmtId="43" fontId="0" fillId="0" borderId="0" xfId="0" applyNumberFormat="1"/>
    <xf numFmtId="43" fontId="16" fillId="0" borderId="0" xfId="1" applyFont="1" applyBorder="1" applyAlignment="1">
      <alignment vertical="center" wrapText="1"/>
    </xf>
    <xf numFmtId="43" fontId="17" fillId="4" borderId="4" xfId="0" applyNumberFormat="1" applyFont="1" applyFill="1" applyBorder="1" applyAlignment="1">
      <alignment vertical="center"/>
    </xf>
    <xf numFmtId="43" fontId="0" fillId="0" borderId="12" xfId="0" applyNumberFormat="1" applyBorder="1"/>
    <xf numFmtId="43" fontId="0" fillId="0" borderId="13" xfId="1" applyFont="1" applyBorder="1" applyProtection="1"/>
    <xf numFmtId="9" fontId="0" fillId="0" borderId="13" xfId="0" applyNumberFormat="1" applyBorder="1"/>
    <xf numFmtId="43" fontId="0" fillId="0" borderId="13" xfId="0" applyNumberFormat="1" applyBorder="1"/>
    <xf numFmtId="43" fontId="5" fillId="0" borderId="0" xfId="1" applyFont="1" applyFill="1" applyBorder="1" applyAlignment="1" applyProtection="1">
      <alignment vertical="center"/>
    </xf>
    <xf numFmtId="43" fontId="35" fillId="0" borderId="3" xfId="0" applyNumberFormat="1" applyFont="1" applyBorder="1" applyAlignment="1">
      <alignment vertical="center"/>
    </xf>
    <xf numFmtId="0" fontId="8" fillId="15" borderId="4" xfId="0" applyFont="1" applyFill="1" applyBorder="1" applyAlignment="1">
      <alignment horizontal="center" vertical="center" wrapText="1"/>
    </xf>
    <xf numFmtId="0" fontId="8" fillId="15" borderId="4" xfId="0" applyFont="1" applyFill="1" applyBorder="1" applyAlignment="1">
      <alignment vertical="center" wrapText="1"/>
    </xf>
    <xf numFmtId="166" fontId="5" fillId="15" borderId="41" xfId="0" applyNumberFormat="1" applyFont="1" applyFill="1" applyBorder="1" applyAlignment="1">
      <alignment horizontal="left" vertical="center" wrapText="1"/>
    </xf>
    <xf numFmtId="0" fontId="5" fillId="15" borderId="4" xfId="0" applyFont="1" applyFill="1" applyBorder="1" applyAlignment="1">
      <alignment horizontal="left" vertical="center" wrapText="1"/>
    </xf>
    <xf numFmtId="0" fontId="5" fillId="15" borderId="4" xfId="0" applyFont="1" applyFill="1" applyBorder="1" applyAlignment="1">
      <alignment horizontal="center" vertical="center" wrapText="1"/>
    </xf>
    <xf numFmtId="1" fontId="5" fillId="15" borderId="4" xfId="1" applyNumberFormat="1" applyFont="1" applyFill="1" applyBorder="1" applyAlignment="1" applyProtection="1">
      <alignment horizontal="center" vertical="center" wrapText="1"/>
    </xf>
    <xf numFmtId="43" fontId="5" fillId="15" borderId="4" xfId="1" applyFont="1" applyFill="1" applyBorder="1" applyAlignment="1" applyProtection="1">
      <alignment horizontal="left" vertical="center" wrapText="1"/>
    </xf>
    <xf numFmtId="1" fontId="26" fillId="15" borderId="4" xfId="1" applyNumberFormat="1" applyFont="1" applyFill="1" applyBorder="1" applyAlignment="1" applyProtection="1">
      <alignment horizontal="center" vertical="center" wrapText="1"/>
    </xf>
    <xf numFmtId="43" fontId="6" fillId="15" borderId="4" xfId="1" applyFont="1" applyFill="1" applyBorder="1" applyAlignment="1" applyProtection="1">
      <alignment vertical="center"/>
    </xf>
    <xf numFmtId="10" fontId="8" fillId="15" borderId="4" xfId="2" applyNumberFormat="1" applyFont="1" applyFill="1" applyBorder="1" applyAlignment="1" applyProtection="1">
      <alignment vertical="center"/>
    </xf>
    <xf numFmtId="166" fontId="5" fillId="15" borderId="4" xfId="0" applyNumberFormat="1" applyFont="1" applyFill="1" applyBorder="1" applyAlignment="1">
      <alignment horizontal="left" vertical="center" wrapText="1"/>
    </xf>
    <xf numFmtId="4" fontId="16" fillId="0" borderId="4" xfId="0" applyNumberFormat="1" applyFont="1" applyBorder="1" applyAlignment="1">
      <alignment vertical="center"/>
    </xf>
    <xf numFmtId="0" fontId="32" fillId="2" borderId="0" xfId="0" applyFont="1" applyFill="1"/>
    <xf numFmtId="0" fontId="10" fillId="8" borderId="7" xfId="0" applyFont="1" applyFill="1" applyBorder="1" applyAlignment="1" applyProtection="1">
      <alignment horizontal="left" vertical="center" wrapText="1"/>
      <protection locked="0"/>
    </xf>
    <xf numFmtId="0" fontId="10" fillId="8" borderId="8" xfId="0" applyFont="1" applyFill="1" applyBorder="1" applyAlignment="1" applyProtection="1">
      <alignment horizontal="left" vertical="center" wrapText="1"/>
      <protection locked="0"/>
    </xf>
    <xf numFmtId="0" fontId="10" fillId="8" borderId="9" xfId="0" applyFont="1" applyFill="1" applyBorder="1" applyAlignment="1" applyProtection="1">
      <alignment horizontal="left" vertical="center" wrapText="1"/>
      <protection locked="0"/>
    </xf>
    <xf numFmtId="0" fontId="9" fillId="0" borderId="8" xfId="0" applyFont="1" applyBorder="1" applyAlignment="1">
      <alignment horizontal="left" vertical="center" wrapText="1"/>
    </xf>
    <xf numFmtId="0" fontId="9" fillId="0" borderId="9" xfId="0" applyFont="1" applyBorder="1" applyAlignment="1">
      <alignment horizontal="left" vertical="center" wrapText="1"/>
    </xf>
    <xf numFmtId="0" fontId="5" fillId="0" borderId="7" xfId="0" applyFont="1" applyBorder="1" applyAlignment="1" applyProtection="1">
      <alignment horizontal="left"/>
      <protection locked="0"/>
    </xf>
    <xf numFmtId="0" fontId="5" fillId="0" borderId="8" xfId="0" applyFont="1" applyBorder="1" applyAlignment="1" applyProtection="1">
      <alignment horizontal="left"/>
      <protection locked="0"/>
    </xf>
    <xf numFmtId="0" fontId="5" fillId="0" borderId="9" xfId="0" applyFont="1" applyBorder="1" applyAlignment="1" applyProtection="1">
      <alignment horizontal="left"/>
      <protection locked="0"/>
    </xf>
    <xf numFmtId="0" fontId="9" fillId="7" borderId="4" xfId="0" applyFont="1" applyFill="1" applyBorder="1" applyAlignment="1">
      <alignment horizontal="center" vertical="center" wrapText="1"/>
    </xf>
    <xf numFmtId="0" fontId="9" fillId="7" borderId="5" xfId="0" applyFont="1" applyFill="1" applyBorder="1" applyAlignment="1">
      <alignment horizontal="center" vertical="center" wrapText="1"/>
    </xf>
    <xf numFmtId="0" fontId="4" fillId="3" borderId="7" xfId="0" applyFont="1" applyFill="1" applyBorder="1" applyAlignment="1">
      <alignment horizontal="center" vertical="center"/>
    </xf>
    <xf numFmtId="0" fontId="4" fillId="3" borderId="8" xfId="0" applyFont="1" applyFill="1" applyBorder="1" applyAlignment="1">
      <alignment horizontal="center" vertical="center"/>
    </xf>
    <xf numFmtId="0" fontId="4" fillId="3" borderId="9" xfId="0" applyFont="1" applyFill="1" applyBorder="1" applyAlignment="1">
      <alignment horizontal="center" vertical="center"/>
    </xf>
    <xf numFmtId="0" fontId="10" fillId="8" borderId="4" xfId="0" applyFont="1" applyFill="1" applyBorder="1" applyAlignment="1" applyProtection="1">
      <alignment horizontal="justify" vertical="center" wrapText="1"/>
      <protection locked="0"/>
    </xf>
    <xf numFmtId="0" fontId="9" fillId="6" borderId="7" xfId="0" applyFont="1" applyFill="1" applyBorder="1" applyAlignment="1">
      <alignment horizontal="center" vertical="center" wrapText="1"/>
    </xf>
    <xf numFmtId="0" fontId="9" fillId="6" borderId="8" xfId="0" applyFont="1" applyFill="1" applyBorder="1" applyAlignment="1">
      <alignment horizontal="center" vertical="center" wrapText="1"/>
    </xf>
    <xf numFmtId="0" fontId="9" fillId="6" borderId="9" xfId="0" applyFont="1" applyFill="1" applyBorder="1" applyAlignment="1">
      <alignment horizontal="center" vertical="center" wrapText="1"/>
    </xf>
    <xf numFmtId="0" fontId="10" fillId="8" borderId="6" xfId="0" applyFont="1" applyFill="1" applyBorder="1" applyAlignment="1">
      <alignment horizontal="left" vertical="center" wrapText="1" indent="1"/>
    </xf>
    <xf numFmtId="0" fontId="10" fillId="8" borderId="7" xfId="0" applyFont="1" applyFill="1" applyBorder="1" applyAlignment="1" applyProtection="1">
      <alignment horizontal="center" vertical="center" wrapText="1"/>
      <protection locked="0"/>
    </xf>
    <xf numFmtId="0" fontId="10" fillId="8" borderId="9" xfId="0" applyFont="1" applyFill="1" applyBorder="1" applyAlignment="1" applyProtection="1">
      <alignment horizontal="center" vertical="center" wrapText="1"/>
      <protection locked="0"/>
    </xf>
    <xf numFmtId="0" fontId="9" fillId="6" borderId="4" xfId="0" applyFont="1" applyFill="1" applyBorder="1" applyAlignment="1">
      <alignment horizontal="center" vertical="center" wrapText="1"/>
    </xf>
    <xf numFmtId="0" fontId="9" fillId="7" borderId="6" xfId="0" applyFont="1" applyFill="1" applyBorder="1" applyAlignment="1">
      <alignment horizontal="center" vertical="center" wrapText="1"/>
    </xf>
    <xf numFmtId="0" fontId="4" fillId="4" borderId="4" xfId="0" applyFont="1" applyFill="1" applyBorder="1" applyAlignment="1">
      <alignment horizontal="center" vertical="center"/>
    </xf>
    <xf numFmtId="0" fontId="4" fillId="4" borderId="37" xfId="0" applyFont="1" applyFill="1" applyBorder="1" applyAlignment="1">
      <alignment horizontal="center" vertical="center"/>
    </xf>
    <xf numFmtId="0" fontId="4" fillId="4" borderId="19" xfId="0" applyFont="1" applyFill="1" applyBorder="1" applyAlignment="1">
      <alignment horizontal="center" vertical="center"/>
    </xf>
    <xf numFmtId="0" fontId="4" fillId="4" borderId="36" xfId="0" applyFont="1" applyFill="1" applyBorder="1" applyAlignment="1">
      <alignment horizontal="center" vertical="center"/>
    </xf>
    <xf numFmtId="0" fontId="4" fillId="4" borderId="4" xfId="0" applyFont="1" applyFill="1" applyBorder="1" applyAlignment="1">
      <alignment horizontal="left" vertical="center"/>
    </xf>
    <xf numFmtId="0" fontId="8" fillId="0" borderId="7" xfId="0" applyFont="1" applyBorder="1" applyAlignment="1">
      <alignment horizontal="left" vertical="center"/>
    </xf>
    <xf numFmtId="0" fontId="8" fillId="0" borderId="8" xfId="0" applyFont="1" applyBorder="1" applyAlignment="1">
      <alignment horizontal="left" vertical="center"/>
    </xf>
    <xf numFmtId="0" fontId="8" fillId="0" borderId="9" xfId="0" applyFont="1" applyBorder="1" applyAlignment="1">
      <alignment horizontal="left" vertical="center"/>
    </xf>
    <xf numFmtId="10" fontId="5" fillId="11" borderId="7" xfId="2" applyNumberFormat="1" applyFont="1" applyFill="1" applyBorder="1" applyAlignment="1" applyProtection="1">
      <alignment horizontal="right" vertical="center"/>
      <protection locked="0"/>
    </xf>
    <xf numFmtId="10" fontId="5" fillId="11" borderId="8" xfId="2" applyNumberFormat="1" applyFont="1" applyFill="1" applyBorder="1" applyAlignment="1" applyProtection="1">
      <alignment horizontal="right" vertical="center"/>
      <protection locked="0"/>
    </xf>
    <xf numFmtId="10" fontId="5" fillId="11" borderId="9" xfId="2" applyNumberFormat="1" applyFont="1" applyFill="1" applyBorder="1" applyAlignment="1" applyProtection="1">
      <alignment horizontal="right" vertical="center"/>
      <protection locked="0"/>
    </xf>
    <xf numFmtId="0" fontId="33" fillId="0" borderId="57" xfId="0" applyFont="1" applyBorder="1" applyAlignment="1">
      <alignment horizontal="left" vertical="center"/>
    </xf>
    <xf numFmtId="0" fontId="33" fillId="0" borderId="53" xfId="0" applyFont="1" applyBorder="1" applyAlignment="1">
      <alignment horizontal="left" vertical="center"/>
    </xf>
    <xf numFmtId="0" fontId="33" fillId="0" borderId="58" xfId="0" applyFont="1" applyBorder="1" applyAlignment="1">
      <alignment horizontal="left" vertical="center"/>
    </xf>
    <xf numFmtId="0" fontId="4" fillId="0" borderId="54" xfId="0" applyFont="1" applyBorder="1" applyAlignment="1">
      <alignment horizontal="left" vertical="center"/>
    </xf>
    <xf numFmtId="0" fontId="4" fillId="0" borderId="55" xfId="0" applyFont="1" applyBorder="1" applyAlignment="1">
      <alignment horizontal="left" vertical="center"/>
    </xf>
    <xf numFmtId="0" fontId="4" fillId="0" borderId="56" xfId="0" applyFont="1" applyBorder="1" applyAlignment="1">
      <alignment horizontal="left" vertical="center"/>
    </xf>
    <xf numFmtId="0" fontId="5" fillId="0" borderId="7" xfId="0" applyFont="1" applyBorder="1"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4" fillId="4" borderId="7" xfId="0" applyFont="1" applyFill="1" applyBorder="1" applyAlignment="1">
      <alignment horizontal="right" vertical="center"/>
    </xf>
    <xf numFmtId="0" fontId="4" fillId="4" borderId="8" xfId="0" applyFont="1" applyFill="1" applyBorder="1" applyAlignment="1">
      <alignment horizontal="right" vertical="center"/>
    </xf>
    <xf numFmtId="0" fontId="4" fillId="4" borderId="9" xfId="0" applyFont="1" applyFill="1" applyBorder="1" applyAlignment="1">
      <alignment horizontal="right" vertical="center"/>
    </xf>
    <xf numFmtId="43" fontId="5" fillId="0" borderId="7" xfId="1" applyFont="1" applyBorder="1" applyAlignment="1" applyProtection="1">
      <alignment horizontal="right" vertical="center"/>
    </xf>
    <xf numFmtId="43" fontId="5" fillId="0" borderId="8" xfId="1" applyFont="1" applyBorder="1" applyAlignment="1" applyProtection="1">
      <alignment horizontal="right" vertical="center"/>
    </xf>
    <xf numFmtId="43" fontId="5" fillId="0" borderId="9" xfId="1" applyFont="1" applyBorder="1" applyAlignment="1" applyProtection="1">
      <alignment horizontal="right" vertical="center"/>
    </xf>
    <xf numFmtId="0" fontId="5" fillId="0" borderId="7" xfId="0" applyFont="1" applyBorder="1" applyAlignment="1">
      <alignment horizontal="left" vertical="center"/>
    </xf>
    <xf numFmtId="0" fontId="5" fillId="0" borderId="8" xfId="0" applyFont="1" applyBorder="1" applyAlignment="1">
      <alignment horizontal="left" vertical="center"/>
    </xf>
    <xf numFmtId="0" fontId="5" fillId="0" borderId="9" xfId="0" applyFont="1" applyBorder="1" applyAlignment="1">
      <alignment horizontal="left" vertical="center"/>
    </xf>
    <xf numFmtId="0" fontId="4" fillId="3" borderId="4" xfId="0" applyFont="1" applyFill="1" applyBorder="1" applyAlignment="1">
      <alignment horizontal="center" vertical="center"/>
    </xf>
    <xf numFmtId="10" fontId="5" fillId="11" borderId="7" xfId="2" applyNumberFormat="1" applyFont="1" applyFill="1" applyBorder="1" applyAlignment="1" applyProtection="1">
      <alignment horizontal="left" vertical="center" wrapText="1"/>
      <protection locked="0"/>
    </xf>
    <xf numFmtId="10" fontId="5" fillId="11" borderId="8" xfId="2" applyNumberFormat="1" applyFont="1" applyFill="1" applyBorder="1" applyAlignment="1" applyProtection="1">
      <alignment horizontal="left" vertical="center"/>
      <protection locked="0"/>
    </xf>
    <xf numFmtId="10" fontId="5" fillId="11" borderId="9" xfId="2" applyNumberFormat="1" applyFont="1" applyFill="1" applyBorder="1" applyAlignment="1" applyProtection="1">
      <alignment horizontal="left" vertical="center"/>
      <protection locked="0"/>
    </xf>
    <xf numFmtId="0" fontId="18" fillId="4" borderId="7" xfId="0" applyFont="1" applyFill="1" applyBorder="1" applyAlignment="1" applyProtection="1">
      <alignment horizontal="left" vertical="center"/>
      <protection locked="0"/>
    </xf>
    <xf numFmtId="0" fontId="18" fillId="4" borderId="8" xfId="0" applyFont="1" applyFill="1" applyBorder="1" applyAlignment="1" applyProtection="1">
      <alignment horizontal="left" vertical="center"/>
      <protection locked="0"/>
    </xf>
    <xf numFmtId="0" fontId="18" fillId="4" borderId="9" xfId="0" applyFont="1" applyFill="1" applyBorder="1" applyAlignment="1" applyProtection="1">
      <alignment horizontal="left" vertical="center"/>
      <protection locked="0"/>
    </xf>
    <xf numFmtId="0" fontId="4" fillId="2" borderId="4" xfId="0" applyFont="1" applyFill="1" applyBorder="1" applyAlignment="1">
      <alignment horizontal="left" vertical="center"/>
    </xf>
    <xf numFmtId="10" fontId="5" fillId="2" borderId="4" xfId="2" applyNumberFormat="1" applyFont="1" applyFill="1" applyBorder="1" applyAlignment="1" applyProtection="1">
      <alignment horizontal="left" vertical="center"/>
    </xf>
    <xf numFmtId="10" fontId="5" fillId="11" borderId="7" xfId="2" applyNumberFormat="1" applyFont="1" applyFill="1" applyBorder="1" applyAlignment="1" applyProtection="1">
      <alignment horizontal="left" vertical="center"/>
      <protection locked="0"/>
    </xf>
    <xf numFmtId="0" fontId="0" fillId="0" borderId="8" xfId="0" applyBorder="1" applyAlignment="1">
      <alignment horizontal="left" vertical="center"/>
    </xf>
    <xf numFmtId="0" fontId="0" fillId="0" borderId="9" xfId="0" applyBorder="1" applyAlignment="1">
      <alignment horizontal="left" vertical="center"/>
    </xf>
    <xf numFmtId="0" fontId="4" fillId="5" borderId="4" xfId="0" applyFont="1" applyFill="1" applyBorder="1" applyAlignment="1">
      <alignment horizontal="center" vertical="center"/>
    </xf>
    <xf numFmtId="0" fontId="4" fillId="2" borderId="4" xfId="0" applyFont="1" applyFill="1" applyBorder="1" applyAlignment="1">
      <alignment horizontal="left" vertical="center" wrapText="1"/>
    </xf>
    <xf numFmtId="0" fontId="5" fillId="0" borderId="4" xfId="0" applyFont="1" applyBorder="1" applyAlignment="1">
      <alignment horizontal="left" vertical="center"/>
    </xf>
    <xf numFmtId="168" fontId="5" fillId="2" borderId="4" xfId="1" applyNumberFormat="1" applyFont="1" applyFill="1" applyBorder="1" applyAlignment="1" applyProtection="1">
      <alignment horizontal="center" vertical="center"/>
    </xf>
    <xf numFmtId="43" fontId="5" fillId="11" borderId="7" xfId="1" applyFont="1" applyFill="1" applyBorder="1" applyAlignment="1" applyProtection="1">
      <alignment horizontal="center" vertical="center"/>
      <protection locked="0"/>
    </xf>
    <xf numFmtId="43" fontId="5" fillId="11" borderId="8" xfId="1" applyFont="1" applyFill="1" applyBorder="1" applyAlignment="1" applyProtection="1">
      <alignment horizontal="center" vertical="center"/>
      <protection locked="0"/>
    </xf>
    <xf numFmtId="43" fontId="5" fillId="11" borderId="9" xfId="1" applyFont="1" applyFill="1" applyBorder="1" applyAlignment="1" applyProtection="1">
      <alignment horizontal="center" vertical="center"/>
      <protection locked="0"/>
    </xf>
    <xf numFmtId="166" fontId="6" fillId="10" borderId="4" xfId="0" applyNumberFormat="1" applyFont="1" applyFill="1" applyBorder="1" applyAlignment="1">
      <alignment horizontal="center" vertical="center" wrapText="1"/>
    </xf>
    <xf numFmtId="0" fontId="5" fillId="0" borderId="7"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43" fontId="5" fillId="0" borderId="4" xfId="1" applyFont="1" applyBorder="1" applyAlignment="1" applyProtection="1">
      <alignment horizontal="center" vertical="center"/>
    </xf>
    <xf numFmtId="0" fontId="4" fillId="3" borderId="4" xfId="0" applyFont="1" applyFill="1" applyBorder="1" applyAlignment="1">
      <alignment horizontal="right" vertical="center"/>
    </xf>
    <xf numFmtId="0" fontId="5" fillId="0" borderId="7" xfId="0" applyFont="1" applyBorder="1" applyAlignment="1">
      <alignment horizontal="center" vertical="center"/>
    </xf>
    <xf numFmtId="0" fontId="5" fillId="0" borderId="9" xfId="0" applyFont="1" applyBorder="1" applyAlignment="1">
      <alignment horizontal="center" vertical="center"/>
    </xf>
    <xf numFmtId="0" fontId="4" fillId="4" borderId="7"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4" fillId="4" borderId="9" xfId="0" applyFont="1" applyFill="1" applyBorder="1" applyAlignment="1">
      <alignment horizontal="center" vertical="center" wrapText="1"/>
    </xf>
    <xf numFmtId="166" fontId="6" fillId="9" borderId="7" xfId="0" applyNumberFormat="1" applyFont="1" applyFill="1" applyBorder="1" applyAlignment="1">
      <alignment horizontal="center" vertical="center" wrapText="1"/>
    </xf>
    <xf numFmtId="166" fontId="6" fillId="9" borderId="8" xfId="0" applyNumberFormat="1" applyFont="1" applyFill="1" applyBorder="1" applyAlignment="1">
      <alignment horizontal="center" vertical="center" wrapText="1"/>
    </xf>
    <xf numFmtId="166" fontId="6" fillId="9" borderId="9" xfId="0" applyNumberFormat="1" applyFont="1" applyFill="1" applyBorder="1" applyAlignment="1">
      <alignment horizontal="center" vertical="center" wrapText="1"/>
    </xf>
    <xf numFmtId="43" fontId="5" fillId="11" borderId="7" xfId="1" applyFont="1" applyFill="1" applyBorder="1" applyAlignment="1" applyProtection="1">
      <alignment horizontal="left" vertical="center"/>
      <protection locked="0"/>
    </xf>
    <xf numFmtId="43" fontId="5" fillId="11" borderId="8" xfId="1" applyFont="1" applyFill="1" applyBorder="1" applyAlignment="1" applyProtection="1">
      <alignment horizontal="left" vertical="center"/>
      <protection locked="0"/>
    </xf>
    <xf numFmtId="43" fontId="5" fillId="11" borderId="9" xfId="1" applyFont="1" applyFill="1" applyBorder="1" applyAlignment="1" applyProtection="1">
      <alignment horizontal="left" vertical="center"/>
      <protection locked="0"/>
    </xf>
    <xf numFmtId="0" fontId="6" fillId="3" borderId="5" xfId="1" applyNumberFormat="1" applyFont="1" applyFill="1" applyBorder="1" applyAlignment="1" applyProtection="1">
      <alignment horizontal="center" vertical="center" wrapText="1"/>
    </xf>
    <xf numFmtId="0" fontId="6" fillId="3" borderId="6" xfId="1" applyNumberFormat="1" applyFont="1" applyFill="1" applyBorder="1" applyAlignment="1" applyProtection="1">
      <alignment horizontal="center" vertical="center" wrapText="1"/>
    </xf>
    <xf numFmtId="0" fontId="6" fillId="3" borderId="5" xfId="0" applyFont="1" applyFill="1" applyBorder="1" applyAlignment="1">
      <alignment horizontal="center" vertical="center" wrapText="1"/>
    </xf>
    <xf numFmtId="0" fontId="6" fillId="3" borderId="6" xfId="0" applyFont="1" applyFill="1" applyBorder="1" applyAlignment="1">
      <alignment horizontal="center" vertical="center" wrapText="1"/>
    </xf>
    <xf numFmtId="43" fontId="6" fillId="3" borderId="5" xfId="1" applyFont="1" applyFill="1" applyBorder="1" applyAlignment="1" applyProtection="1">
      <alignment horizontal="center" vertical="center" wrapText="1"/>
    </xf>
    <xf numFmtId="43" fontId="6" fillId="3" borderId="6" xfId="1" applyFont="1" applyFill="1" applyBorder="1" applyAlignment="1" applyProtection="1">
      <alignment horizontal="center" vertical="center" wrapText="1"/>
    </xf>
    <xf numFmtId="1" fontId="6" fillId="3" borderId="5" xfId="1" applyNumberFormat="1" applyFont="1" applyFill="1" applyBorder="1" applyAlignment="1" applyProtection="1">
      <alignment horizontal="center" vertical="center" wrapText="1"/>
    </xf>
    <xf numFmtId="1" fontId="6" fillId="3" borderId="6" xfId="1" applyNumberFormat="1" applyFont="1" applyFill="1" applyBorder="1" applyAlignment="1" applyProtection="1">
      <alignment horizontal="center" vertical="center" wrapText="1"/>
    </xf>
    <xf numFmtId="0" fontId="6" fillId="3" borderId="4" xfId="0" applyFont="1" applyFill="1" applyBorder="1" applyAlignment="1">
      <alignment horizontal="center" vertical="center" wrapText="1"/>
    </xf>
    <xf numFmtId="0" fontId="6" fillId="3" borderId="4" xfId="1" applyNumberFormat="1" applyFont="1" applyFill="1" applyBorder="1" applyAlignment="1">
      <alignment horizontal="center" vertical="center" wrapText="1"/>
    </xf>
    <xf numFmtId="0" fontId="13" fillId="13" borderId="14" xfId="0" applyFont="1" applyFill="1" applyBorder="1" applyAlignment="1">
      <alignment horizontal="center" vertical="center"/>
    </xf>
    <xf numFmtId="0" fontId="13" fillId="13" borderId="15" xfId="0" applyFont="1" applyFill="1" applyBorder="1" applyAlignment="1">
      <alignment horizontal="center" vertical="center"/>
    </xf>
    <xf numFmtId="0" fontId="13" fillId="13" borderId="16" xfId="0" applyFont="1" applyFill="1" applyBorder="1" applyAlignment="1">
      <alignment horizontal="center" vertical="center"/>
    </xf>
    <xf numFmtId="0" fontId="14" fillId="0" borderId="14" xfId="0" applyFont="1" applyBorder="1" applyAlignment="1">
      <alignment horizontal="center" vertical="center"/>
    </xf>
    <xf numFmtId="0" fontId="0" fillId="0" borderId="16" xfId="0" applyBorder="1"/>
    <xf numFmtId="0" fontId="13" fillId="12" borderId="14" xfId="0" applyFont="1" applyFill="1" applyBorder="1" applyAlignment="1">
      <alignment horizontal="right" vertical="center"/>
    </xf>
    <xf numFmtId="0" fontId="13" fillId="12" borderId="15" xfId="0" applyFont="1" applyFill="1" applyBorder="1" applyAlignment="1">
      <alignment horizontal="right" vertical="center"/>
    </xf>
    <xf numFmtId="0" fontId="13" fillId="12" borderId="16" xfId="0" applyFont="1" applyFill="1" applyBorder="1" applyAlignment="1">
      <alignment horizontal="right" vertical="center"/>
    </xf>
    <xf numFmtId="0" fontId="0" fillId="0" borderId="15" xfId="0" applyBorder="1"/>
    <xf numFmtId="43" fontId="14" fillId="0" borderId="32" xfId="1" applyFont="1" applyBorder="1" applyAlignment="1" applyProtection="1">
      <alignment horizontal="center" vertical="center"/>
    </xf>
    <xf numFmtId="43" fontId="14" fillId="0" borderId="33" xfId="1" applyFont="1" applyBorder="1" applyAlignment="1" applyProtection="1">
      <alignment horizontal="center" vertical="center"/>
    </xf>
    <xf numFmtId="43" fontId="14" fillId="0" borderId="34" xfId="1" applyFont="1" applyBorder="1" applyAlignment="1" applyProtection="1">
      <alignment horizontal="center" vertical="center"/>
    </xf>
    <xf numFmtId="43" fontId="13" fillId="4" borderId="14" xfId="1" applyFont="1" applyFill="1" applyBorder="1" applyAlignment="1" applyProtection="1">
      <alignment horizontal="right" vertical="center"/>
    </xf>
    <xf numFmtId="43" fontId="13" fillId="4" borderId="15" xfId="1" applyFont="1" applyFill="1" applyBorder="1" applyAlignment="1" applyProtection="1">
      <alignment horizontal="right" vertical="center"/>
    </xf>
    <xf numFmtId="43" fontId="13" fillId="4" borderId="16" xfId="1" applyFont="1" applyFill="1" applyBorder="1" applyAlignment="1" applyProtection="1">
      <alignment horizontal="right" vertical="center"/>
    </xf>
    <xf numFmtId="166" fontId="12" fillId="14" borderId="14" xfId="0" applyNumberFormat="1" applyFont="1" applyFill="1" applyBorder="1" applyAlignment="1">
      <alignment horizontal="center" vertical="center" wrapText="1"/>
    </xf>
    <xf numFmtId="166" fontId="12" fillId="14" borderId="15" xfId="0" applyNumberFormat="1" applyFont="1" applyFill="1" applyBorder="1" applyAlignment="1">
      <alignment horizontal="center" vertical="center" wrapText="1"/>
    </xf>
    <xf numFmtId="166" fontId="12" fillId="14" borderId="16" xfId="0" applyNumberFormat="1" applyFont="1" applyFill="1" applyBorder="1" applyAlignment="1">
      <alignment horizontal="center" vertical="center" wrapText="1"/>
    </xf>
    <xf numFmtId="166" fontId="12" fillId="14" borderId="18" xfId="0" applyNumberFormat="1" applyFont="1" applyFill="1" applyBorder="1" applyAlignment="1">
      <alignment horizontal="center" vertical="center" wrapText="1"/>
    </xf>
    <xf numFmtId="166" fontId="12" fillId="14" borderId="31" xfId="0" applyNumberFormat="1" applyFont="1" applyFill="1" applyBorder="1" applyAlignment="1">
      <alignment horizontal="center" vertical="center" wrapText="1"/>
    </xf>
    <xf numFmtId="166" fontId="12" fillId="14" borderId="29" xfId="0" applyNumberFormat="1" applyFont="1" applyFill="1" applyBorder="1" applyAlignment="1">
      <alignment horizontal="center" vertical="center" wrapText="1"/>
    </xf>
    <xf numFmtId="166" fontId="12" fillId="14" borderId="35" xfId="0" applyNumberFormat="1" applyFont="1" applyFill="1" applyBorder="1" applyAlignment="1">
      <alignment horizontal="center" vertical="center" wrapText="1"/>
    </xf>
    <xf numFmtId="43" fontId="14" fillId="0" borderId="14" xfId="1" applyFont="1" applyBorder="1" applyAlignment="1" applyProtection="1">
      <alignment horizontal="center" vertical="center"/>
    </xf>
    <xf numFmtId="43" fontId="14" fillId="0" borderId="16" xfId="1" applyFont="1" applyBorder="1" applyAlignment="1" applyProtection="1">
      <alignment horizontal="center" vertical="center"/>
    </xf>
    <xf numFmtId="43" fontId="14" fillId="0" borderId="15" xfId="1" applyFont="1" applyBorder="1" applyAlignment="1" applyProtection="1">
      <alignment horizontal="center" vertical="center"/>
    </xf>
    <xf numFmtId="166" fontId="12" fillId="14" borderId="18" xfId="0" applyNumberFormat="1" applyFont="1" applyFill="1" applyBorder="1" applyAlignment="1">
      <alignment horizontal="center" vertical="center"/>
    </xf>
    <xf numFmtId="166" fontId="12" fillId="14" borderId="17" xfId="0" applyNumberFormat="1" applyFont="1" applyFill="1" applyBorder="1" applyAlignment="1">
      <alignment horizontal="center" vertical="center"/>
    </xf>
    <xf numFmtId="166" fontId="12" fillId="14" borderId="31" xfId="0" applyNumberFormat="1" applyFont="1" applyFill="1" applyBorder="1" applyAlignment="1">
      <alignment horizontal="center" vertical="center"/>
    </xf>
    <xf numFmtId="166" fontId="12" fillId="14" borderId="29" xfId="0" applyNumberFormat="1" applyFont="1" applyFill="1" applyBorder="1" applyAlignment="1">
      <alignment horizontal="center" vertical="center"/>
    </xf>
    <xf numFmtId="166" fontId="12" fillId="14" borderId="28" xfId="0" applyNumberFormat="1" applyFont="1" applyFill="1" applyBorder="1" applyAlignment="1">
      <alignment horizontal="center" vertical="center"/>
    </xf>
    <xf numFmtId="166" fontId="12" fillId="14" borderId="35" xfId="0" applyNumberFormat="1" applyFont="1" applyFill="1" applyBorder="1" applyAlignment="1">
      <alignment horizontal="center" vertical="center"/>
    </xf>
    <xf numFmtId="0" fontId="0" fillId="0" borderId="31" xfId="0" applyBorder="1"/>
    <xf numFmtId="0" fontId="0" fillId="0" borderId="29" xfId="0" applyBorder="1"/>
    <xf numFmtId="0" fontId="0" fillId="0" borderId="35" xfId="0" applyBorder="1"/>
    <xf numFmtId="43" fontId="13" fillId="12" borderId="14" xfId="0" applyNumberFormat="1" applyFont="1" applyFill="1" applyBorder="1" applyAlignment="1">
      <alignment horizontal="center" vertical="center"/>
    </xf>
    <xf numFmtId="43" fontId="13" fillId="12" borderId="15" xfId="0" applyNumberFormat="1" applyFont="1" applyFill="1" applyBorder="1" applyAlignment="1">
      <alignment horizontal="center" vertical="center"/>
    </xf>
    <xf numFmtId="43" fontId="13" fillId="12" borderId="16" xfId="0" applyNumberFormat="1" applyFont="1" applyFill="1" applyBorder="1" applyAlignment="1">
      <alignment horizontal="center" vertical="center"/>
    </xf>
    <xf numFmtId="0" fontId="15" fillId="0" borderId="14" xfId="0" applyFont="1" applyBorder="1" applyAlignment="1">
      <alignment horizontal="left" vertical="center" wrapText="1"/>
    </xf>
    <xf numFmtId="0" fontId="15" fillId="0" borderId="15" xfId="0" applyFont="1" applyBorder="1" applyAlignment="1">
      <alignment horizontal="left" vertical="center" wrapText="1"/>
    </xf>
    <xf numFmtId="0" fontId="15" fillId="0" borderId="16" xfId="0" applyFont="1" applyBorder="1" applyAlignment="1">
      <alignment horizontal="left" vertical="center" wrapText="1"/>
    </xf>
    <xf numFmtId="10" fontId="25" fillId="0" borderId="14" xfId="2" applyNumberFormat="1" applyFont="1" applyFill="1" applyBorder="1" applyAlignment="1" applyProtection="1">
      <alignment horizontal="center" vertical="center"/>
      <protection locked="0"/>
    </xf>
    <xf numFmtId="10" fontId="25" fillId="0" borderId="15" xfId="2" applyNumberFormat="1" applyFont="1" applyFill="1" applyBorder="1" applyAlignment="1" applyProtection="1">
      <alignment horizontal="center" vertical="center"/>
      <protection locked="0"/>
    </xf>
    <xf numFmtId="10" fontId="25" fillId="0" borderId="16" xfId="2" applyNumberFormat="1" applyFont="1" applyFill="1" applyBorder="1" applyAlignment="1" applyProtection="1">
      <alignment horizontal="center" vertical="center"/>
      <protection locked="0"/>
    </xf>
    <xf numFmtId="43" fontId="14" fillId="0" borderId="32" xfId="1" applyFont="1" applyFill="1" applyBorder="1" applyAlignment="1" applyProtection="1">
      <alignment horizontal="center" vertical="center"/>
    </xf>
    <xf numFmtId="43" fontId="14" fillId="0" borderId="33" xfId="1" applyFont="1" applyFill="1" applyBorder="1" applyAlignment="1" applyProtection="1">
      <alignment horizontal="center" vertical="center"/>
    </xf>
    <xf numFmtId="43" fontId="14" fillId="0" borderId="34" xfId="1" applyFont="1" applyFill="1" applyBorder="1" applyAlignment="1" applyProtection="1">
      <alignment horizontal="center" vertical="center"/>
    </xf>
    <xf numFmtId="166" fontId="12" fillId="14" borderId="17" xfId="0" applyNumberFormat="1" applyFont="1" applyFill="1" applyBorder="1" applyAlignment="1">
      <alignment horizontal="center" vertical="center" wrapText="1"/>
    </xf>
    <xf numFmtId="166" fontId="12" fillId="14" borderId="28" xfId="0" applyNumberFormat="1" applyFont="1" applyFill="1" applyBorder="1" applyAlignment="1">
      <alignment horizontal="center" vertical="center" wrapText="1"/>
    </xf>
    <xf numFmtId="0" fontId="14" fillId="0" borderId="24" xfId="0" applyFont="1" applyBorder="1" applyAlignment="1">
      <alignment horizontal="left" vertical="center"/>
    </xf>
    <xf numFmtId="0" fontId="14" fillId="0" borderId="15" xfId="0" applyFont="1" applyBorder="1" applyAlignment="1">
      <alignment horizontal="center" vertical="center"/>
    </xf>
    <xf numFmtId="0" fontId="13" fillId="4" borderId="24" xfId="0" applyFont="1" applyFill="1" applyBorder="1" applyAlignment="1">
      <alignment horizontal="left" vertical="center"/>
    </xf>
    <xf numFmtId="0" fontId="13" fillId="4" borderId="14" xfId="0" applyFont="1" applyFill="1" applyBorder="1" applyAlignment="1">
      <alignment horizontal="right" vertical="center"/>
    </xf>
    <xf numFmtId="0" fontId="13" fillId="4" borderId="15" xfId="0" applyFont="1" applyFill="1" applyBorder="1" applyAlignment="1">
      <alignment horizontal="right" vertical="center"/>
    </xf>
    <xf numFmtId="0" fontId="13" fillId="4" borderId="16" xfId="0" applyFont="1" applyFill="1" applyBorder="1" applyAlignment="1">
      <alignment horizontal="right" vertical="center"/>
    </xf>
    <xf numFmtId="0" fontId="14" fillId="0" borderId="14" xfId="0" applyFont="1" applyBorder="1" applyAlignment="1">
      <alignment horizontal="right" vertical="center"/>
    </xf>
    <xf numFmtId="0" fontId="14" fillId="0" borderId="15" xfId="0" applyFont="1" applyBorder="1" applyAlignment="1">
      <alignment horizontal="right" vertical="center"/>
    </xf>
    <xf numFmtId="0" fontId="14" fillId="0" borderId="16" xfId="0" applyFont="1" applyBorder="1" applyAlignment="1">
      <alignment horizontal="right" vertical="center"/>
    </xf>
    <xf numFmtId="10" fontId="14" fillId="0" borderId="32" xfId="2" applyNumberFormat="1" applyFont="1" applyBorder="1" applyAlignment="1" applyProtection="1">
      <alignment horizontal="center" vertical="center"/>
    </xf>
    <xf numFmtId="10" fontId="14" fillId="0" borderId="33" xfId="2" applyNumberFormat="1" applyFont="1" applyBorder="1" applyAlignment="1" applyProtection="1">
      <alignment horizontal="center" vertical="center"/>
    </xf>
    <xf numFmtId="10" fontId="14" fillId="0" borderId="34" xfId="2" applyNumberFormat="1" applyFont="1" applyBorder="1" applyAlignment="1" applyProtection="1">
      <alignment horizontal="center" vertical="center"/>
    </xf>
    <xf numFmtId="0" fontId="13" fillId="5" borderId="14" xfId="0" applyFont="1" applyFill="1" applyBorder="1" applyAlignment="1">
      <alignment horizontal="left" vertical="center"/>
    </xf>
    <xf numFmtId="0" fontId="13" fillId="5" borderId="15" xfId="0" applyFont="1" applyFill="1" applyBorder="1" applyAlignment="1">
      <alignment horizontal="left" vertical="center"/>
    </xf>
    <xf numFmtId="0" fontId="13" fillId="5" borderId="16" xfId="0" applyFont="1" applyFill="1" applyBorder="1" applyAlignment="1">
      <alignment horizontal="left" vertical="center"/>
    </xf>
    <xf numFmtId="0" fontId="12" fillId="3" borderId="18" xfId="0" applyFont="1" applyFill="1" applyBorder="1" applyAlignment="1">
      <alignment horizontal="left" vertical="center"/>
    </xf>
    <xf numFmtId="0" fontId="12" fillId="3" borderId="17" xfId="0" applyFont="1" applyFill="1" applyBorder="1" applyAlignment="1">
      <alignment horizontal="left" vertical="center"/>
    </xf>
    <xf numFmtId="0" fontId="12" fillId="3" borderId="31" xfId="0" applyFont="1" applyFill="1" applyBorder="1" applyAlignment="1">
      <alignment horizontal="left" vertical="center"/>
    </xf>
    <xf numFmtId="0" fontId="14" fillId="0" borderId="40" xfId="0" applyFont="1" applyBorder="1" applyAlignment="1">
      <alignment horizontal="left" vertical="center"/>
    </xf>
    <xf numFmtId="0" fontId="14" fillId="0" borderId="0" xfId="0" applyFont="1" applyAlignment="1">
      <alignment horizontal="left" vertical="center"/>
    </xf>
    <xf numFmtId="0" fontId="14" fillId="0" borderId="39" xfId="0" applyFont="1" applyBorder="1" applyAlignment="1">
      <alignment horizontal="left" vertical="center"/>
    </xf>
    <xf numFmtId="0" fontId="14" fillId="0" borderId="14" xfId="0" applyFont="1" applyBorder="1" applyAlignment="1">
      <alignment horizontal="left" vertical="center"/>
    </xf>
    <xf numFmtId="0" fontId="14" fillId="0" borderId="15" xfId="0" applyFont="1" applyBorder="1" applyAlignment="1">
      <alignment horizontal="left" vertical="center"/>
    </xf>
    <xf numFmtId="0" fontId="14" fillId="0" borderId="16" xfId="0" applyFont="1" applyBorder="1" applyAlignment="1">
      <alignment horizontal="left" vertical="center"/>
    </xf>
    <xf numFmtId="10" fontId="14" fillId="0" borderId="24" xfId="2" applyNumberFormat="1" applyFont="1" applyBorder="1" applyAlignment="1" applyProtection="1">
      <alignment horizontal="center" vertical="center"/>
    </xf>
    <xf numFmtId="10" fontId="13" fillId="4" borderId="24" xfId="2" applyNumberFormat="1" applyFont="1" applyFill="1" applyBorder="1" applyAlignment="1" applyProtection="1">
      <alignment horizontal="center" vertical="center"/>
    </xf>
    <xf numFmtId="0" fontId="13" fillId="3" borderId="14" xfId="0" applyFont="1" applyFill="1" applyBorder="1" applyAlignment="1">
      <alignment horizontal="left" vertical="center"/>
    </xf>
    <xf numFmtId="0" fontId="13" fillId="3" borderId="15" xfId="0" applyFont="1" applyFill="1" applyBorder="1" applyAlignment="1">
      <alignment horizontal="left" vertical="center"/>
    </xf>
    <xf numFmtId="0" fontId="13" fillId="3" borderId="16" xfId="0" applyFont="1" applyFill="1" applyBorder="1" applyAlignment="1">
      <alignment horizontal="left" vertical="center"/>
    </xf>
    <xf numFmtId="0" fontId="13" fillId="3" borderId="0" xfId="0" applyFont="1" applyFill="1" applyAlignment="1">
      <alignment horizontal="left" vertical="center"/>
    </xf>
    <xf numFmtId="0" fontId="15" fillId="0" borderId="18" xfId="0" applyFont="1" applyBorder="1" applyAlignment="1">
      <alignment horizontal="left" vertical="center"/>
    </xf>
    <xf numFmtId="0" fontId="15" fillId="0" borderId="17" xfId="0" applyFont="1" applyBorder="1" applyAlignment="1">
      <alignment horizontal="left" vertical="center"/>
    </xf>
    <xf numFmtId="0" fontId="15" fillId="0" borderId="31" xfId="0" applyFont="1" applyBorder="1" applyAlignment="1">
      <alignment horizontal="left" vertical="center"/>
    </xf>
    <xf numFmtId="10" fontId="14" fillId="0" borderId="14" xfId="2" applyNumberFormat="1" applyFont="1" applyBorder="1" applyAlignment="1" applyProtection="1">
      <alignment vertical="center"/>
    </xf>
    <xf numFmtId="10" fontId="14" fillId="0" borderId="16" xfId="2" applyNumberFormat="1" applyFont="1" applyBorder="1" applyAlignment="1" applyProtection="1">
      <alignment vertical="center"/>
    </xf>
    <xf numFmtId="0" fontId="12" fillId="3" borderId="24" xfId="0" applyFont="1" applyFill="1" applyBorder="1" applyAlignment="1">
      <alignment horizontal="center" vertical="center"/>
    </xf>
    <xf numFmtId="0" fontId="13" fillId="4" borderId="14" xfId="0" applyFont="1" applyFill="1" applyBorder="1" applyAlignment="1">
      <alignment horizontal="left" vertical="center"/>
    </xf>
    <xf numFmtId="0" fontId="13" fillId="4" borderId="15" xfId="0" applyFont="1" applyFill="1" applyBorder="1" applyAlignment="1">
      <alignment horizontal="left" vertical="center"/>
    </xf>
    <xf numFmtId="0" fontId="13" fillId="4" borderId="16" xfId="0" applyFont="1" applyFill="1" applyBorder="1" applyAlignment="1">
      <alignment horizontal="left" vertical="center"/>
    </xf>
    <xf numFmtId="0" fontId="12" fillId="3" borderId="24" xfId="0" applyFont="1" applyFill="1" applyBorder="1" applyAlignment="1">
      <alignment horizontal="left" vertical="center"/>
    </xf>
    <xf numFmtId="10" fontId="13" fillId="4" borderId="14" xfId="0" applyNumberFormat="1" applyFont="1" applyFill="1" applyBorder="1" applyAlignment="1">
      <alignment vertical="center"/>
    </xf>
    <xf numFmtId="10" fontId="13" fillId="4" borderId="16" xfId="0" applyNumberFormat="1" applyFont="1" applyFill="1" applyBorder="1" applyAlignment="1">
      <alignment vertical="center"/>
    </xf>
    <xf numFmtId="10" fontId="14" fillId="0" borderId="14" xfId="2" applyNumberFormat="1" applyFont="1" applyBorder="1" applyAlignment="1" applyProtection="1">
      <alignment horizontal="right" vertical="center"/>
    </xf>
    <xf numFmtId="10" fontId="14" fillId="0" borderId="16" xfId="2" applyNumberFormat="1" applyFont="1" applyBorder="1" applyAlignment="1" applyProtection="1">
      <alignment horizontal="right" vertical="center"/>
    </xf>
    <xf numFmtId="0" fontId="0" fillId="0" borderId="24" xfId="0" applyBorder="1" applyAlignment="1">
      <alignment horizontal="center"/>
    </xf>
    <xf numFmtId="0" fontId="13" fillId="2" borderId="14" xfId="0" applyFont="1" applyFill="1" applyBorder="1" applyAlignment="1">
      <alignment horizontal="right" vertical="center"/>
    </xf>
    <xf numFmtId="0" fontId="13" fillId="2" borderId="15" xfId="0" applyFont="1" applyFill="1" applyBorder="1" applyAlignment="1">
      <alignment horizontal="right" vertical="center"/>
    </xf>
    <xf numFmtId="0" fontId="13" fillId="2" borderId="16" xfId="0" applyFont="1" applyFill="1" applyBorder="1" applyAlignment="1">
      <alignment horizontal="right" vertical="center"/>
    </xf>
    <xf numFmtId="0" fontId="13" fillId="2" borderId="14" xfId="0" applyFont="1" applyFill="1" applyBorder="1" applyAlignment="1">
      <alignment horizontal="left" vertical="center"/>
    </xf>
    <xf numFmtId="0" fontId="13" fillId="2" borderId="16" xfId="0" applyFont="1" applyFill="1" applyBorder="1" applyAlignment="1">
      <alignment horizontal="left" vertical="center"/>
    </xf>
    <xf numFmtId="10" fontId="24" fillId="0" borderId="14" xfId="2" applyNumberFormat="1" applyFont="1" applyFill="1" applyBorder="1" applyAlignment="1" applyProtection="1">
      <alignment horizontal="left" vertical="center"/>
      <protection locked="0"/>
    </xf>
    <xf numFmtId="10" fontId="24" fillId="0" borderId="16" xfId="2" applyNumberFormat="1" applyFont="1" applyFill="1" applyBorder="1" applyAlignment="1" applyProtection="1">
      <alignment horizontal="left" vertical="center"/>
      <protection locked="0"/>
    </xf>
    <xf numFmtId="10" fontId="14" fillId="0" borderId="14" xfId="2" applyNumberFormat="1" applyFont="1" applyFill="1" applyBorder="1" applyAlignment="1" applyProtection="1">
      <alignment horizontal="center" vertical="center"/>
    </xf>
    <xf numFmtId="10" fontId="14" fillId="0" borderId="15" xfId="2" applyNumberFormat="1" applyFont="1" applyFill="1" applyBorder="1" applyAlignment="1" applyProtection="1">
      <alignment horizontal="center" vertical="center"/>
    </xf>
    <xf numFmtId="10" fontId="14" fillId="0" borderId="16" xfId="2" applyNumberFormat="1" applyFont="1" applyFill="1" applyBorder="1" applyAlignment="1" applyProtection="1">
      <alignment horizontal="center" vertical="center"/>
    </xf>
    <xf numFmtId="10" fontId="14" fillId="0" borderId="14" xfId="2" applyNumberFormat="1" applyFont="1" applyFill="1" applyBorder="1" applyAlignment="1" applyProtection="1">
      <alignment horizontal="left" vertical="center"/>
    </xf>
    <xf numFmtId="10" fontId="14" fillId="0" borderId="15" xfId="2" applyNumberFormat="1" applyFont="1" applyFill="1" applyBorder="1" applyAlignment="1" applyProtection="1">
      <alignment horizontal="left" vertical="center"/>
    </xf>
    <xf numFmtId="10" fontId="14" fillId="0" borderId="16" xfId="2" applyNumberFormat="1" applyFont="1" applyFill="1" applyBorder="1" applyAlignment="1" applyProtection="1">
      <alignment horizontal="left" vertical="center"/>
    </xf>
    <xf numFmtId="0" fontId="13" fillId="5" borderId="24" xfId="0" applyFont="1" applyFill="1" applyBorder="1" applyAlignment="1">
      <alignment horizontal="center" vertical="center"/>
    </xf>
    <xf numFmtId="0" fontId="13" fillId="5" borderId="14" xfId="0" applyFont="1" applyFill="1" applyBorder="1" applyAlignment="1">
      <alignment horizontal="center" vertical="center"/>
    </xf>
    <xf numFmtId="0" fontId="13" fillId="5" borderId="15" xfId="0" applyFont="1" applyFill="1" applyBorder="1" applyAlignment="1">
      <alignment horizontal="center" vertical="center"/>
    </xf>
    <xf numFmtId="0" fontId="13" fillId="5" borderId="16" xfId="0" applyFont="1" applyFill="1" applyBorder="1" applyAlignment="1">
      <alignment horizontal="center" vertical="center"/>
    </xf>
    <xf numFmtId="0" fontId="13" fillId="3" borderId="24" xfId="0" applyFont="1" applyFill="1" applyBorder="1" applyAlignment="1">
      <alignment horizontal="center" vertical="center"/>
    </xf>
    <xf numFmtId="0" fontId="24" fillId="0" borderId="14" xfId="0" applyFont="1" applyBorder="1" applyAlignment="1">
      <alignment horizontal="left" vertical="center" wrapText="1"/>
    </xf>
    <xf numFmtId="0" fontId="24" fillId="0" borderId="15" xfId="0" applyFont="1" applyBorder="1" applyAlignment="1">
      <alignment horizontal="left" vertical="center" wrapText="1"/>
    </xf>
    <xf numFmtId="0" fontId="24" fillId="0" borderId="16" xfId="0" applyFont="1" applyBorder="1" applyAlignment="1">
      <alignment horizontal="left" vertical="center" wrapText="1"/>
    </xf>
    <xf numFmtId="0" fontId="13" fillId="2" borderId="24" xfId="0" applyFont="1" applyFill="1" applyBorder="1" applyAlignment="1">
      <alignment horizontal="left" vertical="center"/>
    </xf>
    <xf numFmtId="0" fontId="14" fillId="0" borderId="14" xfId="1" applyNumberFormat="1" applyFont="1" applyFill="1" applyBorder="1" applyAlignment="1" applyProtection="1">
      <alignment horizontal="left" vertical="center"/>
    </xf>
    <xf numFmtId="0" fontId="14" fillId="0" borderId="15" xfId="1" applyNumberFormat="1" applyFont="1" applyFill="1" applyBorder="1" applyAlignment="1" applyProtection="1">
      <alignment horizontal="left" vertical="center"/>
    </xf>
    <xf numFmtId="0" fontId="14" fillId="0" borderId="16" xfId="1" applyNumberFormat="1" applyFont="1" applyFill="1" applyBorder="1" applyAlignment="1" applyProtection="1">
      <alignment horizontal="left" vertical="center"/>
    </xf>
    <xf numFmtId="10" fontId="13" fillId="4" borderId="14" xfId="0" applyNumberFormat="1" applyFont="1" applyFill="1" applyBorder="1" applyAlignment="1">
      <alignment horizontal="right" vertical="center"/>
    </xf>
    <xf numFmtId="10" fontId="13" fillId="4" borderId="16" xfId="0" applyNumberFormat="1" applyFont="1" applyFill="1" applyBorder="1" applyAlignment="1">
      <alignment horizontal="right" vertical="center"/>
    </xf>
    <xf numFmtId="43" fontId="14" fillId="0" borderId="24" xfId="1" applyFont="1" applyFill="1" applyBorder="1" applyAlignment="1" applyProtection="1">
      <alignment horizontal="center" vertical="center"/>
    </xf>
    <xf numFmtId="0" fontId="13" fillId="4" borderId="14" xfId="0" applyFont="1" applyFill="1" applyBorder="1" applyAlignment="1">
      <alignment horizontal="center" vertical="center"/>
    </xf>
    <xf numFmtId="0" fontId="13" fillId="4" borderId="15" xfId="0" applyFont="1" applyFill="1" applyBorder="1" applyAlignment="1">
      <alignment horizontal="center" vertical="center"/>
    </xf>
    <xf numFmtId="0" fontId="13" fillId="4" borderId="16" xfId="0" applyFont="1" applyFill="1" applyBorder="1" applyAlignment="1">
      <alignment horizontal="center" vertical="center"/>
    </xf>
    <xf numFmtId="43" fontId="5" fillId="0" borderId="0" xfId="1" applyFont="1" applyFill="1" applyBorder="1" applyAlignment="1" applyProtection="1">
      <alignment horizontal="left" vertical="center"/>
      <protection locked="0"/>
    </xf>
    <xf numFmtId="0" fontId="0" fillId="0" borderId="32" xfId="0" applyBorder="1" applyAlignment="1">
      <alignment horizontal="center"/>
    </xf>
    <xf numFmtId="0" fontId="0" fillId="0" borderId="33" xfId="0" applyBorder="1" applyAlignment="1">
      <alignment horizontal="center"/>
    </xf>
    <xf numFmtId="10" fontId="14" fillId="0" borderId="14" xfId="2" applyNumberFormat="1" applyFont="1" applyBorder="1" applyAlignment="1">
      <alignment horizontal="right" vertical="center"/>
    </xf>
    <xf numFmtId="10" fontId="14" fillId="0" borderId="16" xfId="2" applyNumberFormat="1" applyFont="1" applyBorder="1" applyAlignment="1">
      <alignment horizontal="right" vertical="center"/>
    </xf>
    <xf numFmtId="0" fontId="0" fillId="0" borderId="34" xfId="0" applyBorder="1" applyAlignment="1">
      <alignment horizontal="center"/>
    </xf>
    <xf numFmtId="0" fontId="13" fillId="3" borderId="14" xfId="0" applyFont="1" applyFill="1" applyBorder="1" applyAlignment="1">
      <alignment horizontal="right" vertical="center"/>
    </xf>
    <xf numFmtId="0" fontId="13" fillId="3" borderId="15" xfId="0" applyFont="1" applyFill="1" applyBorder="1" applyAlignment="1">
      <alignment horizontal="right" vertical="center"/>
    </xf>
    <xf numFmtId="0" fontId="13" fillId="3" borderId="16" xfId="0" applyFont="1" applyFill="1" applyBorder="1" applyAlignment="1">
      <alignment horizontal="right" vertical="center"/>
    </xf>
    <xf numFmtId="10" fontId="13" fillId="3" borderId="15" xfId="0" applyNumberFormat="1" applyFont="1" applyFill="1" applyBorder="1" applyAlignment="1">
      <alignment horizontal="right" vertical="center"/>
    </xf>
    <xf numFmtId="10" fontId="13" fillId="3" borderId="16" xfId="0" applyNumberFormat="1" applyFont="1" applyFill="1" applyBorder="1" applyAlignment="1">
      <alignment horizontal="right" vertical="center"/>
    </xf>
    <xf numFmtId="0" fontId="17" fillId="12" borderId="41" xfId="0" applyFont="1" applyFill="1" applyBorder="1" applyAlignment="1">
      <alignment horizontal="center" vertical="center" wrapText="1"/>
    </xf>
  </cellXfs>
  <cellStyles count="11">
    <cellStyle name="Moeda 2" xfId="3" xr:uid="{00000000-0005-0000-0000-000000000000}"/>
    <cellStyle name="Normal" xfId="0" builtinId="0"/>
    <cellStyle name="Normal 2" xfId="4" xr:uid="{00000000-0005-0000-0000-000002000000}"/>
    <cellStyle name="Normal 3" xfId="7" xr:uid="{00000000-0005-0000-0000-000003000000}"/>
    <cellStyle name="Normal 4" xfId="10" xr:uid="{BF42209E-5FA4-404B-A1EE-F2673C17747A}"/>
    <cellStyle name="Porcentagem" xfId="2" builtinId="5"/>
    <cellStyle name="Porcentagem 2" xfId="5" xr:uid="{00000000-0005-0000-0000-000005000000}"/>
    <cellStyle name="Vírgula" xfId="1" builtinId="3"/>
    <cellStyle name="Vírgula 2" xfId="6" xr:uid="{00000000-0005-0000-0000-000007000000}"/>
    <cellStyle name="Vírgula 2 2" xfId="9" xr:uid="{C93A9602-D2D4-475D-85AA-0366B6B51DCB}"/>
    <cellStyle name="Vírgula 3" xfId="8" xr:uid="{BDEAA706-A49F-4D22-BCBC-646E4C5F21FF}"/>
  </cellStyles>
  <dxfs count="9">
    <dxf>
      <font>
        <b/>
        <i val="0"/>
        <color theme="4" tint="-0.24994659260841701"/>
      </font>
      <fill>
        <patternFill>
          <bgColor theme="0"/>
        </patternFill>
      </fill>
    </dxf>
    <dxf>
      <fill>
        <patternFill>
          <bgColor rgb="FFFFFF00"/>
        </patternFill>
      </fill>
    </dxf>
    <dxf>
      <font>
        <b/>
        <i val="0"/>
        <color theme="4" tint="-0.24994659260841701"/>
      </font>
      <fill>
        <patternFill>
          <bgColor theme="0"/>
        </patternFill>
      </fill>
    </dxf>
    <dxf>
      <font>
        <b/>
        <i val="0"/>
        <color theme="4" tint="-0.24994659260841701"/>
      </font>
      <fill>
        <patternFill>
          <bgColor theme="0"/>
        </patternFill>
      </fill>
    </dxf>
    <dxf>
      <font>
        <b/>
        <i val="0"/>
        <color theme="4" tint="-0.24994659260841701"/>
      </font>
      <fill>
        <patternFill>
          <bgColor theme="0"/>
        </patternFill>
      </fill>
    </dxf>
    <dxf>
      <font>
        <b/>
        <i val="0"/>
        <color theme="4" tint="-0.24994659260841701"/>
      </font>
      <fill>
        <patternFill>
          <bgColor theme="0"/>
        </patternFill>
      </fill>
    </dxf>
    <dxf>
      <fill>
        <patternFill>
          <bgColor theme="0"/>
        </patternFill>
      </fill>
    </dxf>
    <dxf>
      <font>
        <b/>
        <i val="0"/>
        <color theme="4" tint="-0.24994659260841701"/>
      </font>
      <fill>
        <patternFill>
          <bgColor theme="0"/>
        </patternFill>
      </fill>
    </dxf>
    <dxf>
      <font>
        <b val="0"/>
        <i val="0"/>
        <color auto="1"/>
      </font>
      <fill>
        <patternFill>
          <bgColor theme="0"/>
        </patternFill>
      </fill>
    </dxf>
  </dxfs>
  <tableStyles count="0" defaultTableStyle="TableStyleMedium2" defaultPivotStyle="PivotStyleLight16"/>
  <colors>
    <mruColors>
      <color rgb="FFE5F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8" Type="http://schemas.openxmlformats.org/officeDocument/2006/relationships/hyperlink" Target="#'Tabela de C&#243;digos e Valores'!A1"/><Relationship Id="rId3" Type="http://schemas.openxmlformats.org/officeDocument/2006/relationships/hyperlink" Target="#'Custo por Fun&#231;&#227;o'!A1"/><Relationship Id="rId7" Type="http://schemas.openxmlformats.org/officeDocument/2006/relationships/image" Target="../media/image1.png"/><Relationship Id="rId2" Type="http://schemas.openxmlformats.org/officeDocument/2006/relationships/hyperlink" Target="#'Relat&#243;rio Custo'!A1"/><Relationship Id="rId1" Type="http://schemas.openxmlformats.org/officeDocument/2006/relationships/hyperlink" Target="#'Indicadores Financeiros'!A1"/><Relationship Id="rId6" Type="http://schemas.openxmlformats.org/officeDocument/2006/relationships/hyperlink" Target="#'Dados Cadastrais'!A1"/><Relationship Id="rId5" Type="http://schemas.openxmlformats.org/officeDocument/2006/relationships/hyperlink" Target="#'Custo  Resumido'!A1"/><Relationship Id="rId4" Type="http://schemas.openxmlformats.org/officeDocument/2006/relationships/hyperlink" Target="#'Custo  Resumido por local'!A1"/></Relationships>
</file>

<file path=xl/drawings/drawing1.xml><?xml version="1.0" encoding="utf-8"?>
<xdr:wsDr xmlns:xdr="http://schemas.openxmlformats.org/drawingml/2006/spreadsheetDrawing" xmlns:a="http://schemas.openxmlformats.org/drawingml/2006/main">
  <xdr:twoCellAnchor>
    <xdr:from>
      <xdr:col>2</xdr:col>
      <xdr:colOff>571501</xdr:colOff>
      <xdr:row>10</xdr:row>
      <xdr:rowOff>104775</xdr:rowOff>
    </xdr:from>
    <xdr:to>
      <xdr:col>4</xdr:col>
      <xdr:colOff>247651</xdr:colOff>
      <xdr:row>12</xdr:row>
      <xdr:rowOff>187158</xdr:rowOff>
    </xdr:to>
    <xdr:sp macro="" textlink="">
      <xdr:nvSpPr>
        <xdr:cNvPr id="2" name="Retângulo: Cantos Arredondados 1">
          <a:hlinkClick xmlns:r="http://schemas.openxmlformats.org/officeDocument/2006/relationships" r:id="rId1"/>
          <a:extLst>
            <a:ext uri="{FF2B5EF4-FFF2-40B4-BE49-F238E27FC236}">
              <a16:creationId xmlns:a16="http://schemas.microsoft.com/office/drawing/2014/main" id="{3CCBA3C9-8E2F-4526-8745-0FB034F0EF16}"/>
            </a:ext>
          </a:extLst>
        </xdr:cNvPr>
        <xdr:cNvSpPr/>
      </xdr:nvSpPr>
      <xdr:spPr>
        <a:xfrm>
          <a:off x="914401" y="2190750"/>
          <a:ext cx="1104900" cy="463383"/>
        </a:xfrm>
        <a:prstGeom prst="roundRect">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ctr"/>
          <a:r>
            <a:rPr lang="pt-BR" sz="900" b="1"/>
            <a:t>Indicadores financeiros</a:t>
          </a:r>
        </a:p>
      </xdr:txBody>
    </xdr:sp>
    <xdr:clientData/>
  </xdr:twoCellAnchor>
  <xdr:twoCellAnchor>
    <xdr:from>
      <xdr:col>3</xdr:col>
      <xdr:colOff>447676</xdr:colOff>
      <xdr:row>7</xdr:row>
      <xdr:rowOff>9525</xdr:rowOff>
    </xdr:from>
    <xdr:to>
      <xdr:col>5</xdr:col>
      <xdr:colOff>333376</xdr:colOff>
      <xdr:row>9</xdr:row>
      <xdr:rowOff>76200</xdr:rowOff>
    </xdr:to>
    <xdr:sp macro="" textlink="">
      <xdr:nvSpPr>
        <xdr:cNvPr id="3" name="Retângulo: Cantos Arredondados 2">
          <a:hlinkClick xmlns:r="http://schemas.openxmlformats.org/officeDocument/2006/relationships" r:id="rId2"/>
          <a:extLst>
            <a:ext uri="{FF2B5EF4-FFF2-40B4-BE49-F238E27FC236}">
              <a16:creationId xmlns:a16="http://schemas.microsoft.com/office/drawing/2014/main" id="{E32E8CF7-7953-4FC5-A6FB-03780F3DFBDB}"/>
            </a:ext>
          </a:extLst>
        </xdr:cNvPr>
        <xdr:cNvSpPr/>
      </xdr:nvSpPr>
      <xdr:spPr>
        <a:xfrm>
          <a:off x="1609726" y="1524000"/>
          <a:ext cx="1104900" cy="447675"/>
        </a:xfrm>
        <a:prstGeom prst="roundRect">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pt-BR" sz="900" b="1">
              <a:solidFill>
                <a:schemeClr val="lt1"/>
              </a:solidFill>
              <a:effectLst/>
              <a:latin typeface="+mn-lt"/>
              <a:ea typeface="+mn-ea"/>
              <a:cs typeface="+mn-cs"/>
            </a:rPr>
            <a:t>Relatório custo</a:t>
          </a:r>
          <a:endParaRPr lang="pt-BR" sz="600">
            <a:effectLst/>
          </a:endParaRPr>
        </a:p>
      </xdr:txBody>
    </xdr:sp>
    <xdr:clientData/>
  </xdr:twoCellAnchor>
  <xdr:twoCellAnchor>
    <xdr:from>
      <xdr:col>6</xdr:col>
      <xdr:colOff>419101</xdr:colOff>
      <xdr:row>10</xdr:row>
      <xdr:rowOff>114300</xdr:rowOff>
    </xdr:from>
    <xdr:to>
      <xdr:col>8</xdr:col>
      <xdr:colOff>304801</xdr:colOff>
      <xdr:row>12</xdr:row>
      <xdr:rowOff>180975</xdr:rowOff>
    </xdr:to>
    <xdr:sp macro="" textlink="">
      <xdr:nvSpPr>
        <xdr:cNvPr id="4" name="Retângulo: Cantos Arredondados 3">
          <a:hlinkClick xmlns:r="http://schemas.openxmlformats.org/officeDocument/2006/relationships" r:id="rId3"/>
          <a:extLst>
            <a:ext uri="{FF2B5EF4-FFF2-40B4-BE49-F238E27FC236}">
              <a16:creationId xmlns:a16="http://schemas.microsoft.com/office/drawing/2014/main" id="{E297D8B8-4CC8-462D-9600-9CBBB4BF403D}"/>
            </a:ext>
          </a:extLst>
        </xdr:cNvPr>
        <xdr:cNvSpPr/>
      </xdr:nvSpPr>
      <xdr:spPr>
        <a:xfrm>
          <a:off x="3409951" y="2200275"/>
          <a:ext cx="1104900" cy="447675"/>
        </a:xfrm>
        <a:prstGeom prst="roundRect">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pt-BR" sz="900" b="1"/>
            <a:t>Custo por função</a:t>
          </a:r>
        </a:p>
      </xdr:txBody>
    </xdr:sp>
    <xdr:clientData/>
  </xdr:twoCellAnchor>
  <xdr:twoCellAnchor>
    <xdr:from>
      <xdr:col>5</xdr:col>
      <xdr:colOff>457201</xdr:colOff>
      <xdr:row>6</xdr:row>
      <xdr:rowOff>171450</xdr:rowOff>
    </xdr:from>
    <xdr:to>
      <xdr:col>7</xdr:col>
      <xdr:colOff>342901</xdr:colOff>
      <xdr:row>9</xdr:row>
      <xdr:rowOff>71187</xdr:rowOff>
    </xdr:to>
    <xdr:sp macro="" textlink="">
      <xdr:nvSpPr>
        <xdr:cNvPr id="5" name="Retângulo: Cantos Arredondados 4">
          <a:hlinkClick xmlns:r="http://schemas.openxmlformats.org/officeDocument/2006/relationships" r:id="rId4"/>
          <a:extLst>
            <a:ext uri="{FF2B5EF4-FFF2-40B4-BE49-F238E27FC236}">
              <a16:creationId xmlns:a16="http://schemas.microsoft.com/office/drawing/2014/main" id="{93A3B958-31A4-4443-B87E-C83E520E07ED}"/>
            </a:ext>
          </a:extLst>
        </xdr:cNvPr>
        <xdr:cNvSpPr/>
      </xdr:nvSpPr>
      <xdr:spPr>
        <a:xfrm>
          <a:off x="2838451" y="1495425"/>
          <a:ext cx="1104900" cy="471237"/>
        </a:xfrm>
        <a:prstGeom prst="roundRect">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pt-BR" sz="1000" b="1">
              <a:solidFill>
                <a:schemeClr val="lt1"/>
              </a:solidFill>
              <a:effectLst/>
              <a:latin typeface="+mn-lt"/>
              <a:ea typeface="+mn-ea"/>
              <a:cs typeface="+mn-cs"/>
            </a:rPr>
            <a:t>Custo resumido por local</a:t>
          </a:r>
          <a:endParaRPr lang="pt-BR" sz="700">
            <a:effectLst/>
          </a:endParaRPr>
        </a:p>
      </xdr:txBody>
    </xdr:sp>
    <xdr:clientData/>
  </xdr:twoCellAnchor>
  <xdr:twoCellAnchor>
    <xdr:from>
      <xdr:col>4</xdr:col>
      <xdr:colOff>390526</xdr:colOff>
      <xdr:row>10</xdr:row>
      <xdr:rowOff>114300</xdr:rowOff>
    </xdr:from>
    <xdr:to>
      <xdr:col>6</xdr:col>
      <xdr:colOff>276226</xdr:colOff>
      <xdr:row>12</xdr:row>
      <xdr:rowOff>180975</xdr:rowOff>
    </xdr:to>
    <xdr:sp macro="" textlink="">
      <xdr:nvSpPr>
        <xdr:cNvPr id="6" name="Retângulo: Cantos Arredondados 5">
          <a:hlinkClick xmlns:r="http://schemas.openxmlformats.org/officeDocument/2006/relationships" r:id="rId5"/>
          <a:extLst>
            <a:ext uri="{FF2B5EF4-FFF2-40B4-BE49-F238E27FC236}">
              <a16:creationId xmlns:a16="http://schemas.microsoft.com/office/drawing/2014/main" id="{32DFB23D-EA27-4F82-A351-7159D4133044}"/>
            </a:ext>
          </a:extLst>
        </xdr:cNvPr>
        <xdr:cNvSpPr/>
      </xdr:nvSpPr>
      <xdr:spPr>
        <a:xfrm>
          <a:off x="2162176" y="2200275"/>
          <a:ext cx="1104900" cy="447675"/>
        </a:xfrm>
        <a:prstGeom prst="roundRect">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pt-BR" sz="900" b="1"/>
            <a:t>Custo resumido</a:t>
          </a:r>
        </a:p>
      </xdr:txBody>
    </xdr:sp>
    <xdr:clientData/>
  </xdr:twoCellAnchor>
  <xdr:twoCellAnchor>
    <xdr:from>
      <xdr:col>2</xdr:col>
      <xdr:colOff>19051</xdr:colOff>
      <xdr:row>7</xdr:row>
      <xdr:rowOff>0</xdr:rowOff>
    </xdr:from>
    <xdr:to>
      <xdr:col>3</xdr:col>
      <xdr:colOff>304801</xdr:colOff>
      <xdr:row>9</xdr:row>
      <xdr:rowOff>74529</xdr:rowOff>
    </xdr:to>
    <xdr:sp macro="" textlink="">
      <xdr:nvSpPr>
        <xdr:cNvPr id="7" name="Retângulo: Cantos Arredondados 6">
          <a:hlinkClick xmlns:r="http://schemas.openxmlformats.org/officeDocument/2006/relationships" r:id="rId6"/>
          <a:extLst>
            <a:ext uri="{FF2B5EF4-FFF2-40B4-BE49-F238E27FC236}">
              <a16:creationId xmlns:a16="http://schemas.microsoft.com/office/drawing/2014/main" id="{5248C89F-7722-44FA-8AE2-3C931AABD6EB}"/>
            </a:ext>
          </a:extLst>
        </xdr:cNvPr>
        <xdr:cNvSpPr/>
      </xdr:nvSpPr>
      <xdr:spPr>
        <a:xfrm>
          <a:off x="361951" y="1514475"/>
          <a:ext cx="1104900" cy="455529"/>
        </a:xfrm>
        <a:prstGeom prst="roundRect">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gradFill>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a:scene3d>
          <a:camera prst="orthographicFront"/>
          <a:lightRig rig="threePt" dir="t"/>
        </a:scene3d>
        <a:sp3d>
          <a:bevelT/>
        </a:sp3d>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pt-BR" sz="900" b="1"/>
            <a:t>Dados cadastrais</a:t>
          </a:r>
        </a:p>
      </xdr:txBody>
    </xdr:sp>
    <xdr:clientData/>
  </xdr:twoCellAnchor>
  <xdr:twoCellAnchor>
    <xdr:from>
      <xdr:col>3</xdr:col>
      <xdr:colOff>58588</xdr:colOff>
      <xdr:row>1</xdr:row>
      <xdr:rowOff>98426</xdr:rowOff>
    </xdr:from>
    <xdr:to>
      <xdr:col>9</xdr:col>
      <xdr:colOff>514350</xdr:colOff>
      <xdr:row>4</xdr:row>
      <xdr:rowOff>28575</xdr:rowOff>
    </xdr:to>
    <xdr:sp macro="" textlink="">
      <xdr:nvSpPr>
        <xdr:cNvPr id="8" name="Retângulo: Cantos Diagonais Recortados 6">
          <a:extLst>
            <a:ext uri="{FF2B5EF4-FFF2-40B4-BE49-F238E27FC236}">
              <a16:creationId xmlns:a16="http://schemas.microsoft.com/office/drawing/2014/main" id="{858E2A57-4AB6-4ADC-A9A8-430A24129F39}"/>
            </a:ext>
          </a:extLst>
        </xdr:cNvPr>
        <xdr:cNvSpPr>
          <a:spLocks/>
        </xdr:cNvSpPr>
      </xdr:nvSpPr>
      <xdr:spPr bwMode="auto">
        <a:xfrm>
          <a:off x="1220638" y="212726"/>
          <a:ext cx="4113362" cy="711199"/>
        </a:xfrm>
        <a:custGeom>
          <a:avLst/>
          <a:gdLst>
            <a:gd name="T0" fmla="*/ 0 w 5214902"/>
            <a:gd name="T1" fmla="*/ 0 h 1177925"/>
            <a:gd name="T2" fmla="*/ 5018577 w 5214902"/>
            <a:gd name="T3" fmla="*/ 0 h 1177925"/>
            <a:gd name="T4" fmla="*/ 5214902 w 5214902"/>
            <a:gd name="T5" fmla="*/ 196325 h 1177925"/>
            <a:gd name="T6" fmla="*/ 5214902 w 5214902"/>
            <a:gd name="T7" fmla="*/ 1177925 h 1177925"/>
            <a:gd name="T8" fmla="*/ 5214902 w 5214902"/>
            <a:gd name="T9" fmla="*/ 1177925 h 1177925"/>
            <a:gd name="T10" fmla="*/ 196325 w 5214902"/>
            <a:gd name="T11" fmla="*/ 1177925 h 1177925"/>
            <a:gd name="T12" fmla="*/ 0 w 5214902"/>
            <a:gd name="T13" fmla="*/ 981600 h 1177925"/>
            <a:gd name="T14" fmla="*/ 0 w 5214902"/>
            <a:gd name="T15" fmla="*/ 0 h 1177925"/>
            <a:gd name="T16" fmla="*/ 0 60000 65536"/>
            <a:gd name="T17" fmla="*/ 0 60000 65536"/>
            <a:gd name="T18" fmla="*/ 0 60000 65536"/>
            <a:gd name="T19" fmla="*/ 0 60000 65536"/>
            <a:gd name="T20" fmla="*/ 0 60000 65536"/>
            <a:gd name="T21" fmla="*/ 0 60000 65536"/>
            <a:gd name="T22" fmla="*/ 0 60000 65536"/>
            <a:gd name="T23" fmla="*/ 0 60000 65536"/>
            <a:gd name="T24" fmla="*/ 0 w 5214902"/>
            <a:gd name="T25" fmla="*/ 0 h 1177925"/>
            <a:gd name="T26" fmla="*/ 5214902 w 5214902"/>
            <a:gd name="T27" fmla="*/ 1177925 h 1177925"/>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5214902" h="1177925">
              <a:moveTo>
                <a:pt x="0" y="0"/>
              </a:moveTo>
              <a:lnTo>
                <a:pt x="5018577" y="0"/>
              </a:lnTo>
              <a:lnTo>
                <a:pt x="5214902" y="196325"/>
              </a:lnTo>
              <a:lnTo>
                <a:pt x="5214902" y="1177925"/>
              </a:lnTo>
              <a:lnTo>
                <a:pt x="196325" y="1177925"/>
              </a:lnTo>
              <a:lnTo>
                <a:pt x="0" y="981600"/>
              </a:lnTo>
              <a:lnTo>
                <a:pt x="0" y="0"/>
              </a:lnTo>
              <a:close/>
            </a:path>
          </a:pathLst>
        </a:custGeom>
        <a:solidFill>
          <a:srgbClr val="43494E"/>
        </a:solidFill>
        <a:ln>
          <a:noFill/>
        </a:ln>
      </xdr:spPr>
      <xdr:txBody>
        <a:bodyPr rot="0" vert="horz" wrap="square" lIns="91440" tIns="45720" rIns="91440" bIns="45720" anchor="ctr" anchorCtr="0" upright="1">
          <a:noAutofit/>
        </a:bodyPr>
        <a:lstStyle/>
        <a:p>
          <a:pPr>
            <a:lnSpc>
              <a:spcPct val="107000"/>
            </a:lnSpc>
            <a:spcAft>
              <a:spcPts val="800"/>
            </a:spcAft>
          </a:pPr>
          <a:r>
            <a:rPr lang="pt-BR" sz="14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TRIBUNAL DE JUSTIÇA DE SÃO PAULO</a:t>
          </a:r>
          <a:endParaRPr lang="pt-BR" sz="1000">
            <a:effectLst/>
            <a:latin typeface="Calibri" panose="020F0502020204030204" pitchFamily="34" charset="0"/>
            <a:ea typeface="Calibri" panose="020F0502020204030204" pitchFamily="34" charset="0"/>
            <a:cs typeface="Times New Roman" panose="02020603050405020304" pitchFamily="18" charset="0"/>
          </a:endParaRPr>
        </a:p>
        <a:p>
          <a:pPr>
            <a:lnSpc>
              <a:spcPct val="107000"/>
            </a:lnSpc>
            <a:spcAft>
              <a:spcPts val="800"/>
            </a:spcAft>
          </a:pPr>
          <a:r>
            <a:rPr lang="pt-BR" sz="1400">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Secretaria de Administração e Abastecimento</a:t>
          </a:r>
          <a:endParaRPr lang="pt-BR" sz="10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114299</xdr:colOff>
      <xdr:row>1</xdr:row>
      <xdr:rowOff>95251</xdr:rowOff>
    </xdr:from>
    <xdr:to>
      <xdr:col>3</xdr:col>
      <xdr:colOff>57150</xdr:colOff>
      <xdr:row>4</xdr:row>
      <xdr:rowOff>19051</xdr:rowOff>
    </xdr:to>
    <xdr:grpSp>
      <xdr:nvGrpSpPr>
        <xdr:cNvPr id="9" name="Agrupar 8">
          <a:extLst>
            <a:ext uri="{FF2B5EF4-FFF2-40B4-BE49-F238E27FC236}">
              <a16:creationId xmlns:a16="http://schemas.microsoft.com/office/drawing/2014/main" id="{A0CE39F1-E57E-415D-A3E0-66EDAD91DD8F}"/>
            </a:ext>
          </a:extLst>
        </xdr:cNvPr>
        <xdr:cNvGrpSpPr>
          <a:grpSpLocks/>
        </xdr:cNvGrpSpPr>
      </xdr:nvGrpSpPr>
      <xdr:grpSpPr bwMode="auto">
        <a:xfrm>
          <a:off x="247649" y="295276"/>
          <a:ext cx="971551" cy="704850"/>
          <a:chOff x="0" y="0"/>
          <a:chExt cx="11779" cy="11779"/>
        </a:xfrm>
      </xdr:grpSpPr>
      <xdr:sp macro="" textlink="">
        <xdr:nvSpPr>
          <xdr:cNvPr id="10" name="Retângulo: Único Canto Recortado 5">
            <a:extLst>
              <a:ext uri="{FF2B5EF4-FFF2-40B4-BE49-F238E27FC236}">
                <a16:creationId xmlns:a16="http://schemas.microsoft.com/office/drawing/2014/main" id="{9C7893D0-B908-5BAC-79C2-81625CCF3ADD}"/>
              </a:ext>
            </a:extLst>
          </xdr:cNvPr>
          <xdr:cNvSpPr>
            <a:spLocks/>
          </xdr:cNvSpPr>
        </xdr:nvSpPr>
        <xdr:spPr bwMode="auto">
          <a:xfrm rot="5400000">
            <a:off x="0" y="0"/>
            <a:ext cx="11779" cy="11779"/>
          </a:xfrm>
          <a:custGeom>
            <a:avLst/>
            <a:gdLst>
              <a:gd name="T0" fmla="*/ 0 w 1177925"/>
              <a:gd name="T1" fmla="*/ 0 h 1177925"/>
              <a:gd name="T2" fmla="*/ 981600 w 1177925"/>
              <a:gd name="T3" fmla="*/ 0 h 1177925"/>
              <a:gd name="T4" fmla="*/ 1177925 w 1177925"/>
              <a:gd name="T5" fmla="*/ 196325 h 1177925"/>
              <a:gd name="T6" fmla="*/ 1177925 w 1177925"/>
              <a:gd name="T7" fmla="*/ 1177925 h 1177925"/>
              <a:gd name="T8" fmla="*/ 0 w 1177925"/>
              <a:gd name="T9" fmla="*/ 1177925 h 1177925"/>
              <a:gd name="T10" fmla="*/ 0 w 1177925"/>
              <a:gd name="T11" fmla="*/ 0 h 1177925"/>
              <a:gd name="T12" fmla="*/ 0 60000 65536"/>
              <a:gd name="T13" fmla="*/ 0 60000 65536"/>
              <a:gd name="T14" fmla="*/ 0 60000 65536"/>
              <a:gd name="T15" fmla="*/ 0 60000 65536"/>
              <a:gd name="T16" fmla="*/ 0 60000 65536"/>
              <a:gd name="T17" fmla="*/ 0 60000 65536"/>
              <a:gd name="T18" fmla="*/ 0 w 1177925"/>
              <a:gd name="T19" fmla="*/ 0 h 1177925"/>
              <a:gd name="T20" fmla="*/ 1177925 w 1177925"/>
              <a:gd name="T21" fmla="*/ 1177925 h 1177925"/>
            </a:gdLst>
            <a:ahLst/>
            <a:cxnLst>
              <a:cxn ang="T12">
                <a:pos x="T0" y="T1"/>
              </a:cxn>
              <a:cxn ang="T13">
                <a:pos x="T2" y="T3"/>
              </a:cxn>
              <a:cxn ang="T14">
                <a:pos x="T4" y="T5"/>
              </a:cxn>
              <a:cxn ang="T15">
                <a:pos x="T6" y="T7"/>
              </a:cxn>
              <a:cxn ang="T16">
                <a:pos x="T8" y="T9"/>
              </a:cxn>
              <a:cxn ang="T17">
                <a:pos x="T10" y="T11"/>
              </a:cxn>
            </a:cxnLst>
            <a:rect l="T18" t="T19" r="T20" b="T21"/>
            <a:pathLst>
              <a:path w="1177925" h="1177925">
                <a:moveTo>
                  <a:pt x="0" y="0"/>
                </a:moveTo>
                <a:lnTo>
                  <a:pt x="981600" y="0"/>
                </a:lnTo>
                <a:lnTo>
                  <a:pt x="1177925" y="196325"/>
                </a:lnTo>
                <a:lnTo>
                  <a:pt x="1177925" y="1177925"/>
                </a:lnTo>
                <a:lnTo>
                  <a:pt x="0" y="1177925"/>
                </a:lnTo>
                <a:lnTo>
                  <a:pt x="0" y="0"/>
                </a:lnTo>
                <a:close/>
              </a:path>
            </a:pathLst>
          </a:custGeom>
          <a:solidFill>
            <a:srgbClr val="DA5914"/>
          </a:solidFill>
          <a:ln>
            <a:noFill/>
          </a:ln>
        </xdr:spPr>
        <xdr:txBody>
          <a:bodyPr rot="0" vert="horz" wrap="square" lIns="91440" tIns="45720" rIns="91440" bIns="45720" anchor="ctr" anchorCtr="0" upright="1">
            <a:noAutofit/>
          </a:bodyPr>
          <a:lstStyle/>
          <a:p>
            <a:pPr algn="ctr">
              <a:lnSpc>
                <a:spcPct val="107000"/>
              </a:lnSpc>
              <a:spcAft>
                <a:spcPts val="800"/>
              </a:spcAft>
            </a:pPr>
            <a:r>
              <a:rPr lang="pt-BR" sz="1800" b="1">
                <a:effectLst/>
                <a:latin typeface="Montserrat" panose="020F0502020204030204" pitchFamily="2" charset="0"/>
                <a:ea typeface="Calibri" panose="020F0502020204030204" pitchFamily="34" charset="0"/>
                <a:cs typeface="Times New Roman" panose="02020603050405020304" pitchFamily="18" charset="0"/>
              </a:rPr>
              <a:t> </a:t>
            </a:r>
            <a:endParaRPr lang="pt-BR"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11" name="Retângulo: Único Canto Recortado 5">
            <a:extLst>
              <a:ext uri="{FF2B5EF4-FFF2-40B4-BE49-F238E27FC236}">
                <a16:creationId xmlns:a16="http://schemas.microsoft.com/office/drawing/2014/main" id="{59B71526-A461-BB17-D204-03CEC1D92EBC}"/>
              </a:ext>
            </a:extLst>
          </xdr:cNvPr>
          <xdr:cNvSpPr>
            <a:spLocks/>
          </xdr:cNvSpPr>
        </xdr:nvSpPr>
        <xdr:spPr bwMode="auto">
          <a:xfrm>
            <a:off x="87" y="2549"/>
            <a:ext cx="11367" cy="6594"/>
          </a:xfrm>
          <a:custGeom>
            <a:avLst/>
            <a:gdLst>
              <a:gd name="T0" fmla="*/ 0 w 1136673"/>
              <a:gd name="T1" fmla="*/ 0 h 659423"/>
              <a:gd name="T2" fmla="*/ 1026767 w 1136673"/>
              <a:gd name="T3" fmla="*/ 0 h 659423"/>
              <a:gd name="T4" fmla="*/ 1136673 w 1136673"/>
              <a:gd name="T5" fmla="*/ 109906 h 659423"/>
              <a:gd name="T6" fmla="*/ 1136673 w 1136673"/>
              <a:gd name="T7" fmla="*/ 659423 h 659423"/>
              <a:gd name="T8" fmla="*/ 0 w 1136673"/>
              <a:gd name="T9" fmla="*/ 659423 h 659423"/>
              <a:gd name="T10" fmla="*/ 0 w 1136673"/>
              <a:gd name="T11" fmla="*/ 0 h 659423"/>
              <a:gd name="T12" fmla="*/ 0 60000 65536"/>
              <a:gd name="T13" fmla="*/ 0 60000 65536"/>
              <a:gd name="T14" fmla="*/ 0 60000 65536"/>
              <a:gd name="T15" fmla="*/ 0 60000 65536"/>
              <a:gd name="T16" fmla="*/ 0 60000 65536"/>
              <a:gd name="T17" fmla="*/ 0 60000 65536"/>
              <a:gd name="T18" fmla="*/ 0 w 1136673"/>
              <a:gd name="T19" fmla="*/ 0 h 659423"/>
              <a:gd name="T20" fmla="*/ 1136673 w 1136673"/>
              <a:gd name="T21" fmla="*/ 659423 h 659423"/>
            </a:gdLst>
            <a:ahLst/>
            <a:cxnLst>
              <a:cxn ang="T12">
                <a:pos x="T0" y="T1"/>
              </a:cxn>
              <a:cxn ang="T13">
                <a:pos x="T2" y="T3"/>
              </a:cxn>
              <a:cxn ang="T14">
                <a:pos x="T4" y="T5"/>
              </a:cxn>
              <a:cxn ang="T15">
                <a:pos x="T6" y="T7"/>
              </a:cxn>
              <a:cxn ang="T16">
                <a:pos x="T8" y="T9"/>
              </a:cxn>
              <a:cxn ang="T17">
                <a:pos x="T10" y="T11"/>
              </a:cxn>
            </a:cxnLst>
            <a:rect l="T18" t="T19" r="T20" b="T21"/>
            <a:pathLst>
              <a:path w="1136673" h="659423">
                <a:moveTo>
                  <a:pt x="0" y="0"/>
                </a:moveTo>
                <a:lnTo>
                  <a:pt x="1026767" y="0"/>
                </a:lnTo>
                <a:lnTo>
                  <a:pt x="1136673" y="109906"/>
                </a:lnTo>
                <a:lnTo>
                  <a:pt x="1136673" y="659423"/>
                </a:lnTo>
                <a:lnTo>
                  <a:pt x="0" y="659423"/>
                </a:lnTo>
                <a:lnTo>
                  <a:pt x="0" y="0"/>
                </a:lnTo>
                <a:close/>
              </a:path>
            </a:pathLst>
          </a:custGeom>
          <a:solidFill>
            <a:srgbClr val="DA5914"/>
          </a:solidFill>
          <a:ln>
            <a:noFill/>
          </a:ln>
        </xdr:spPr>
        <xdr:txBody>
          <a:bodyPr rot="0" vert="horz" wrap="square" lIns="91440" tIns="45720" rIns="91440" bIns="45720" anchor="ctr" anchorCtr="0" upright="1">
            <a:noAutofit/>
          </a:bodyPr>
          <a:lstStyle/>
          <a:p>
            <a:pPr algn="ctr">
              <a:lnSpc>
                <a:spcPct val="107000"/>
              </a:lnSpc>
              <a:spcAft>
                <a:spcPts val="800"/>
              </a:spcAft>
            </a:pPr>
            <a:r>
              <a:rPr lang="pt-BR" sz="1800" b="1">
                <a:effectLst/>
                <a:latin typeface="Montserrat" panose="020F0502020204030204" pitchFamily="2" charset="0"/>
                <a:ea typeface="Calibri" panose="020F0502020204030204" pitchFamily="34" charset="0"/>
                <a:cs typeface="Times New Roman" panose="02020603050405020304" pitchFamily="18" charset="0"/>
              </a:rPr>
              <a:t>SAAB</a:t>
            </a:r>
            <a:endParaRPr lang="pt-BR" sz="10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3</xdr:col>
      <xdr:colOff>200025</xdr:colOff>
      <xdr:row>4</xdr:row>
      <xdr:rowOff>24251</xdr:rowOff>
    </xdr:from>
    <xdr:to>
      <xdr:col>9</xdr:col>
      <xdr:colOff>514350</xdr:colOff>
      <xdr:row>5</xdr:row>
      <xdr:rowOff>180975</xdr:rowOff>
    </xdr:to>
    <xdr:sp macro="" textlink="">
      <xdr:nvSpPr>
        <xdr:cNvPr id="12" name="Retângulo: Cantos Superiores Recortados 9">
          <a:extLst>
            <a:ext uri="{FF2B5EF4-FFF2-40B4-BE49-F238E27FC236}">
              <a16:creationId xmlns:a16="http://schemas.microsoft.com/office/drawing/2014/main" id="{B16B0E4B-6014-4332-9124-2358D351E6F1}"/>
            </a:ext>
          </a:extLst>
        </xdr:cNvPr>
        <xdr:cNvSpPr>
          <a:spLocks/>
        </xdr:cNvSpPr>
      </xdr:nvSpPr>
      <xdr:spPr bwMode="auto">
        <a:xfrm flipV="1">
          <a:off x="1362075" y="919601"/>
          <a:ext cx="3971925" cy="347224"/>
        </a:xfrm>
        <a:custGeom>
          <a:avLst/>
          <a:gdLst>
            <a:gd name="T0" fmla="*/ 2179 w 5034845"/>
            <a:gd name="T1" fmla="*/ 0 h 1307465"/>
            <a:gd name="T2" fmla="*/ 48169 w 5034845"/>
            <a:gd name="T3" fmla="*/ 0 h 1307465"/>
            <a:gd name="T4" fmla="*/ 50348 w 5034845"/>
            <a:gd name="T5" fmla="*/ 2179 h 1307465"/>
            <a:gd name="T6" fmla="*/ 50348 w 5034845"/>
            <a:gd name="T7" fmla="*/ 13074 h 1307465"/>
            <a:gd name="T8" fmla="*/ 50348 w 5034845"/>
            <a:gd name="T9" fmla="*/ 13074 h 1307465"/>
            <a:gd name="T10" fmla="*/ 0 w 5034845"/>
            <a:gd name="T11" fmla="*/ 13074 h 1307465"/>
            <a:gd name="T12" fmla="*/ 0 w 5034845"/>
            <a:gd name="T13" fmla="*/ 13074 h 1307465"/>
            <a:gd name="T14" fmla="*/ 0 w 5034845"/>
            <a:gd name="T15" fmla="*/ 2179 h 1307465"/>
            <a:gd name="T16" fmla="*/ 2179 w 5034845"/>
            <a:gd name="T17" fmla="*/ 0 h 1307465"/>
            <a:gd name="T18" fmla="*/ 0 60000 65536"/>
            <a:gd name="T19" fmla="*/ 0 60000 65536"/>
            <a:gd name="T20" fmla="*/ 0 60000 65536"/>
            <a:gd name="T21" fmla="*/ 0 60000 65536"/>
            <a:gd name="T22" fmla="*/ 0 60000 65536"/>
            <a:gd name="T23" fmla="*/ 0 60000 65536"/>
            <a:gd name="T24" fmla="*/ 0 60000 65536"/>
            <a:gd name="T25" fmla="*/ 0 60000 65536"/>
            <a:gd name="T26" fmla="*/ 0 60000 65536"/>
            <a:gd name="T27" fmla="*/ 0 w 5034845"/>
            <a:gd name="T28" fmla="*/ 0 h 1307465"/>
            <a:gd name="T29" fmla="*/ 5034845 w 5034845"/>
            <a:gd name="T30" fmla="*/ 1307465 h 1307465"/>
          </a:gdLst>
          <a:ahLst/>
          <a:cxnLst>
            <a:cxn ang="T18">
              <a:pos x="T0" y="T1"/>
            </a:cxn>
            <a:cxn ang="T19">
              <a:pos x="T2" y="T3"/>
            </a:cxn>
            <a:cxn ang="T20">
              <a:pos x="T4" y="T5"/>
            </a:cxn>
            <a:cxn ang="T21">
              <a:pos x="T6" y="T7"/>
            </a:cxn>
            <a:cxn ang="T22">
              <a:pos x="T8" y="T9"/>
            </a:cxn>
            <a:cxn ang="T23">
              <a:pos x="T10" y="T11"/>
            </a:cxn>
            <a:cxn ang="T24">
              <a:pos x="T12" y="T13"/>
            </a:cxn>
            <a:cxn ang="T25">
              <a:pos x="T14" y="T15"/>
            </a:cxn>
            <a:cxn ang="T26">
              <a:pos x="T16" y="T17"/>
            </a:cxn>
          </a:cxnLst>
          <a:rect l="T27" t="T28" r="T29" b="T30"/>
          <a:pathLst>
            <a:path w="5034845" h="1307465">
              <a:moveTo>
                <a:pt x="217915" y="0"/>
              </a:moveTo>
              <a:lnTo>
                <a:pt x="4816930" y="0"/>
              </a:lnTo>
              <a:lnTo>
                <a:pt x="5034845" y="217915"/>
              </a:lnTo>
              <a:lnTo>
                <a:pt x="5034845" y="1307465"/>
              </a:lnTo>
              <a:lnTo>
                <a:pt x="0" y="1307465"/>
              </a:lnTo>
              <a:lnTo>
                <a:pt x="0" y="217915"/>
              </a:lnTo>
              <a:lnTo>
                <a:pt x="217915" y="0"/>
              </a:lnTo>
              <a:close/>
            </a:path>
          </a:pathLst>
        </a:custGeom>
        <a:solidFill>
          <a:schemeClr val="bg1">
            <a:lumMod val="85000"/>
          </a:schemeClr>
        </a:solidFill>
        <a:ln>
          <a:noFill/>
        </a:ln>
      </xdr:spPr>
      <xdr:txBody>
        <a:bodyPr rot="0" vert="horz" wrap="square" lIns="91440" tIns="45720" rIns="91440" bIns="45720" anchor="ctr" anchorCtr="0" upright="1">
          <a:noAutofit/>
        </a:bodyPr>
        <a:lstStyle/>
        <a:p>
          <a:pPr>
            <a:lnSpc>
              <a:spcPct val="115000"/>
            </a:lnSpc>
            <a:spcBef>
              <a:spcPts val="1200"/>
            </a:spcBef>
            <a:spcAft>
              <a:spcPts val="1200"/>
            </a:spcAft>
            <a:tabLst>
              <a:tab pos="3060700" algn="l"/>
            </a:tabLst>
          </a:pPr>
          <a:r>
            <a:rPr lang="pt-BR" sz="1600" b="1">
              <a:solidFill>
                <a:srgbClr val="262626"/>
              </a:solidFill>
              <a:effectLst/>
              <a:latin typeface="Calibri" panose="020F0502020204030204" pitchFamily="34" charset="0"/>
              <a:ea typeface="Calibri" panose="020F0502020204030204" pitchFamily="34" charset="0"/>
              <a:cs typeface="Calibri" panose="020F0502020204030204" pitchFamily="34" charset="0"/>
            </a:rPr>
            <a:t> </a:t>
          </a:r>
          <a:endParaRPr lang="pt-BR" sz="1100">
            <a:effectLst/>
            <a:latin typeface="Calibri" panose="020F0502020204030204" pitchFamily="34" charset="0"/>
            <a:ea typeface="Calibri" panose="020F0502020204030204" pitchFamily="34" charset="0"/>
            <a:cs typeface="Times New Roman" panose="02020603050405020304" pitchFamily="18" charset="0"/>
          </a:endParaRPr>
        </a:p>
        <a:p>
          <a:pPr algn="ctr">
            <a:lnSpc>
              <a:spcPct val="107000"/>
            </a:lnSpc>
            <a:spcAft>
              <a:spcPts val="800"/>
            </a:spcAft>
          </a:pPr>
          <a:r>
            <a:rPr lang="pt-BR" sz="1100">
              <a:effectLst/>
              <a:latin typeface="Calibri" panose="020F0502020204030204" pitchFamily="34" charset="0"/>
              <a:ea typeface="Calibri" panose="020F0502020204030204" pitchFamily="34" charset="0"/>
              <a:cs typeface="Times New Roman" panose="02020603050405020304" pitchFamily="18" charset="0"/>
            </a:rPr>
            <a:t> </a:t>
          </a:r>
        </a:p>
      </xdr:txBody>
    </xdr:sp>
    <xdr:clientData/>
  </xdr:twoCellAnchor>
  <xdr:twoCellAnchor>
    <xdr:from>
      <xdr:col>3</xdr:col>
      <xdr:colOff>448270</xdr:colOff>
      <xdr:row>4</xdr:row>
      <xdr:rowOff>57150</xdr:rowOff>
    </xdr:from>
    <xdr:to>
      <xdr:col>9</xdr:col>
      <xdr:colOff>409575</xdr:colOff>
      <xdr:row>5</xdr:row>
      <xdr:rowOff>133349</xdr:rowOff>
    </xdr:to>
    <xdr:sp macro="" textlink="">
      <xdr:nvSpPr>
        <xdr:cNvPr id="13" name="Retângulo: Cantos Superiores Recortados 9">
          <a:extLst>
            <a:ext uri="{FF2B5EF4-FFF2-40B4-BE49-F238E27FC236}">
              <a16:creationId xmlns:a16="http://schemas.microsoft.com/office/drawing/2014/main" id="{93E2A72E-9C58-40B4-B09C-6444A4015519}"/>
            </a:ext>
          </a:extLst>
        </xdr:cNvPr>
        <xdr:cNvSpPr>
          <a:spLocks/>
        </xdr:cNvSpPr>
      </xdr:nvSpPr>
      <xdr:spPr bwMode="auto">
        <a:xfrm>
          <a:off x="1610320" y="952500"/>
          <a:ext cx="3618905" cy="266699"/>
        </a:xfrm>
        <a:custGeom>
          <a:avLst/>
          <a:gdLst>
            <a:gd name="T0" fmla="*/ 3033 w 4538134"/>
            <a:gd name="T1" fmla="*/ 0 h 1819910"/>
            <a:gd name="T2" fmla="*/ 42349 w 4538134"/>
            <a:gd name="T3" fmla="*/ 0 h 1819910"/>
            <a:gd name="T4" fmla="*/ 45382 w 4538134"/>
            <a:gd name="T5" fmla="*/ 3033 h 1819910"/>
            <a:gd name="T6" fmla="*/ 45382 w 4538134"/>
            <a:gd name="T7" fmla="*/ 18198 h 1819910"/>
            <a:gd name="T8" fmla="*/ 45382 w 4538134"/>
            <a:gd name="T9" fmla="*/ 18198 h 1819910"/>
            <a:gd name="T10" fmla="*/ 0 w 4538134"/>
            <a:gd name="T11" fmla="*/ 18198 h 1819910"/>
            <a:gd name="T12" fmla="*/ 0 w 4538134"/>
            <a:gd name="T13" fmla="*/ 18198 h 1819910"/>
            <a:gd name="T14" fmla="*/ 0 w 4538134"/>
            <a:gd name="T15" fmla="*/ 3033 h 1819910"/>
            <a:gd name="T16" fmla="*/ 3033 w 4538134"/>
            <a:gd name="T17" fmla="*/ 0 h 1819910"/>
            <a:gd name="T18" fmla="*/ 0 60000 65536"/>
            <a:gd name="T19" fmla="*/ 0 60000 65536"/>
            <a:gd name="T20" fmla="*/ 0 60000 65536"/>
            <a:gd name="T21" fmla="*/ 0 60000 65536"/>
            <a:gd name="T22" fmla="*/ 0 60000 65536"/>
            <a:gd name="T23" fmla="*/ 0 60000 65536"/>
            <a:gd name="T24" fmla="*/ 0 60000 65536"/>
            <a:gd name="T25" fmla="*/ 0 60000 65536"/>
            <a:gd name="T26" fmla="*/ 0 60000 65536"/>
            <a:gd name="T27" fmla="*/ 0 w 4538134"/>
            <a:gd name="T28" fmla="*/ 0 h 1819910"/>
            <a:gd name="T29" fmla="*/ 4538134 w 4538134"/>
            <a:gd name="T30" fmla="*/ 1819910 h 1819910"/>
          </a:gdLst>
          <a:ahLst/>
          <a:cxnLst>
            <a:cxn ang="T18">
              <a:pos x="T0" y="T1"/>
            </a:cxn>
            <a:cxn ang="T19">
              <a:pos x="T2" y="T3"/>
            </a:cxn>
            <a:cxn ang="T20">
              <a:pos x="T4" y="T5"/>
            </a:cxn>
            <a:cxn ang="T21">
              <a:pos x="T6" y="T7"/>
            </a:cxn>
            <a:cxn ang="T22">
              <a:pos x="T8" y="T9"/>
            </a:cxn>
            <a:cxn ang="T23">
              <a:pos x="T10" y="T11"/>
            </a:cxn>
            <a:cxn ang="T24">
              <a:pos x="T12" y="T13"/>
            </a:cxn>
            <a:cxn ang="T25">
              <a:pos x="T14" y="T15"/>
            </a:cxn>
            <a:cxn ang="T26">
              <a:pos x="T16" y="T17"/>
            </a:cxn>
          </a:cxnLst>
          <a:rect l="T27" t="T28" r="T29" b="T30"/>
          <a:pathLst>
            <a:path w="4538134" h="1819910">
              <a:moveTo>
                <a:pt x="303324" y="0"/>
              </a:moveTo>
              <a:lnTo>
                <a:pt x="4234810" y="0"/>
              </a:lnTo>
              <a:lnTo>
                <a:pt x="4538134" y="303324"/>
              </a:lnTo>
              <a:lnTo>
                <a:pt x="4538134" y="1819910"/>
              </a:lnTo>
              <a:lnTo>
                <a:pt x="0" y="1819910"/>
              </a:lnTo>
              <a:lnTo>
                <a:pt x="0" y="303324"/>
              </a:lnTo>
              <a:lnTo>
                <a:pt x="303324" y="0"/>
              </a:lnTo>
              <a:close/>
            </a:path>
          </a:pathLst>
        </a:custGeom>
        <a:solidFill>
          <a:schemeClr val="bg1">
            <a:lumMod val="85000"/>
          </a:schemeClr>
        </a:solidFill>
        <a:ln>
          <a:noFill/>
        </a:ln>
      </xdr:spPr>
      <xdr:txBody>
        <a:bodyPr rot="0" vert="horz" wrap="square" lIns="91440" tIns="45720" rIns="91440" bIns="45720" anchor="ctr" anchorCtr="0" upright="1">
          <a:noAutofit/>
        </a:bodyPr>
        <a:lstStyle/>
        <a:p>
          <a:pPr>
            <a:lnSpc>
              <a:spcPct val="107000"/>
            </a:lnSpc>
            <a:spcBef>
              <a:spcPts val="1200"/>
            </a:spcBef>
            <a:spcAft>
              <a:spcPts val="1200"/>
            </a:spcAft>
            <a:tabLst>
              <a:tab pos="3060700" algn="l"/>
            </a:tabLst>
          </a:pPr>
          <a:r>
            <a:rPr lang="pt-BR" sz="1400" b="1">
              <a:solidFill>
                <a:srgbClr val="262626"/>
              </a:solidFill>
              <a:effectLst/>
              <a:latin typeface="Calibri" panose="020F0502020204030204" pitchFamily="34" charset="0"/>
              <a:ea typeface="Calibri" panose="020F0502020204030204" pitchFamily="34" charset="0"/>
              <a:cs typeface="Calibri" panose="020F0502020204030204" pitchFamily="34" charset="0"/>
            </a:rPr>
            <a:t>ESTUDO TÉCNICO DE COMPOSIÇÃO DE CUSTO </a:t>
          </a:r>
          <a:endParaRPr lang="pt-BR" sz="105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4</xdr:col>
      <xdr:colOff>381000</xdr:colOff>
      <xdr:row>41</xdr:row>
      <xdr:rowOff>161926</xdr:rowOff>
    </xdr:from>
    <xdr:to>
      <xdr:col>6</xdr:col>
      <xdr:colOff>276225</xdr:colOff>
      <xdr:row>45</xdr:row>
      <xdr:rowOff>198549</xdr:rowOff>
    </xdr:to>
    <xdr:pic>
      <xdr:nvPicPr>
        <xdr:cNvPr id="22" name="Imagem 13">
          <a:extLst>
            <a:ext uri="{FF2B5EF4-FFF2-40B4-BE49-F238E27FC236}">
              <a16:creationId xmlns:a16="http://schemas.microsoft.com/office/drawing/2014/main" id="{BB45E68D-F6DA-436C-A966-B674FD12AC64}"/>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152650" y="7781926"/>
          <a:ext cx="1114425" cy="798623"/>
        </a:xfrm>
        <a:prstGeom prst="rect">
          <a:avLst/>
        </a:prstGeom>
        <a:noFill/>
        <a:ln>
          <a:noFill/>
        </a:ln>
      </xdr:spPr>
    </xdr:pic>
    <xdr:clientData/>
  </xdr:twoCellAnchor>
  <xdr:twoCellAnchor>
    <xdr:from>
      <xdr:col>1</xdr:col>
      <xdr:colOff>133350</xdr:colOff>
      <xdr:row>13</xdr:row>
      <xdr:rowOff>161923</xdr:rowOff>
    </xdr:from>
    <xdr:to>
      <xdr:col>9</xdr:col>
      <xdr:colOff>609600</xdr:colOff>
      <xdr:row>42</xdr:row>
      <xdr:rowOff>28574</xdr:rowOff>
    </xdr:to>
    <xdr:sp macro="" textlink="">
      <xdr:nvSpPr>
        <xdr:cNvPr id="20" name="CaixaDeTexto 14">
          <a:extLst>
            <a:ext uri="{FF2B5EF4-FFF2-40B4-BE49-F238E27FC236}">
              <a16:creationId xmlns:a16="http://schemas.microsoft.com/office/drawing/2014/main" id="{81B63A6A-741E-4052-88F5-98F2E72FEDEF}"/>
            </a:ext>
          </a:extLst>
        </xdr:cNvPr>
        <xdr:cNvSpPr txBox="1"/>
      </xdr:nvSpPr>
      <xdr:spPr>
        <a:xfrm>
          <a:off x="266700" y="2905123"/>
          <a:ext cx="5162550" cy="56959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pt-BR" sz="1050" b="1">
              <a:solidFill>
                <a:schemeClr val="dk1"/>
              </a:solidFill>
              <a:latin typeface="+mn-lt"/>
              <a:ea typeface="+mn-ea"/>
              <a:cs typeface="+mn-cs"/>
            </a:rPr>
            <a:t>Instruções e</a:t>
          </a:r>
          <a:r>
            <a:rPr lang="pt-BR" sz="1050" b="1" baseline="0">
              <a:solidFill>
                <a:schemeClr val="dk1"/>
              </a:solidFill>
              <a:latin typeface="+mn-lt"/>
              <a:ea typeface="+mn-ea"/>
              <a:cs typeface="+mn-cs"/>
            </a:rPr>
            <a:t> observações para o preenchimento da planilha:</a:t>
          </a:r>
          <a:endParaRPr lang="pt-BR" sz="1050" b="1">
            <a:solidFill>
              <a:schemeClr val="dk1"/>
            </a:solidFill>
            <a:latin typeface="+mn-lt"/>
            <a:ea typeface="+mn-ea"/>
            <a:cs typeface="+mn-cs"/>
          </a:endParaRPr>
        </a:p>
        <a:p>
          <a:r>
            <a:rPr lang="pt-BR" sz="1050">
              <a:solidFill>
                <a:schemeClr val="dk1"/>
              </a:solidFill>
              <a:latin typeface="+mn-lt"/>
              <a:ea typeface="+mn-ea"/>
              <a:cs typeface="+mn-cs"/>
            </a:rPr>
            <a:t>1. Preencher somente as células da planilha (Indicadores Financeiros) destacadas em VERDE.</a:t>
          </a:r>
          <a:endParaRPr lang="pt-BR" sz="800"/>
        </a:p>
        <a:p>
          <a:pPr eaLnBrk="1" fontAlgn="auto" latinLnBrk="0" hangingPunct="1"/>
          <a:r>
            <a:rPr lang="pt-BR" sz="1050">
              <a:solidFill>
                <a:schemeClr val="dk1"/>
              </a:solidFill>
              <a:latin typeface="+mn-lt"/>
              <a:ea typeface="+mn-ea"/>
              <a:cs typeface="+mn-cs"/>
            </a:rPr>
            <a:t>2. Os campos referentes ao ISSQN – Imposto Sobre Serviços de Qualquer Natureza são editáveis e deverão ser preenchidos/confirmados sob responsabilidade da licitante validar e verificar a alíquota vigente em cada localidade.</a:t>
          </a:r>
          <a:endParaRPr lang="pt-BR" sz="800"/>
        </a:p>
        <a:p>
          <a:r>
            <a:rPr lang="pt-BR" sz="1050">
              <a:solidFill>
                <a:schemeClr val="dk1"/>
              </a:solidFill>
              <a:latin typeface="+mn-lt"/>
              <a:ea typeface="+mn-ea"/>
              <a:cs typeface="+mn-cs"/>
            </a:rPr>
            <a:t>3. </a:t>
          </a:r>
          <a:r>
            <a:rPr lang="pt-BR" sz="1050" baseline="0">
              <a:solidFill>
                <a:schemeClr val="dk1"/>
              </a:solidFill>
              <a:latin typeface="+mn-lt"/>
              <a:ea typeface="+mn-ea"/>
              <a:cs typeface="+mn-cs"/>
            </a:rPr>
            <a:t> As planilhas Relatório Custo, Custo Resumido, Custo Resumido por Local, Custo por Função e Tabela de Códigos e Valores são calculadas automaticamente e não deverão ser alteradas. </a:t>
          </a:r>
          <a:endParaRPr lang="pt-BR" sz="800"/>
        </a:p>
        <a:p>
          <a:r>
            <a:rPr lang="pt-BR" sz="1050">
              <a:solidFill>
                <a:schemeClr val="dk1"/>
              </a:solidFill>
              <a:latin typeface="+mn-lt"/>
              <a:ea typeface="+mn-ea"/>
              <a:cs typeface="+mn-cs"/>
            </a:rPr>
            <a:t>4.  Os percentuais de encargos sociais e trabalhistas, de contingenciamento e dos parâmetros de cálculo são fixos e não devem ser alterados.</a:t>
          </a:r>
          <a:endParaRPr lang="pt-BR" sz="800"/>
        </a:p>
        <a:p>
          <a:r>
            <a:rPr lang="pt-BR" sz="1050">
              <a:solidFill>
                <a:schemeClr val="dk1"/>
              </a:solidFill>
              <a:latin typeface="+mn-lt"/>
              <a:ea typeface="+mn-ea"/>
              <a:cs typeface="+mn-cs"/>
            </a:rPr>
            <a:t>5. Os valores deverão ser apresentados com duas casas decimais e arredondamento matemático no segundo dígito.</a:t>
          </a:r>
          <a:endParaRPr lang="pt-BR" sz="800"/>
        </a:p>
        <a:p>
          <a:r>
            <a:rPr lang="pt-BR" sz="1050">
              <a:solidFill>
                <a:schemeClr val="dk1"/>
              </a:solidFill>
              <a:latin typeface="+mn-lt"/>
              <a:ea typeface="+mn-ea"/>
              <a:cs typeface="+mn-cs"/>
            </a:rPr>
            <a:t>6. O percentual de BDI é calculado igualmente para todos os postos/serviços e de acordo com o ISS de cada município.</a:t>
          </a:r>
          <a:endParaRPr lang="pt-BR" sz="800"/>
        </a:p>
        <a:p>
          <a:r>
            <a:rPr lang="pt-BR" sz="1050">
              <a:solidFill>
                <a:schemeClr val="dk1"/>
              </a:solidFill>
              <a:latin typeface="+mn-lt"/>
              <a:ea typeface="+mn-ea"/>
              <a:cs typeface="+mn-cs"/>
            </a:rPr>
            <a:t>7. </a:t>
          </a:r>
          <a:r>
            <a:rPr lang="pt-BR" sz="1050"/>
            <a:t>As propostas deverão observar, obrigatoriamente, os valores mínimos previstos no instrumento convocatório e aqueles estabelecidos na Convenção Coletiva de Trabalho, aplicável ao sindicato de enquadramento da licitante, conforme sua atividade econômica preponderante, bem como as convenções coletivas paradigmas referidas no Edital. Havendo divergência entre instrumentos coletivos aplicáveis, deverá prevalecer a condição mais benéfica ao trabalhador, vedada a supressão ou redução de direitos.</a:t>
          </a:r>
          <a:endParaRPr lang="pt-BR" sz="800"/>
        </a:p>
        <a:p>
          <a:r>
            <a:rPr lang="pt-BR" sz="1100" b="0" i="0" u="none" strike="noStrike">
              <a:solidFill>
                <a:schemeClr val="dk1"/>
              </a:solidFill>
              <a:effectLst/>
              <a:latin typeface="+mn-lt"/>
              <a:ea typeface="+mn-ea"/>
              <a:cs typeface="+mn-cs"/>
            </a:rPr>
            <a:t>8. O valor do vale-transporte adotado no orçamento estimativo da contratação foi de R$ 5,82  (ida e volta R$ 11,64). Contudo, o valor do vale-transporte constante no estudo técnico de composição de custos foi utilizado apenas para estimativa do preço referencial. Deste modo, o lançamento dos valores dos vales-transportes é de responsabilidade da licitante, que deverá informar o valor de cada localidade, observada a realidade operacional da empresa e dos funcionários. </a:t>
          </a:r>
          <a:r>
            <a:rPr lang="pt-BR" sz="900"/>
            <a:t> </a:t>
          </a:r>
        </a:p>
        <a:p>
          <a:r>
            <a:rPr lang="pt-BR" sz="1100" b="0" i="0" u="none" strike="noStrike">
              <a:solidFill>
                <a:schemeClr val="dk1"/>
              </a:solidFill>
              <a:effectLst/>
              <a:latin typeface="+mn-lt"/>
              <a:ea typeface="+mn-ea"/>
              <a:cs typeface="+mn-cs"/>
            </a:rPr>
            <a:t>9. Conforme o § 2º do Art.59 da Lei 14.133/202, caso a Comissão de Contratação/ pregoeiro(a) entenda que seja necessário, é facultada a solicitação de qualquer esclarecimento, justificativa, comprovação ou complementação de informação, inclusive em relação a qualquer informação apresentada na planilha de composição de custos.</a:t>
          </a:r>
          <a:r>
            <a:rPr lang="pt-BR" sz="900"/>
            <a:t> </a:t>
          </a:r>
        </a:p>
        <a:p>
          <a:r>
            <a:rPr lang="pt-BR" sz="1100" b="0" i="0" u="none" strike="noStrike">
              <a:solidFill>
                <a:schemeClr val="dk1"/>
              </a:solidFill>
              <a:effectLst/>
              <a:latin typeface="+mn-lt"/>
              <a:ea typeface="+mn-ea"/>
              <a:cs typeface="+mn-cs"/>
            </a:rPr>
            <a:t>10. A licitante poderá inserir valores da despesa no campo outros (item 11) da tabela de benefícios da CCT, desde que sejam especificados.</a:t>
          </a:r>
          <a:r>
            <a:rPr lang="pt-BR" sz="900"/>
            <a:t> </a:t>
          </a:r>
          <a:endParaRPr lang="pt-BR" sz="900">
            <a:latin typeface="+mn-lt"/>
          </a:endParaRPr>
        </a:p>
      </xdr:txBody>
    </xdr:sp>
    <xdr:clientData/>
  </xdr:twoCellAnchor>
  <xdr:twoCellAnchor>
    <xdr:from>
      <xdr:col>7</xdr:col>
      <xdr:colOff>457201</xdr:colOff>
      <xdr:row>6</xdr:row>
      <xdr:rowOff>180975</xdr:rowOff>
    </xdr:from>
    <xdr:to>
      <xdr:col>9</xdr:col>
      <xdr:colOff>342901</xdr:colOff>
      <xdr:row>9</xdr:row>
      <xdr:rowOff>80712</xdr:rowOff>
    </xdr:to>
    <xdr:sp macro="" textlink="">
      <xdr:nvSpPr>
        <xdr:cNvPr id="17" name="Retângulo: Cantos Arredondados 15">
          <a:hlinkClick xmlns:r="http://schemas.openxmlformats.org/officeDocument/2006/relationships" r:id="rId8"/>
          <a:extLst>
            <a:ext uri="{FF2B5EF4-FFF2-40B4-BE49-F238E27FC236}">
              <a16:creationId xmlns:a16="http://schemas.microsoft.com/office/drawing/2014/main" id="{FA28AADF-E8D9-4DB9-B2DA-D99416C1E2AA}"/>
            </a:ext>
          </a:extLst>
        </xdr:cNvPr>
        <xdr:cNvSpPr/>
      </xdr:nvSpPr>
      <xdr:spPr>
        <a:xfrm>
          <a:off x="4057651" y="1504950"/>
          <a:ext cx="1104900" cy="471237"/>
        </a:xfrm>
        <a:prstGeom prst="roundRect">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a:scene3d>
          <a:camera prst="orthographicFront"/>
          <a:lightRig rig="threePt" dir="t"/>
        </a:scene3d>
        <a:sp3d>
          <a:bevelT/>
        </a:sp3d>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pt-BR" sz="900" b="1">
              <a:solidFill>
                <a:schemeClr val="lt1"/>
              </a:solidFill>
              <a:effectLst/>
              <a:latin typeface="+mn-lt"/>
              <a:ea typeface="+mn-ea"/>
              <a:cs typeface="+mn-cs"/>
            </a:rPr>
            <a:t>Tabela de códigos e valores</a:t>
          </a:r>
          <a:endParaRPr lang="pt-BR" sz="600">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168276</xdr:colOff>
      <xdr:row>124</xdr:row>
      <xdr:rowOff>31751</xdr:rowOff>
    </xdr:from>
    <xdr:to>
      <xdr:col>9</xdr:col>
      <xdr:colOff>1000126</xdr:colOff>
      <xdr:row>130</xdr:row>
      <xdr:rowOff>38100</xdr:rowOff>
    </xdr:to>
    <xdr:sp macro="" textlink="">
      <xdr:nvSpPr>
        <xdr:cNvPr id="2" name="CaixaDeTexto 1">
          <a:extLst>
            <a:ext uri="{FF2B5EF4-FFF2-40B4-BE49-F238E27FC236}">
              <a16:creationId xmlns:a16="http://schemas.microsoft.com/office/drawing/2014/main" id="{00000000-0008-0000-0100-000002000000}"/>
            </a:ext>
          </a:extLst>
        </xdr:cNvPr>
        <xdr:cNvSpPr txBox="1"/>
      </xdr:nvSpPr>
      <xdr:spPr>
        <a:xfrm>
          <a:off x="168276" y="19538951"/>
          <a:ext cx="8166100" cy="1149349"/>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pt-BR" sz="1000" b="1">
              <a:latin typeface="+mn-lt"/>
            </a:rPr>
            <a:t>Instruções de Preenchimento</a:t>
          </a:r>
          <a:r>
            <a:rPr lang="pt-BR" sz="1000" b="1" baseline="0">
              <a:latin typeface="+mn-lt"/>
            </a:rPr>
            <a:t>:</a:t>
          </a:r>
          <a:endParaRPr lang="pt-BR" sz="1000" b="1">
            <a:latin typeface="+mn-lt"/>
          </a:endParaRPr>
        </a:p>
        <a:p>
          <a:r>
            <a:rPr lang="pt-BR" sz="1000">
              <a:latin typeface="+mn-lt"/>
            </a:rPr>
            <a:t>1. Preencher somente as células desta planilha (Indicadores Financeiros) d</a:t>
          </a:r>
          <a:r>
            <a:rPr lang="pt-BR" sz="1000" baseline="0">
              <a:latin typeface="+mn-lt"/>
            </a:rPr>
            <a:t>estacadas em VERDE.</a:t>
          </a:r>
        </a:p>
        <a:p>
          <a:r>
            <a:rPr lang="pt-BR" sz="1000" baseline="0">
              <a:latin typeface="+mn-lt"/>
            </a:rPr>
            <a:t>2. As planilhas Relatório Custo e Custo Resumido são calculadas automaticamente e não deverão ser alteradas.</a:t>
          </a:r>
        </a:p>
        <a:p>
          <a:r>
            <a:rPr lang="pt-BR" sz="1000" baseline="0">
              <a:latin typeface="+mn-lt"/>
            </a:rPr>
            <a:t>3.  Os percentuais de encargos sociais e trabalhistas, de contingenciamento e dos parâmetros de cálculo são fixos e não devem ser alterados.</a:t>
          </a:r>
        </a:p>
        <a:p>
          <a:r>
            <a:rPr lang="pt-BR" sz="1000" baseline="0">
              <a:latin typeface="+mn-lt"/>
            </a:rPr>
            <a:t>4. Os valores deverão ser apresentados com duas casas decimais e arredondamento matemático no segundo dígito.</a:t>
          </a:r>
        </a:p>
        <a:p>
          <a:r>
            <a:rPr lang="pt-BR" sz="1000" baseline="0">
              <a:latin typeface="+mn-lt"/>
            </a:rPr>
            <a:t>5. O percentual de BDI é calculado igualmente para todos os postos/serviços e de acordo com o ISS de cada município.</a:t>
          </a:r>
        </a:p>
        <a:p>
          <a:endParaRPr lang="pt-BR" sz="1000">
            <a:latin typeface="+mn-lt"/>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909ABE-E09F-4499-9C0F-0776BF07C234}">
  <sheetPr>
    <tabColor rgb="FFE5F3FF"/>
  </sheetPr>
  <dimension ref="B1:N46"/>
  <sheetViews>
    <sheetView tabSelected="1" zoomScaleNormal="100" workbookViewId="0">
      <selection activeCell="L2" sqref="L2"/>
    </sheetView>
  </sheetViews>
  <sheetFormatPr defaultRowHeight="15" x14ac:dyDescent="0.25"/>
  <cols>
    <col min="1" max="1" width="2" style="242" customWidth="1"/>
    <col min="2" max="2" width="3.140625" style="242" customWidth="1"/>
    <col min="3" max="3" width="12.28515625" style="242" customWidth="1"/>
    <col min="4" max="9" width="9.140625" style="242"/>
    <col min="10" max="10" width="12.140625" style="242" customWidth="1"/>
    <col min="11" max="11" width="3.42578125" style="242" customWidth="1"/>
    <col min="12" max="13" width="9.140625" style="242"/>
    <col min="14" max="14" width="16.42578125" style="242" customWidth="1"/>
    <col min="15" max="15" width="3" style="242" customWidth="1"/>
    <col min="16" max="16384" width="9.140625" style="242"/>
  </cols>
  <sheetData>
    <row r="1" spans="2:10" ht="15.75" thickBot="1" x14ac:dyDescent="0.3"/>
    <row r="2" spans="2:10" x14ac:dyDescent="0.25">
      <c r="B2" s="243"/>
      <c r="C2" s="244"/>
      <c r="D2" s="244"/>
      <c r="E2" s="244"/>
      <c r="F2" s="244"/>
      <c r="G2" s="244"/>
      <c r="H2" s="244"/>
      <c r="I2" s="244"/>
      <c r="J2" s="245"/>
    </row>
    <row r="3" spans="2:10" ht="23.25" x14ac:dyDescent="0.25">
      <c r="B3" s="246"/>
      <c r="F3" s="247"/>
      <c r="J3" s="248"/>
    </row>
    <row r="4" spans="2:10" ht="23.25" x14ac:dyDescent="0.25">
      <c r="B4" s="246"/>
      <c r="F4" s="249"/>
      <c r="J4" s="248"/>
    </row>
    <row r="5" spans="2:10" x14ac:dyDescent="0.25">
      <c r="B5" s="246"/>
      <c r="J5" s="248"/>
    </row>
    <row r="6" spans="2:10" ht="18.75" x14ac:dyDescent="0.3">
      <c r="B6" s="246"/>
      <c r="D6" s="250"/>
      <c r="J6" s="248"/>
    </row>
    <row r="7" spans="2:10" x14ac:dyDescent="0.25">
      <c r="B7" s="246"/>
      <c r="J7" s="248"/>
    </row>
    <row r="8" spans="2:10" x14ac:dyDescent="0.25">
      <c r="B8" s="246"/>
      <c r="J8" s="248"/>
    </row>
    <row r="9" spans="2:10" x14ac:dyDescent="0.25">
      <c r="B9" s="246"/>
      <c r="J9" s="248"/>
    </row>
    <row r="10" spans="2:10" x14ac:dyDescent="0.25">
      <c r="B10" s="246"/>
      <c r="J10" s="248"/>
    </row>
    <row r="11" spans="2:10" x14ac:dyDescent="0.25">
      <c r="B11" s="246"/>
      <c r="J11" s="248"/>
    </row>
    <row r="12" spans="2:10" x14ac:dyDescent="0.25">
      <c r="B12" s="246"/>
      <c r="J12" s="248"/>
    </row>
    <row r="13" spans="2:10" x14ac:dyDescent="0.25">
      <c r="B13" s="246"/>
      <c r="J13" s="248"/>
    </row>
    <row r="14" spans="2:10" x14ac:dyDescent="0.25">
      <c r="B14" s="246"/>
      <c r="J14" s="248"/>
    </row>
    <row r="15" spans="2:10" x14ac:dyDescent="0.25">
      <c r="B15" s="246"/>
      <c r="J15" s="248"/>
    </row>
    <row r="16" spans="2:10" x14ac:dyDescent="0.25">
      <c r="B16" s="246"/>
      <c r="J16" s="248"/>
    </row>
    <row r="17" spans="2:14" x14ac:dyDescent="0.25">
      <c r="B17" s="246"/>
      <c r="C17" s="251"/>
      <c r="J17" s="248"/>
    </row>
    <row r="18" spans="2:14" x14ac:dyDescent="0.25">
      <c r="B18" s="246"/>
      <c r="C18" s="252"/>
      <c r="D18" s="252"/>
      <c r="E18" s="252"/>
      <c r="F18" s="252"/>
      <c r="G18" s="252"/>
      <c r="H18" s="252"/>
      <c r="I18" s="252"/>
      <c r="J18" s="253"/>
      <c r="K18" s="252"/>
      <c r="L18" s="252"/>
      <c r="M18" s="252"/>
      <c r="N18" s="252"/>
    </row>
    <row r="19" spans="2:14" x14ac:dyDescent="0.25">
      <c r="B19" s="246"/>
      <c r="C19" s="254"/>
      <c r="D19" s="254"/>
      <c r="E19" s="254"/>
      <c r="F19" s="254"/>
      <c r="G19" s="254"/>
      <c r="H19" s="254"/>
      <c r="I19" s="254"/>
      <c r="J19" s="255"/>
      <c r="K19" s="254"/>
      <c r="L19" s="254"/>
      <c r="M19" s="254"/>
      <c r="N19" s="254"/>
    </row>
    <row r="20" spans="2:14" x14ac:dyDescent="0.25">
      <c r="B20" s="246"/>
      <c r="C20" s="256"/>
      <c r="D20" s="256"/>
      <c r="E20" s="256"/>
      <c r="F20" s="256"/>
      <c r="G20" s="256"/>
      <c r="H20" s="256"/>
      <c r="I20" s="256"/>
      <c r="J20" s="257"/>
      <c r="K20" s="256"/>
      <c r="L20" s="256"/>
      <c r="M20" s="256"/>
      <c r="N20" s="256"/>
    </row>
    <row r="21" spans="2:14" x14ac:dyDescent="0.25">
      <c r="B21" s="246"/>
      <c r="C21" s="256"/>
      <c r="D21" s="256"/>
      <c r="E21" s="256"/>
      <c r="F21" s="256"/>
      <c r="G21" s="256"/>
      <c r="H21" s="256"/>
      <c r="I21" s="256"/>
      <c r="J21" s="257"/>
      <c r="K21" s="256"/>
      <c r="L21" s="256"/>
      <c r="M21" s="256"/>
      <c r="N21" s="256"/>
    </row>
    <row r="22" spans="2:14" x14ac:dyDescent="0.25">
      <c r="B22" s="246"/>
      <c r="C22" s="256"/>
      <c r="D22" s="256"/>
      <c r="E22" s="256"/>
      <c r="F22" s="256"/>
      <c r="G22" s="256"/>
      <c r="H22" s="256"/>
      <c r="I22" s="256"/>
      <c r="J22" s="257"/>
      <c r="K22" s="256"/>
      <c r="L22" s="256"/>
      <c r="M22" s="256"/>
      <c r="N22" s="256"/>
    </row>
    <row r="23" spans="2:14" x14ac:dyDescent="0.25">
      <c r="B23" s="246"/>
      <c r="C23" s="256"/>
      <c r="D23" s="256"/>
      <c r="E23" s="256"/>
      <c r="F23" s="256"/>
      <c r="G23" s="256"/>
      <c r="H23" s="256"/>
      <c r="I23" s="256"/>
      <c r="J23" s="257"/>
      <c r="K23" s="256"/>
      <c r="L23" s="256"/>
      <c r="M23" s="256"/>
      <c r="N23" s="256"/>
    </row>
    <row r="24" spans="2:14" x14ac:dyDescent="0.25">
      <c r="B24" s="246"/>
      <c r="C24" s="256"/>
      <c r="D24" s="256"/>
      <c r="E24" s="256"/>
      <c r="F24" s="256"/>
      <c r="G24" s="256"/>
      <c r="H24" s="256"/>
      <c r="I24" s="256"/>
      <c r="J24" s="257"/>
      <c r="K24" s="256"/>
      <c r="L24" s="256"/>
      <c r="M24" s="256"/>
      <c r="N24" s="256"/>
    </row>
    <row r="25" spans="2:14" x14ac:dyDescent="0.25">
      <c r="B25" s="246"/>
      <c r="C25" s="256"/>
      <c r="D25" s="256"/>
      <c r="E25" s="256"/>
      <c r="F25" s="256"/>
      <c r="G25" s="256"/>
      <c r="H25" s="256"/>
      <c r="I25" s="256"/>
      <c r="J25" s="257"/>
      <c r="K25" s="256"/>
      <c r="L25" s="256"/>
      <c r="M25" s="256"/>
      <c r="N25" s="256"/>
    </row>
    <row r="26" spans="2:14" ht="34.5" customHeight="1" x14ac:dyDescent="0.25">
      <c r="B26" s="246"/>
      <c r="J26" s="248"/>
    </row>
    <row r="27" spans="2:14" ht="34.5" customHeight="1" x14ac:dyDescent="0.25">
      <c r="B27" s="246"/>
      <c r="J27" s="248"/>
    </row>
    <row r="28" spans="2:14" x14ac:dyDescent="0.25">
      <c r="B28" s="246"/>
      <c r="J28" s="248"/>
    </row>
    <row r="29" spans="2:14" x14ac:dyDescent="0.25">
      <c r="B29" s="246"/>
      <c r="J29" s="248"/>
    </row>
    <row r="30" spans="2:14" x14ac:dyDescent="0.25">
      <c r="B30" s="246"/>
      <c r="J30" s="248"/>
    </row>
    <row r="31" spans="2:14" x14ac:dyDescent="0.25">
      <c r="B31" s="246"/>
      <c r="J31" s="248"/>
    </row>
    <row r="32" spans="2:14" x14ac:dyDescent="0.25">
      <c r="B32" s="246"/>
      <c r="J32" s="248"/>
      <c r="N32" s="303"/>
    </row>
    <row r="33" spans="2:14" x14ac:dyDescent="0.25">
      <c r="B33" s="246"/>
      <c r="J33" s="248"/>
      <c r="N33" s="303"/>
    </row>
    <row r="34" spans="2:14" x14ac:dyDescent="0.25">
      <c r="B34" s="246"/>
      <c r="J34" s="248"/>
      <c r="N34" s="303"/>
    </row>
    <row r="35" spans="2:14" x14ac:dyDescent="0.25">
      <c r="B35" s="246"/>
      <c r="J35" s="248"/>
      <c r="N35" s="303"/>
    </row>
    <row r="36" spans="2:14" x14ac:dyDescent="0.25">
      <c r="B36" s="246"/>
      <c r="J36" s="248"/>
      <c r="N36" s="303"/>
    </row>
    <row r="37" spans="2:14" x14ac:dyDescent="0.25">
      <c r="B37" s="246"/>
      <c r="J37" s="248"/>
      <c r="N37" s="303"/>
    </row>
    <row r="38" spans="2:14" x14ac:dyDescent="0.25">
      <c r="B38" s="246"/>
      <c r="J38" s="248"/>
      <c r="N38" s="303"/>
    </row>
    <row r="39" spans="2:14" x14ac:dyDescent="0.25">
      <c r="B39" s="246"/>
      <c r="J39" s="248"/>
      <c r="N39" s="303"/>
    </row>
    <row r="40" spans="2:14" x14ac:dyDescent="0.25">
      <c r="B40" s="246"/>
      <c r="J40" s="248"/>
    </row>
    <row r="41" spans="2:14" x14ac:dyDescent="0.25">
      <c r="B41" s="246"/>
      <c r="J41" s="248"/>
    </row>
    <row r="42" spans="2:14" x14ac:dyDescent="0.25">
      <c r="B42" s="246"/>
      <c r="J42" s="248"/>
    </row>
    <row r="43" spans="2:14" x14ac:dyDescent="0.25">
      <c r="B43" s="246"/>
      <c r="J43" s="248"/>
    </row>
    <row r="44" spans="2:14" x14ac:dyDescent="0.25">
      <c r="B44" s="246"/>
      <c r="J44" s="248"/>
    </row>
    <row r="45" spans="2:14" x14ac:dyDescent="0.25">
      <c r="B45" s="246"/>
      <c r="J45" s="248"/>
    </row>
    <row r="46" spans="2:14" ht="15.75" thickBot="1" x14ac:dyDescent="0.3">
      <c r="B46" s="258"/>
      <c r="C46" s="259"/>
      <c r="D46" s="259"/>
      <c r="E46" s="259"/>
      <c r="F46" s="259"/>
      <c r="G46" s="259"/>
      <c r="H46" s="259"/>
      <c r="I46" s="259"/>
      <c r="J46" s="260"/>
    </row>
  </sheetData>
  <printOptions horizontalCentered="1"/>
  <pageMargins left="0.51181102362204722" right="0.51181102362204722" top="0.86614173228346458" bottom="0.59055118110236227" header="0.31496062992125984" footer="0.31496062992125984"/>
  <pageSetup paperSize="9" scale="97" firstPageNumber="207" orientation="portrait" useFirstPageNumber="1" r:id="rId1"/>
  <headerFooter>
    <oddHeader>&amp;C&amp;"-,Negrito"&amp;20ANEXO VI&amp;14
Planilha de Composição de Custos (Mão de Obra Residente)</oddHeader>
    <oddFooter>&amp;C&amp;P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J23"/>
  <sheetViews>
    <sheetView workbookViewId="0">
      <selection activeCell="J2" sqref="J2"/>
    </sheetView>
  </sheetViews>
  <sheetFormatPr defaultColWidth="9.140625" defaultRowHeight="12" x14ac:dyDescent="0.2"/>
  <cols>
    <col min="1" max="1" width="23.5703125" style="7" customWidth="1"/>
    <col min="2" max="2" width="34.85546875" style="7" customWidth="1"/>
    <col min="3" max="3" width="18.42578125" style="7" customWidth="1"/>
    <col min="4" max="4" width="10.85546875" style="7" customWidth="1"/>
    <col min="5" max="5" width="16" style="7" customWidth="1"/>
    <col min="6" max="6" width="8.140625" style="7" customWidth="1"/>
    <col min="7" max="7" width="5.85546875" style="7" customWidth="1"/>
    <col min="8" max="8" width="6.5703125" style="7" customWidth="1"/>
    <col min="9" max="16384" width="9.140625" style="7"/>
  </cols>
  <sheetData>
    <row r="1" spans="1:10" ht="24.75" customHeight="1" x14ac:dyDescent="0.2">
      <c r="A1" s="314" t="s">
        <v>0</v>
      </c>
      <c r="B1" s="315"/>
      <c r="C1" s="315"/>
      <c r="D1" s="315"/>
      <c r="E1" s="315"/>
      <c r="F1" s="315"/>
      <c r="G1" s="315"/>
      <c r="H1" s="316"/>
      <c r="I1" s="6"/>
    </row>
    <row r="2" spans="1:10" ht="24" customHeight="1" x14ac:dyDescent="0.2">
      <c r="A2" s="8" t="s">
        <v>1</v>
      </c>
      <c r="B2" s="304"/>
      <c r="C2" s="306"/>
      <c r="D2" s="307" t="s">
        <v>2</v>
      </c>
      <c r="E2" s="308"/>
      <c r="F2" s="304"/>
      <c r="G2" s="305"/>
      <c r="H2" s="306"/>
      <c r="I2" s="6"/>
      <c r="J2" s="9" t="s">
        <v>3</v>
      </c>
    </row>
    <row r="3" spans="1:10" ht="18.75" customHeight="1" x14ac:dyDescent="0.2">
      <c r="A3" s="324" t="s">
        <v>4</v>
      </c>
      <c r="B3" s="324"/>
      <c r="C3" s="324"/>
      <c r="D3" s="324"/>
      <c r="E3" s="324"/>
      <c r="F3" s="324"/>
      <c r="G3" s="324"/>
      <c r="H3" s="324"/>
      <c r="I3" s="6"/>
      <c r="J3" s="9" t="s">
        <v>5</v>
      </c>
    </row>
    <row r="4" spans="1:10" ht="18" customHeight="1" x14ac:dyDescent="0.2">
      <c r="A4" s="10" t="s">
        <v>6</v>
      </c>
      <c r="B4" s="304"/>
      <c r="C4" s="305"/>
      <c r="D4" s="305"/>
      <c r="E4" s="305"/>
      <c r="F4" s="305"/>
      <c r="G4" s="305"/>
      <c r="H4" s="306"/>
      <c r="I4" s="6"/>
    </row>
    <row r="5" spans="1:10" ht="18" customHeight="1" x14ac:dyDescent="0.2">
      <c r="A5" s="10" t="s">
        <v>7</v>
      </c>
      <c r="B5" s="304"/>
      <c r="C5" s="305"/>
      <c r="D5" s="305"/>
      <c r="E5" s="305"/>
      <c r="F5" s="305"/>
      <c r="G5" s="305"/>
      <c r="H5" s="306"/>
      <c r="I5" s="6"/>
    </row>
    <row r="6" spans="1:10" ht="18" customHeight="1" x14ac:dyDescent="0.2">
      <c r="A6" s="10" t="s">
        <v>8</v>
      </c>
      <c r="B6" s="304"/>
      <c r="C6" s="305"/>
      <c r="D6" s="305"/>
      <c r="E6" s="305"/>
      <c r="F6" s="305"/>
      <c r="G6" s="305"/>
      <c r="H6" s="306"/>
      <c r="I6" s="6"/>
    </row>
    <row r="7" spans="1:10" ht="18" customHeight="1" x14ac:dyDescent="0.2">
      <c r="A7" s="10" t="s">
        <v>9</v>
      </c>
      <c r="B7" s="304"/>
      <c r="C7" s="306"/>
      <c r="D7" s="11" t="s">
        <v>10</v>
      </c>
      <c r="E7" s="304"/>
      <c r="F7" s="306"/>
      <c r="G7" s="12" t="s">
        <v>11</v>
      </c>
      <c r="H7" s="13"/>
      <c r="I7" s="6"/>
    </row>
    <row r="8" spans="1:10" ht="18" customHeight="1" x14ac:dyDescent="0.2">
      <c r="A8" s="10" t="s">
        <v>12</v>
      </c>
      <c r="B8" s="100"/>
      <c r="C8" s="14" t="s">
        <v>13</v>
      </c>
      <c r="D8" s="309"/>
      <c r="E8" s="310"/>
      <c r="F8" s="310"/>
      <c r="G8" s="310"/>
      <c r="H8" s="311"/>
      <c r="I8" s="6"/>
    </row>
    <row r="9" spans="1:10" ht="24.75" customHeight="1" x14ac:dyDescent="0.2">
      <c r="A9" s="10" t="s">
        <v>14</v>
      </c>
      <c r="B9" s="304"/>
      <c r="C9" s="305"/>
      <c r="D9" s="305"/>
      <c r="E9" s="305"/>
      <c r="F9" s="305"/>
      <c r="G9" s="305"/>
      <c r="H9" s="306"/>
      <c r="I9" s="6"/>
    </row>
    <row r="10" spans="1:10" ht="21.75" customHeight="1" x14ac:dyDescent="0.2">
      <c r="A10" s="324" t="s">
        <v>15</v>
      </c>
      <c r="B10" s="324"/>
      <c r="C10" s="324"/>
      <c r="D10" s="324"/>
      <c r="E10" s="324"/>
      <c r="F10" s="324"/>
      <c r="G10" s="324"/>
      <c r="H10" s="324"/>
      <c r="I10" s="6"/>
    </row>
    <row r="11" spans="1:10" ht="36" x14ac:dyDescent="0.2">
      <c r="A11" s="312" t="s">
        <v>16</v>
      </c>
      <c r="B11" s="312" t="s">
        <v>17</v>
      </c>
      <c r="C11" s="312" t="s">
        <v>14</v>
      </c>
      <c r="D11" s="312"/>
      <c r="E11" s="312" t="s">
        <v>13</v>
      </c>
      <c r="F11" s="102" t="s">
        <v>18</v>
      </c>
      <c r="G11" s="313" t="s">
        <v>19</v>
      </c>
      <c r="H11" s="313"/>
      <c r="I11" s="6"/>
    </row>
    <row r="12" spans="1:10" x14ac:dyDescent="0.2">
      <c r="A12" s="312"/>
      <c r="B12" s="312"/>
      <c r="C12" s="312"/>
      <c r="D12" s="312"/>
      <c r="E12" s="312"/>
      <c r="F12" s="104" t="s">
        <v>20</v>
      </c>
      <c r="G12" s="325" t="s">
        <v>20</v>
      </c>
      <c r="H12" s="325"/>
      <c r="I12" s="6"/>
    </row>
    <row r="13" spans="1:10" ht="34.5" customHeight="1" x14ac:dyDescent="0.2">
      <c r="A13" s="13"/>
      <c r="B13" s="13"/>
      <c r="C13" s="304"/>
      <c r="D13" s="306"/>
      <c r="E13" s="13"/>
      <c r="F13" s="15"/>
      <c r="G13" s="322"/>
      <c r="H13" s="323"/>
      <c r="I13" s="6"/>
    </row>
    <row r="14" spans="1:10" ht="34.5" customHeight="1" x14ac:dyDescent="0.2">
      <c r="A14" s="13"/>
      <c r="B14" s="13"/>
      <c r="C14" s="304"/>
      <c r="D14" s="306"/>
      <c r="E14" s="13"/>
      <c r="F14" s="15"/>
      <c r="G14" s="322"/>
      <c r="H14" s="323"/>
      <c r="I14" s="6"/>
    </row>
    <row r="15" spans="1:10" ht="34.5" customHeight="1" x14ac:dyDescent="0.2">
      <c r="A15" s="13"/>
      <c r="B15" s="13"/>
      <c r="C15" s="304"/>
      <c r="D15" s="306"/>
      <c r="E15" s="13"/>
      <c r="F15" s="15"/>
      <c r="G15" s="322"/>
      <c r="H15" s="323"/>
      <c r="I15" s="6"/>
    </row>
    <row r="16" spans="1:10" ht="34.5" customHeight="1" x14ac:dyDescent="0.2">
      <c r="A16" s="13"/>
      <c r="B16" s="13"/>
      <c r="C16" s="304"/>
      <c r="D16" s="306"/>
      <c r="E16" s="13"/>
      <c r="F16" s="15"/>
      <c r="G16" s="322"/>
      <c r="H16" s="323"/>
      <c r="I16" s="6"/>
    </row>
    <row r="17" spans="1:9" ht="34.5" customHeight="1" x14ac:dyDescent="0.2">
      <c r="A17" s="13"/>
      <c r="B17" s="13"/>
      <c r="C17" s="304"/>
      <c r="D17" s="306"/>
      <c r="E17" s="13"/>
      <c r="F17" s="15"/>
      <c r="G17" s="322"/>
      <c r="H17" s="323"/>
      <c r="I17" s="6"/>
    </row>
    <row r="18" spans="1:9" ht="34.5" customHeight="1" x14ac:dyDescent="0.2">
      <c r="A18" s="13"/>
      <c r="B18" s="13"/>
      <c r="C18" s="304"/>
      <c r="D18" s="306"/>
      <c r="E18" s="13"/>
      <c r="F18" s="15"/>
      <c r="G18" s="322"/>
      <c r="H18" s="323"/>
      <c r="I18" s="6"/>
    </row>
    <row r="19" spans="1:9" ht="24.75" customHeight="1" x14ac:dyDescent="0.2">
      <c r="A19" s="318"/>
      <c r="B19" s="319"/>
      <c r="C19" s="319"/>
      <c r="D19" s="319"/>
      <c r="E19" s="319"/>
      <c r="F19" s="319"/>
      <c r="G19" s="319"/>
      <c r="H19" s="320"/>
      <c r="I19" s="6"/>
    </row>
    <row r="20" spans="1:9" ht="39" customHeight="1" x14ac:dyDescent="0.2">
      <c r="A20" s="321"/>
      <c r="B20" s="321"/>
      <c r="C20" s="321"/>
      <c r="D20" s="321"/>
      <c r="E20" s="321"/>
      <c r="F20" s="321"/>
      <c r="G20" s="321"/>
      <c r="H20" s="321"/>
      <c r="I20" s="6"/>
    </row>
    <row r="21" spans="1:9" ht="19.5" customHeight="1" x14ac:dyDescent="0.2">
      <c r="A21" s="101" t="s">
        <v>21</v>
      </c>
      <c r="B21" s="101" t="s">
        <v>22</v>
      </c>
      <c r="C21" s="312" t="s">
        <v>23</v>
      </c>
      <c r="D21" s="312"/>
      <c r="E21" s="312"/>
      <c r="F21" s="312"/>
      <c r="G21" s="312"/>
      <c r="H21" s="312"/>
      <c r="I21" s="6"/>
    </row>
    <row r="22" spans="1:9" ht="29.25" customHeight="1" x14ac:dyDescent="0.2">
      <c r="A22" s="103"/>
      <c r="B22" s="16"/>
      <c r="C22" s="317"/>
      <c r="D22" s="317"/>
      <c r="E22" s="317"/>
      <c r="F22" s="317"/>
      <c r="G22" s="317"/>
      <c r="H22" s="317"/>
      <c r="I22" s="6"/>
    </row>
    <row r="23" spans="1:9" x14ac:dyDescent="0.2">
      <c r="A23" s="17"/>
      <c r="B23" s="17"/>
      <c r="C23" s="17"/>
      <c r="D23" s="17"/>
      <c r="E23" s="17"/>
      <c r="F23" s="17"/>
      <c r="G23" s="17"/>
      <c r="H23" s="17"/>
    </row>
  </sheetData>
  <sheetProtection algorithmName="SHA-512" hashValue="fRlTm68PHr+Ownji3Ksxs4DyhPvvQpolgd4j+jJOv8EzP2iwvVynXGdmKFuvfTWaS60q4049r+ySJPU5AFN1iA==" saltValue="5ncFtVz8WTkOlJ0rumVjyg==" spinCount="100000" sheet="1" objects="1" scenarios="1"/>
  <mergeCells count="35">
    <mergeCell ref="G15:H15"/>
    <mergeCell ref="C16:D16"/>
    <mergeCell ref="G16:H16"/>
    <mergeCell ref="G12:H12"/>
    <mergeCell ref="C13:D13"/>
    <mergeCell ref="G13:H13"/>
    <mergeCell ref="C14:D14"/>
    <mergeCell ref="A1:H1"/>
    <mergeCell ref="E7:F7"/>
    <mergeCell ref="B2:C2"/>
    <mergeCell ref="C21:H21"/>
    <mergeCell ref="C22:H22"/>
    <mergeCell ref="A19:H19"/>
    <mergeCell ref="A20:H20"/>
    <mergeCell ref="C17:D17"/>
    <mergeCell ref="G17:H17"/>
    <mergeCell ref="C18:D18"/>
    <mergeCell ref="G18:H18"/>
    <mergeCell ref="C15:D15"/>
    <mergeCell ref="A3:H3"/>
    <mergeCell ref="F2:H2"/>
    <mergeCell ref="G14:H14"/>
    <mergeCell ref="A10:H10"/>
    <mergeCell ref="A11:A12"/>
    <mergeCell ref="B11:B12"/>
    <mergeCell ref="C11:D12"/>
    <mergeCell ref="E11:E12"/>
    <mergeCell ref="G11:H11"/>
    <mergeCell ref="B9:H9"/>
    <mergeCell ref="B7:C7"/>
    <mergeCell ref="D2:E2"/>
    <mergeCell ref="D8:H8"/>
    <mergeCell ref="B4:H4"/>
    <mergeCell ref="B5:H5"/>
    <mergeCell ref="B6:H6"/>
  </mergeCells>
  <dataValidations count="1">
    <dataValidation type="list" allowBlank="1" showInputMessage="1" showErrorMessage="1" sqref="F13:H18" xr:uid="{00000000-0002-0000-0000-000000000000}">
      <formula1>$J$1:$J$3</formula1>
    </dataValidation>
  </dataValidations>
  <printOptions horizontalCentered="1"/>
  <pageMargins left="0.51181102362204722" right="0.19685039370078741" top="0.98425196850393704" bottom="0.78740157480314965" header="0.31496062992125984" footer="0.31496062992125984"/>
  <pageSetup paperSize="9" scale="75" orientation="portrait" r:id="rId1"/>
  <headerFooter>
    <oddHeader>&amp;C&amp;"-,Negrito"PLANILHA DE COMPOSIÇÃO DE CUSTOS
DADOS CADASTRAIS</oddHead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T178"/>
  <sheetViews>
    <sheetView showGridLines="0" topLeftCell="A94" zoomScaleNormal="100" workbookViewId="0">
      <selection activeCell="A7" sqref="A7:E7"/>
    </sheetView>
  </sheetViews>
  <sheetFormatPr defaultColWidth="9.140625" defaultRowHeight="15" customHeight="1" x14ac:dyDescent="0.2"/>
  <cols>
    <col min="1" max="1" width="7.140625" style="52" customWidth="1"/>
    <col min="2" max="3" width="14.85546875" style="52" customWidth="1"/>
    <col min="4" max="4" width="11.42578125" style="52" customWidth="1"/>
    <col min="5" max="5" width="15.42578125" style="52" customWidth="1"/>
    <col min="6" max="8" width="11.42578125" style="52" customWidth="1"/>
    <col min="9" max="9" width="12" style="52" customWidth="1"/>
    <col min="10" max="10" width="15.5703125" style="52" customWidth="1"/>
    <col min="11" max="11" width="11.28515625" style="7" bestFit="1" customWidth="1"/>
    <col min="12" max="12" width="12.140625" style="7" bestFit="1" customWidth="1"/>
    <col min="13" max="13" width="15.140625" style="35" customWidth="1"/>
    <col min="14" max="14" width="9.42578125" style="35" customWidth="1"/>
    <col min="15" max="15" width="2.42578125" style="7" customWidth="1"/>
    <col min="16" max="16" width="10.5703125" style="7" bestFit="1" customWidth="1"/>
    <col min="17" max="16384" width="9.140625" style="7"/>
  </cols>
  <sheetData>
    <row r="1" spans="1:20" ht="15" customHeight="1" x14ac:dyDescent="0.2">
      <c r="A1" s="367" t="s">
        <v>24</v>
      </c>
      <c r="B1" s="367"/>
      <c r="C1" s="367"/>
      <c r="D1" s="367"/>
      <c r="E1" s="367"/>
      <c r="F1" s="367"/>
      <c r="G1" s="367"/>
      <c r="H1" s="367"/>
      <c r="I1" s="367"/>
      <c r="J1" s="367"/>
      <c r="L1" s="56"/>
      <c r="M1" s="33" t="s">
        <v>5</v>
      </c>
      <c r="N1" s="33" t="s">
        <v>25</v>
      </c>
      <c r="O1" s="9"/>
      <c r="P1" s="9"/>
      <c r="Q1" s="9"/>
      <c r="R1" s="9"/>
      <c r="S1" s="56"/>
      <c r="T1" s="56"/>
    </row>
    <row r="2" spans="1:20" ht="13.9" customHeight="1" x14ac:dyDescent="0.2">
      <c r="A2" s="362" t="s">
        <v>6</v>
      </c>
      <c r="B2" s="362"/>
      <c r="C2" s="362"/>
      <c r="D2" s="362"/>
      <c r="E2" s="362"/>
      <c r="F2" s="369" t="str">
        <f>IF('Dados Cadastrais'!B4=0,"",'Dados Cadastrais'!B4)</f>
        <v/>
      </c>
      <c r="G2" s="369"/>
      <c r="H2" s="369"/>
      <c r="I2" s="369"/>
      <c r="J2" s="369"/>
      <c r="K2" s="6"/>
      <c r="L2" s="56"/>
      <c r="M2" s="9" t="s">
        <v>3</v>
      </c>
      <c r="N2" s="33" t="s">
        <v>26</v>
      </c>
      <c r="O2" s="9"/>
      <c r="P2" s="9"/>
      <c r="Q2" s="9"/>
      <c r="R2" s="9"/>
      <c r="S2" s="56"/>
      <c r="T2" s="56"/>
    </row>
    <row r="3" spans="1:20" ht="13.9" customHeight="1" x14ac:dyDescent="0.2">
      <c r="A3" s="362" t="s">
        <v>7</v>
      </c>
      <c r="B3" s="362"/>
      <c r="C3" s="362"/>
      <c r="D3" s="362"/>
      <c r="E3" s="362"/>
      <c r="F3" s="369" t="str">
        <f>IF('Dados Cadastrais'!B5=0,"",'Dados Cadastrais'!B5)</f>
        <v/>
      </c>
      <c r="G3" s="369"/>
      <c r="H3" s="369"/>
      <c r="I3" s="369"/>
      <c r="J3" s="369"/>
      <c r="K3" s="6"/>
      <c r="L3" s="56"/>
      <c r="M3" s="9"/>
      <c r="N3" s="33" t="s">
        <v>27</v>
      </c>
      <c r="O3" s="9"/>
      <c r="P3" s="9"/>
      <c r="Q3" s="9"/>
      <c r="R3" s="9"/>
      <c r="S3" s="56"/>
      <c r="T3" s="56"/>
    </row>
    <row r="4" spans="1:20" ht="12" x14ac:dyDescent="0.2">
      <c r="A4" s="362" t="s">
        <v>28</v>
      </c>
      <c r="B4" s="362"/>
      <c r="C4" s="362"/>
      <c r="D4" s="362"/>
      <c r="E4" s="362"/>
      <c r="F4" s="356"/>
      <c r="G4" s="357"/>
      <c r="H4" s="357"/>
      <c r="I4" s="357"/>
      <c r="J4" s="358"/>
      <c r="K4" s="6"/>
      <c r="L4" s="56"/>
      <c r="M4" s="56"/>
      <c r="N4" s="57"/>
      <c r="O4" s="56"/>
      <c r="P4" s="56"/>
      <c r="Q4" s="56"/>
      <c r="R4" s="56"/>
      <c r="S4" s="56"/>
      <c r="T4" s="56"/>
    </row>
    <row r="5" spans="1:20" ht="13.9" customHeight="1" x14ac:dyDescent="0.2">
      <c r="A5" s="362" t="s">
        <v>29</v>
      </c>
      <c r="B5" s="362"/>
      <c r="C5" s="362"/>
      <c r="D5" s="362"/>
      <c r="E5" s="362"/>
      <c r="F5" s="364"/>
      <c r="G5" s="357"/>
      <c r="H5" s="357"/>
      <c r="I5" s="357"/>
      <c r="J5" s="358"/>
      <c r="K5" s="6"/>
      <c r="L5" s="56"/>
      <c r="M5" s="56"/>
      <c r="N5" s="57"/>
      <c r="O5" s="56"/>
      <c r="P5" s="56"/>
      <c r="Q5" s="56"/>
      <c r="R5" s="56"/>
      <c r="S5" s="56"/>
      <c r="T5" s="56"/>
    </row>
    <row r="6" spans="1:20" ht="13.9" customHeight="1" x14ac:dyDescent="0.2">
      <c r="A6" s="368" t="s">
        <v>30</v>
      </c>
      <c r="B6" s="368"/>
      <c r="C6" s="368"/>
      <c r="D6" s="368"/>
      <c r="E6" s="368"/>
      <c r="F6" s="31" t="s">
        <v>3</v>
      </c>
      <c r="G6" s="370"/>
      <c r="H6" s="370"/>
      <c r="I6" s="370"/>
      <c r="J6" s="370"/>
      <c r="K6" s="34"/>
      <c r="L6" s="56"/>
      <c r="M6" s="56"/>
      <c r="N6" s="57"/>
      <c r="O6" s="56"/>
      <c r="P6" s="56"/>
      <c r="Q6" s="56"/>
      <c r="R6" s="56"/>
      <c r="S6" s="56"/>
      <c r="T6" s="56"/>
    </row>
    <row r="7" spans="1:20" ht="13.9" customHeight="1" x14ac:dyDescent="0.2">
      <c r="A7" s="362" t="s">
        <v>31</v>
      </c>
      <c r="B7" s="362"/>
      <c r="C7" s="362"/>
      <c r="D7" s="362"/>
      <c r="E7" s="362"/>
      <c r="F7" s="359" t="s">
        <v>25</v>
      </c>
      <c r="G7" s="360"/>
      <c r="H7" s="360"/>
      <c r="I7" s="360"/>
      <c r="J7" s="361"/>
      <c r="K7" s="34"/>
      <c r="L7" s="56"/>
      <c r="M7" s="56"/>
      <c r="N7" s="56"/>
      <c r="O7" s="56"/>
      <c r="P7" s="56"/>
      <c r="Q7" s="56"/>
      <c r="R7" s="56"/>
      <c r="S7" s="56"/>
      <c r="T7" s="56"/>
    </row>
    <row r="8" spans="1:20" ht="13.9" customHeight="1" x14ac:dyDescent="0.2">
      <c r="A8" s="362" t="s">
        <v>32</v>
      </c>
      <c r="B8" s="362"/>
      <c r="C8" s="362"/>
      <c r="D8" s="362"/>
      <c r="E8" s="362"/>
      <c r="F8" s="364"/>
      <c r="G8" s="357"/>
      <c r="H8" s="357"/>
      <c r="I8" s="357"/>
      <c r="J8" s="358"/>
      <c r="K8" s="6"/>
      <c r="L8" s="56"/>
      <c r="M8" s="56"/>
      <c r="N8" s="56"/>
      <c r="O8" s="56"/>
      <c r="P8" s="56"/>
      <c r="Q8" s="56"/>
      <c r="R8" s="56"/>
      <c r="S8" s="56"/>
      <c r="T8" s="56"/>
    </row>
    <row r="9" spans="1:20" ht="13.9" customHeight="1" x14ac:dyDescent="0.2">
      <c r="A9" s="362" t="s">
        <v>33</v>
      </c>
      <c r="B9" s="362"/>
      <c r="C9" s="362"/>
      <c r="D9" s="362"/>
      <c r="E9" s="362"/>
      <c r="F9" s="364"/>
      <c r="G9" s="365"/>
      <c r="H9" s="365"/>
      <c r="I9" s="365"/>
      <c r="J9" s="366"/>
      <c r="K9" s="6"/>
      <c r="L9" s="56"/>
      <c r="M9" s="56"/>
      <c r="N9" s="56"/>
      <c r="O9" s="56"/>
      <c r="P9" s="56"/>
      <c r="Q9" s="56"/>
      <c r="R9" s="56"/>
      <c r="S9" s="56"/>
      <c r="T9" s="56"/>
    </row>
    <row r="10" spans="1:20" ht="13.9" customHeight="1" x14ac:dyDescent="0.2">
      <c r="A10" s="362" t="s">
        <v>34</v>
      </c>
      <c r="B10" s="362"/>
      <c r="C10" s="362"/>
      <c r="D10" s="362"/>
      <c r="E10" s="362"/>
      <c r="F10" s="364"/>
      <c r="G10" s="365"/>
      <c r="H10" s="365"/>
      <c r="I10" s="365"/>
      <c r="J10" s="366"/>
      <c r="K10" s="6"/>
      <c r="L10" s="56"/>
      <c r="M10" s="56"/>
      <c r="N10" s="56"/>
      <c r="O10" s="56"/>
      <c r="P10" s="56"/>
      <c r="Q10" s="56"/>
      <c r="R10" s="56"/>
      <c r="S10" s="56"/>
      <c r="T10" s="56"/>
    </row>
    <row r="11" spans="1:20" ht="13.9" customHeight="1" x14ac:dyDescent="0.2">
      <c r="A11" s="362" t="s">
        <v>35</v>
      </c>
      <c r="B11" s="362"/>
      <c r="C11" s="362"/>
      <c r="D11" s="362"/>
      <c r="E11" s="362"/>
      <c r="F11" s="364"/>
      <c r="G11" s="365"/>
      <c r="H11" s="365"/>
      <c r="I11" s="365"/>
      <c r="J11" s="366"/>
      <c r="K11" s="6"/>
      <c r="L11" s="56"/>
      <c r="M11" s="56"/>
      <c r="N11" s="56"/>
      <c r="O11" s="56"/>
      <c r="P11" s="56"/>
      <c r="Q11" s="56"/>
      <c r="R11" s="56"/>
      <c r="S11" s="56"/>
      <c r="T11" s="56"/>
    </row>
    <row r="12" spans="1:20" ht="13.9" customHeight="1" x14ac:dyDescent="0.2">
      <c r="A12" s="362" t="s">
        <v>36</v>
      </c>
      <c r="B12" s="362"/>
      <c r="C12" s="362"/>
      <c r="D12" s="362"/>
      <c r="E12" s="362"/>
      <c r="F12" s="364"/>
      <c r="G12" s="365"/>
      <c r="H12" s="365"/>
      <c r="I12" s="365"/>
      <c r="J12" s="366"/>
      <c r="K12" s="6"/>
      <c r="L12" s="56"/>
      <c r="M12" s="56"/>
      <c r="N12" s="56"/>
      <c r="O12" s="56"/>
      <c r="P12" s="56"/>
      <c r="Q12" s="56"/>
      <c r="R12" s="56"/>
      <c r="S12" s="56"/>
      <c r="T12" s="56"/>
    </row>
    <row r="13" spans="1:20" ht="13.9" customHeight="1" x14ac:dyDescent="0.2">
      <c r="A13" s="362" t="s">
        <v>37</v>
      </c>
      <c r="B13" s="362"/>
      <c r="C13" s="362"/>
      <c r="D13" s="362"/>
      <c r="E13" s="362"/>
      <c r="F13" s="364"/>
      <c r="G13" s="365"/>
      <c r="H13" s="365"/>
      <c r="I13" s="365"/>
      <c r="J13" s="366"/>
      <c r="K13" s="6"/>
      <c r="L13" s="56"/>
      <c r="M13" s="56"/>
      <c r="N13" s="56"/>
      <c r="O13" s="56"/>
      <c r="P13" s="56"/>
      <c r="Q13" s="56"/>
      <c r="R13" s="56"/>
      <c r="S13" s="56"/>
      <c r="T13" s="56"/>
    </row>
    <row r="14" spans="1:20" ht="13.9" customHeight="1" x14ac:dyDescent="0.2">
      <c r="A14" s="362" t="s">
        <v>38</v>
      </c>
      <c r="B14" s="362"/>
      <c r="C14" s="362"/>
      <c r="D14" s="362"/>
      <c r="E14" s="362"/>
      <c r="F14" s="65">
        <v>30</v>
      </c>
      <c r="G14" s="363" t="s">
        <v>39</v>
      </c>
      <c r="H14" s="363"/>
      <c r="I14" s="363"/>
      <c r="J14" s="363"/>
      <c r="K14" s="6"/>
      <c r="L14" s="56"/>
      <c r="M14" s="56"/>
      <c r="N14" s="56"/>
      <c r="O14" s="56"/>
      <c r="P14" s="56"/>
      <c r="Q14" s="56"/>
      <c r="R14" s="56"/>
      <c r="S14" s="56"/>
      <c r="T14" s="56"/>
    </row>
    <row r="15" spans="1:20" ht="7.15" customHeight="1" x14ac:dyDescent="0.2">
      <c r="A15" s="36"/>
      <c r="B15" s="36"/>
      <c r="C15" s="36"/>
      <c r="D15" s="36"/>
      <c r="E15" s="36"/>
      <c r="F15" s="36"/>
      <c r="G15" s="36"/>
      <c r="H15" s="36"/>
      <c r="I15" s="36"/>
      <c r="J15" s="36"/>
      <c r="K15" s="6"/>
    </row>
    <row r="16" spans="1:20" ht="12" x14ac:dyDescent="0.2">
      <c r="A16" s="330" t="s">
        <v>40</v>
      </c>
      <c r="B16" s="330"/>
      <c r="C16" s="330"/>
      <c r="D16" s="330"/>
      <c r="E16" s="330"/>
      <c r="F16" s="330"/>
      <c r="G16" s="330"/>
      <c r="H16" s="330"/>
      <c r="I16" s="330"/>
      <c r="J16" s="37" t="s">
        <v>41</v>
      </c>
      <c r="K16" s="6"/>
    </row>
    <row r="17" spans="1:11" ht="12" x14ac:dyDescent="0.2">
      <c r="A17" s="38">
        <v>1</v>
      </c>
      <c r="B17" s="331" t="s">
        <v>42</v>
      </c>
      <c r="C17" s="332"/>
      <c r="D17" s="332"/>
      <c r="E17" s="332"/>
      <c r="F17" s="332"/>
      <c r="G17" s="332"/>
      <c r="H17" s="332"/>
      <c r="I17" s="333"/>
      <c r="J17" s="1">
        <v>0.2</v>
      </c>
      <c r="K17" s="6"/>
    </row>
    <row r="18" spans="1:11" ht="12" x14ac:dyDescent="0.2">
      <c r="A18" s="38">
        <v>2</v>
      </c>
      <c r="B18" s="331" t="s">
        <v>43</v>
      </c>
      <c r="C18" s="332"/>
      <c r="D18" s="332"/>
      <c r="E18" s="332"/>
      <c r="F18" s="332"/>
      <c r="G18" s="332"/>
      <c r="H18" s="332"/>
      <c r="I18" s="333"/>
      <c r="J18" s="1">
        <f>IF($F$7="Simples Nacional",0,IF($F$7&lt;&gt;"",1.5%,"Informar regime tributário"))</f>
        <v>1.4999999999999999E-2</v>
      </c>
      <c r="K18" s="6"/>
    </row>
    <row r="19" spans="1:11" ht="12" x14ac:dyDescent="0.2">
      <c r="A19" s="38">
        <v>3</v>
      </c>
      <c r="B19" s="331" t="s">
        <v>44</v>
      </c>
      <c r="C19" s="332"/>
      <c r="D19" s="332"/>
      <c r="E19" s="332"/>
      <c r="F19" s="332"/>
      <c r="G19" s="332"/>
      <c r="H19" s="332"/>
      <c r="I19" s="333"/>
      <c r="J19" s="1">
        <f>IF($F$7="Simples Nacional",0,IF($F$7&lt;&gt;"",1%,"Informar regime tributário"))</f>
        <v>0.01</v>
      </c>
      <c r="K19" s="6"/>
    </row>
    <row r="20" spans="1:11" ht="12" x14ac:dyDescent="0.2">
      <c r="A20" s="38">
        <v>4</v>
      </c>
      <c r="B20" s="331" t="s">
        <v>45</v>
      </c>
      <c r="C20" s="332"/>
      <c r="D20" s="332"/>
      <c r="E20" s="332"/>
      <c r="F20" s="332"/>
      <c r="G20" s="332"/>
      <c r="H20" s="332"/>
      <c r="I20" s="333"/>
      <c r="J20" s="1">
        <f>IF($F$7="Simples Nacional",0,IF($F$7&lt;&gt;"",0.2%,"Informar regime tributário"))</f>
        <v>2E-3</v>
      </c>
      <c r="K20" s="6"/>
    </row>
    <row r="21" spans="1:11" ht="12" x14ac:dyDescent="0.2">
      <c r="A21" s="38">
        <v>5</v>
      </c>
      <c r="B21" s="331" t="s">
        <v>46</v>
      </c>
      <c r="C21" s="332"/>
      <c r="D21" s="332"/>
      <c r="E21" s="332"/>
      <c r="F21" s="332"/>
      <c r="G21" s="332"/>
      <c r="H21" s="332"/>
      <c r="I21" s="333"/>
      <c r="J21" s="1">
        <f>IF($F$7="Simples Nacional",0,IF($F$7&lt;&gt;"",2.5%,"Informar regime tributário"))</f>
        <v>2.5000000000000001E-2</v>
      </c>
      <c r="K21" s="6"/>
    </row>
    <row r="22" spans="1:11" ht="12" x14ac:dyDescent="0.2">
      <c r="A22" s="38">
        <v>6</v>
      </c>
      <c r="B22" s="331" t="s">
        <v>47</v>
      </c>
      <c r="C22" s="332"/>
      <c r="D22" s="332"/>
      <c r="E22" s="332"/>
      <c r="F22" s="332"/>
      <c r="G22" s="332"/>
      <c r="H22" s="332"/>
      <c r="I22" s="333"/>
      <c r="J22" s="1">
        <v>0.08</v>
      </c>
      <c r="K22" s="6"/>
    </row>
    <row r="23" spans="1:11" ht="12" x14ac:dyDescent="0.2">
      <c r="A23" s="38">
        <v>7</v>
      </c>
      <c r="B23" s="331" t="s">
        <v>48</v>
      </c>
      <c r="C23" s="332"/>
      <c r="D23" s="332"/>
      <c r="E23" s="332"/>
      <c r="F23" s="332"/>
      <c r="G23" s="332"/>
      <c r="H23" s="332"/>
      <c r="I23" s="333"/>
      <c r="J23" s="1" t="str">
        <f>IF(F8=0,"Informar SAT",$F$8)</f>
        <v>Informar SAT</v>
      </c>
      <c r="K23" s="6"/>
    </row>
    <row r="24" spans="1:11" ht="12" x14ac:dyDescent="0.2">
      <c r="A24" s="38">
        <v>8</v>
      </c>
      <c r="B24" s="331" t="s">
        <v>49</v>
      </c>
      <c r="C24" s="332"/>
      <c r="D24" s="332"/>
      <c r="E24" s="332"/>
      <c r="F24" s="332"/>
      <c r="G24" s="332"/>
      <c r="H24" s="332"/>
      <c r="I24" s="333"/>
      <c r="J24" s="1">
        <f>IF($F$7="Simples Nacional",0,IF($F$7&lt;&gt;"",0.6%,"Informar regime tributário"))</f>
        <v>6.0000000000000001E-3</v>
      </c>
      <c r="K24" s="6"/>
    </row>
    <row r="25" spans="1:11" ht="12" x14ac:dyDescent="0.2">
      <c r="A25" s="346" t="s">
        <v>50</v>
      </c>
      <c r="B25" s="347"/>
      <c r="C25" s="347"/>
      <c r="D25" s="347"/>
      <c r="E25" s="347"/>
      <c r="F25" s="347"/>
      <c r="G25" s="347"/>
      <c r="H25" s="347"/>
      <c r="I25" s="348"/>
      <c r="J25" s="39">
        <f>SUM(J17:J24)</f>
        <v>0.33800000000000008</v>
      </c>
      <c r="K25" s="6"/>
    </row>
    <row r="26" spans="1:11" ht="7.15" customHeight="1" x14ac:dyDescent="0.2">
      <c r="A26" s="36"/>
      <c r="B26" s="36"/>
      <c r="C26" s="36"/>
      <c r="D26" s="36"/>
      <c r="E26" s="36"/>
      <c r="F26" s="36"/>
      <c r="G26" s="36"/>
      <c r="H26" s="36"/>
      <c r="I26" s="36"/>
      <c r="J26" s="36"/>
      <c r="K26" s="6"/>
    </row>
    <row r="27" spans="1:11" ht="12" x14ac:dyDescent="0.2">
      <c r="A27" s="330" t="s">
        <v>51</v>
      </c>
      <c r="B27" s="330"/>
      <c r="C27" s="330"/>
      <c r="D27" s="330"/>
      <c r="E27" s="330"/>
      <c r="F27" s="330"/>
      <c r="G27" s="330"/>
      <c r="H27" s="330"/>
      <c r="I27" s="330"/>
      <c r="J27" s="330"/>
      <c r="K27" s="6"/>
    </row>
    <row r="28" spans="1:11" ht="12" x14ac:dyDescent="0.2">
      <c r="A28" s="38">
        <v>1</v>
      </c>
      <c r="B28" s="331" t="s">
        <v>52</v>
      </c>
      <c r="C28" s="332"/>
      <c r="D28" s="332"/>
      <c r="E28" s="332"/>
      <c r="F28" s="332"/>
      <c r="G28" s="332"/>
      <c r="H28" s="332"/>
      <c r="I28" s="333"/>
      <c r="J28" s="1">
        <f>ROUND(5/56,4)</f>
        <v>8.9300000000000004E-2</v>
      </c>
      <c r="K28" s="6"/>
    </row>
    <row r="29" spans="1:11" ht="12" x14ac:dyDescent="0.2">
      <c r="A29" s="38">
        <v>2</v>
      </c>
      <c r="B29" s="331" t="s">
        <v>53</v>
      </c>
      <c r="C29" s="332"/>
      <c r="D29" s="332"/>
      <c r="E29" s="332"/>
      <c r="F29" s="332"/>
      <c r="G29" s="332"/>
      <c r="H29" s="332"/>
      <c r="I29" s="333"/>
      <c r="J29" s="1">
        <f>ROUND(J28/3,4)</f>
        <v>2.98E-2</v>
      </c>
      <c r="K29" s="6"/>
    </row>
    <row r="30" spans="1:11" ht="12" x14ac:dyDescent="0.2">
      <c r="A30" s="38">
        <v>3</v>
      </c>
      <c r="B30" s="331" t="s">
        <v>54</v>
      </c>
      <c r="C30" s="332"/>
      <c r="D30" s="332"/>
      <c r="E30" s="332"/>
      <c r="F30" s="332"/>
      <c r="G30" s="332"/>
      <c r="H30" s="332"/>
      <c r="I30" s="333"/>
      <c r="J30" s="1">
        <f>ROUND((J28+J29)*J25,4)</f>
        <v>4.0300000000000002E-2</v>
      </c>
      <c r="K30" s="6"/>
    </row>
    <row r="31" spans="1:11" ht="12" x14ac:dyDescent="0.2">
      <c r="A31" s="346" t="s">
        <v>55</v>
      </c>
      <c r="B31" s="347"/>
      <c r="C31" s="347"/>
      <c r="D31" s="347"/>
      <c r="E31" s="347"/>
      <c r="F31" s="347"/>
      <c r="G31" s="347"/>
      <c r="H31" s="347"/>
      <c r="I31" s="348"/>
      <c r="J31" s="39">
        <f>SUM(J28:J30)</f>
        <v>0.15940000000000001</v>
      </c>
      <c r="K31" s="6"/>
    </row>
    <row r="32" spans="1:11" ht="7.15" customHeight="1" x14ac:dyDescent="0.2">
      <c r="A32" s="36"/>
      <c r="B32" s="36"/>
      <c r="C32" s="36"/>
      <c r="D32" s="36"/>
      <c r="E32" s="36"/>
      <c r="F32" s="36"/>
      <c r="G32" s="36"/>
      <c r="H32" s="36"/>
      <c r="I32" s="36"/>
      <c r="J32" s="36"/>
      <c r="K32" s="6"/>
    </row>
    <row r="33" spans="1:14" ht="12" x14ac:dyDescent="0.2">
      <c r="A33" s="330" t="s">
        <v>56</v>
      </c>
      <c r="B33" s="330"/>
      <c r="C33" s="330"/>
      <c r="D33" s="330"/>
      <c r="E33" s="330"/>
      <c r="F33" s="330"/>
      <c r="G33" s="330"/>
      <c r="H33" s="330"/>
      <c r="I33" s="330"/>
      <c r="J33" s="330"/>
      <c r="K33" s="6"/>
      <c r="M33" s="40"/>
      <c r="N33" s="40"/>
    </row>
    <row r="34" spans="1:14" ht="12" x14ac:dyDescent="0.2">
      <c r="A34" s="38">
        <v>1</v>
      </c>
      <c r="B34" s="331" t="s">
        <v>57</v>
      </c>
      <c r="C34" s="332"/>
      <c r="D34" s="332"/>
      <c r="E34" s="332"/>
      <c r="F34" s="332"/>
      <c r="G34" s="332"/>
      <c r="H34" s="332"/>
      <c r="I34" s="333"/>
      <c r="J34" s="1">
        <f>120*0.6814*0.1881*0.8238*4.035%/222.4682</f>
        <v>2.298103353994252E-3</v>
      </c>
      <c r="K34" s="6"/>
      <c r="L34" s="125"/>
      <c r="M34" s="41"/>
    </row>
    <row r="35" spans="1:14" ht="12" x14ac:dyDescent="0.2">
      <c r="A35" s="38">
        <v>2</v>
      </c>
      <c r="B35" s="331" t="s">
        <v>54</v>
      </c>
      <c r="C35" s="332"/>
      <c r="D35" s="332"/>
      <c r="E35" s="332"/>
      <c r="F35" s="332"/>
      <c r="G35" s="332"/>
      <c r="H35" s="332"/>
      <c r="I35" s="333"/>
      <c r="J35" s="1">
        <f>ROUND(J34*J22,4)</f>
        <v>2.0000000000000001E-4</v>
      </c>
      <c r="K35" s="126"/>
    </row>
    <row r="36" spans="1:14" ht="12" x14ac:dyDescent="0.2">
      <c r="A36" s="346" t="s">
        <v>58</v>
      </c>
      <c r="B36" s="347"/>
      <c r="C36" s="347"/>
      <c r="D36" s="347"/>
      <c r="E36" s="347"/>
      <c r="F36" s="347"/>
      <c r="G36" s="347"/>
      <c r="H36" s="347"/>
      <c r="I36" s="348"/>
      <c r="J36" s="39">
        <f>J35</f>
        <v>2.0000000000000001E-4</v>
      </c>
      <c r="K36" s="6"/>
    </row>
    <row r="37" spans="1:14" ht="7.15" customHeight="1" x14ac:dyDescent="0.2">
      <c r="A37" s="36"/>
      <c r="B37" s="36"/>
      <c r="C37" s="36"/>
      <c r="D37" s="36"/>
      <c r="E37" s="36"/>
      <c r="F37" s="36"/>
      <c r="G37" s="36"/>
      <c r="H37" s="36"/>
      <c r="I37" s="36"/>
      <c r="J37" s="36"/>
      <c r="K37" s="6"/>
    </row>
    <row r="38" spans="1:14" ht="12" x14ac:dyDescent="0.2">
      <c r="A38" s="330" t="s">
        <v>59</v>
      </c>
      <c r="B38" s="330"/>
      <c r="C38" s="330"/>
      <c r="D38" s="330"/>
      <c r="E38" s="330"/>
      <c r="F38" s="330"/>
      <c r="G38" s="330"/>
      <c r="H38" s="330"/>
      <c r="I38" s="330"/>
      <c r="J38" s="330"/>
      <c r="K38" s="6"/>
      <c r="M38" s="42"/>
    </row>
    <row r="39" spans="1:14" ht="12" x14ac:dyDescent="0.2">
      <c r="A39" s="38">
        <v>1</v>
      </c>
      <c r="B39" s="331" t="s">
        <v>60</v>
      </c>
      <c r="C39" s="332"/>
      <c r="D39" s="332"/>
      <c r="E39" s="332"/>
      <c r="F39" s="332"/>
      <c r="G39" s="332"/>
      <c r="H39" s="332"/>
      <c r="I39" s="333"/>
      <c r="J39" s="1">
        <f>ROUND(98%*43.7717%*33/222.4682,4)</f>
        <v>6.3600000000000004E-2</v>
      </c>
      <c r="K39" s="43"/>
      <c r="M39" s="44"/>
    </row>
    <row r="40" spans="1:14" ht="12" x14ac:dyDescent="0.2">
      <c r="A40" s="38">
        <v>2</v>
      </c>
      <c r="B40" s="331" t="s">
        <v>61</v>
      </c>
      <c r="C40" s="332"/>
      <c r="D40" s="332"/>
      <c r="E40" s="332"/>
      <c r="F40" s="332"/>
      <c r="G40" s="332"/>
      <c r="H40" s="332"/>
      <c r="I40" s="333"/>
      <c r="J40" s="1">
        <f>ROUND(J39*$J$22,4)</f>
        <v>5.1000000000000004E-3</v>
      </c>
      <c r="K40" s="6"/>
      <c r="M40" s="42"/>
    </row>
    <row r="41" spans="1:14" ht="12" x14ac:dyDescent="0.2">
      <c r="A41" s="38">
        <v>3</v>
      </c>
      <c r="B41" s="331" t="s">
        <v>62</v>
      </c>
      <c r="C41" s="332"/>
      <c r="D41" s="332"/>
      <c r="E41" s="332"/>
      <c r="F41" s="332"/>
      <c r="G41" s="332"/>
      <c r="H41" s="332"/>
      <c r="I41" s="333"/>
      <c r="J41" s="1">
        <f>ROUND(J40*40%,4)</f>
        <v>2E-3</v>
      </c>
      <c r="K41" s="6"/>
      <c r="M41" s="44"/>
    </row>
    <row r="42" spans="1:14" ht="12" x14ac:dyDescent="0.2">
      <c r="A42" s="38">
        <v>4</v>
      </c>
      <c r="B42" s="331" t="s">
        <v>63</v>
      </c>
      <c r="C42" s="332"/>
      <c r="D42" s="332"/>
      <c r="E42" s="332"/>
      <c r="F42" s="332"/>
      <c r="G42" s="332"/>
      <c r="H42" s="332"/>
      <c r="I42" s="333"/>
      <c r="J42" s="1">
        <f>ROUND(2%*43.7717%*0.6814*7/222.4682,4)</f>
        <v>2.0000000000000001E-4</v>
      </c>
      <c r="K42" s="6"/>
      <c r="M42" s="42"/>
    </row>
    <row r="43" spans="1:14" ht="12" x14ac:dyDescent="0.2">
      <c r="A43" s="38">
        <v>5</v>
      </c>
      <c r="B43" s="331" t="s">
        <v>64</v>
      </c>
      <c r="C43" s="332"/>
      <c r="D43" s="332"/>
      <c r="E43" s="332"/>
      <c r="F43" s="332"/>
      <c r="G43" s="332"/>
      <c r="H43" s="332"/>
      <c r="I43" s="333"/>
      <c r="J43" s="1">
        <f>ROUND(J42*$J$25,4)</f>
        <v>1E-4</v>
      </c>
      <c r="K43" s="6"/>
    </row>
    <row r="44" spans="1:14" ht="12" x14ac:dyDescent="0.2">
      <c r="A44" s="38">
        <v>6</v>
      </c>
      <c r="B44" s="331" t="s">
        <v>65</v>
      </c>
      <c r="C44" s="332"/>
      <c r="D44" s="332"/>
      <c r="E44" s="332"/>
      <c r="F44" s="332"/>
      <c r="G44" s="332"/>
      <c r="H44" s="332"/>
      <c r="I44" s="333"/>
      <c r="J44" s="1">
        <f>ROUND(J42*8%*40%,4)</f>
        <v>0</v>
      </c>
      <c r="K44" s="6"/>
    </row>
    <row r="45" spans="1:14" ht="12" x14ac:dyDescent="0.2">
      <c r="A45" s="38">
        <v>7</v>
      </c>
      <c r="B45" s="331" t="s">
        <v>66</v>
      </c>
      <c r="C45" s="332"/>
      <c r="D45" s="332"/>
      <c r="E45" s="332"/>
      <c r="F45" s="332"/>
      <c r="G45" s="332"/>
      <c r="H45" s="332"/>
      <c r="I45" s="333"/>
      <c r="J45" s="45">
        <f>ROUND((1%*(1/12)),4)</f>
        <v>8.0000000000000004E-4</v>
      </c>
      <c r="K45" s="6"/>
    </row>
    <row r="46" spans="1:14" ht="12" x14ac:dyDescent="0.2">
      <c r="A46" s="240">
        <v>8</v>
      </c>
      <c r="B46" s="331" t="s">
        <v>67</v>
      </c>
      <c r="C46" s="332"/>
      <c r="D46" s="332"/>
      <c r="E46" s="332"/>
      <c r="F46" s="332"/>
      <c r="G46" s="332"/>
      <c r="H46" s="332"/>
      <c r="I46" s="333"/>
      <c r="J46" s="45">
        <f>ROUND(8%*40%*43.7717%*(1+(J28+J29+J56+J34+J57+J58+J59+J60)),5)</f>
        <v>1.7319999999999999E-2</v>
      </c>
      <c r="K46" s="6"/>
    </row>
    <row r="47" spans="1:14" ht="12" x14ac:dyDescent="0.2">
      <c r="A47" s="346" t="s">
        <v>68</v>
      </c>
      <c r="B47" s="347"/>
      <c r="C47" s="347"/>
      <c r="D47" s="347"/>
      <c r="E47" s="347"/>
      <c r="F47" s="347"/>
      <c r="G47" s="347"/>
      <c r="H47" s="347"/>
      <c r="I47" s="348"/>
      <c r="J47" s="39">
        <f>SUM(J39:J46)</f>
        <v>8.9120000000000019E-2</v>
      </c>
      <c r="K47" s="6"/>
    </row>
    <row r="48" spans="1:14" ht="7.15" customHeight="1" x14ac:dyDescent="0.2">
      <c r="A48" s="36"/>
      <c r="B48" s="36"/>
      <c r="C48" s="36"/>
      <c r="D48" s="36"/>
      <c r="E48" s="36"/>
      <c r="F48" s="36"/>
      <c r="G48" s="36"/>
      <c r="H48" s="36"/>
      <c r="I48" s="36"/>
      <c r="J48" s="36"/>
      <c r="K48" s="6"/>
    </row>
    <row r="49" spans="1:11" ht="12" x14ac:dyDescent="0.2">
      <c r="A49" s="330" t="s">
        <v>69</v>
      </c>
      <c r="B49" s="330"/>
      <c r="C49" s="330"/>
      <c r="D49" s="330"/>
      <c r="E49" s="330"/>
      <c r="F49" s="330"/>
      <c r="G49" s="330"/>
      <c r="H49" s="330"/>
      <c r="I49" s="330"/>
      <c r="J49" s="330"/>
      <c r="K49" s="6"/>
    </row>
    <row r="50" spans="1:11" ht="12" x14ac:dyDescent="0.2">
      <c r="A50" s="38">
        <v>1</v>
      </c>
      <c r="B50" s="331" t="s">
        <v>70</v>
      </c>
      <c r="C50" s="332"/>
      <c r="D50" s="332"/>
      <c r="E50" s="332"/>
      <c r="F50" s="332"/>
      <c r="G50" s="332"/>
      <c r="H50" s="332"/>
      <c r="I50" s="333"/>
      <c r="J50" s="1">
        <f>ROUND(1*8%*40%*90%,4)</f>
        <v>2.8799999999999999E-2</v>
      </c>
      <c r="K50" s="6"/>
    </row>
    <row r="51" spans="1:11" ht="12" x14ac:dyDescent="0.2">
      <c r="A51" s="38">
        <v>2</v>
      </c>
      <c r="B51" s="331" t="s">
        <v>71</v>
      </c>
      <c r="C51" s="332"/>
      <c r="D51" s="332"/>
      <c r="E51" s="332"/>
      <c r="F51" s="332"/>
      <c r="G51" s="332"/>
      <c r="H51" s="332"/>
      <c r="I51" s="333"/>
      <c r="J51" s="1">
        <f>ROUND(($J$28+$J$29)*8%*40%*90%,4)</f>
        <v>3.3999999999999998E-3</v>
      </c>
      <c r="K51" s="34"/>
    </row>
    <row r="52" spans="1:11" ht="12" x14ac:dyDescent="0.2">
      <c r="A52" s="38">
        <v>3</v>
      </c>
      <c r="B52" s="331" t="s">
        <v>72</v>
      </c>
      <c r="C52" s="332"/>
      <c r="D52" s="332"/>
      <c r="E52" s="332"/>
      <c r="F52" s="332"/>
      <c r="G52" s="332"/>
      <c r="H52" s="332"/>
      <c r="I52" s="333"/>
      <c r="J52" s="1">
        <f>ROUND(J28*8%*40%*90%,4)</f>
        <v>2.5999999999999999E-3</v>
      </c>
      <c r="K52" s="6"/>
    </row>
    <row r="53" spans="1:11" ht="12" x14ac:dyDescent="0.2">
      <c r="A53" s="346" t="s">
        <v>73</v>
      </c>
      <c r="B53" s="347"/>
      <c r="C53" s="347"/>
      <c r="D53" s="347"/>
      <c r="E53" s="347"/>
      <c r="F53" s="347"/>
      <c r="G53" s="347"/>
      <c r="H53" s="347"/>
      <c r="I53" s="348"/>
      <c r="J53" s="39">
        <f>SUM(J50:J52)</f>
        <v>3.4799999999999998E-2</v>
      </c>
      <c r="K53" s="6"/>
    </row>
    <row r="54" spans="1:11" ht="7.15" customHeight="1" x14ac:dyDescent="0.2">
      <c r="A54" s="36"/>
      <c r="B54" s="36"/>
      <c r="C54" s="36"/>
      <c r="D54" s="36"/>
      <c r="E54" s="36"/>
      <c r="F54" s="36"/>
      <c r="G54" s="36"/>
      <c r="H54" s="36"/>
      <c r="I54" s="36"/>
      <c r="J54" s="36"/>
      <c r="K54" s="6"/>
    </row>
    <row r="55" spans="1:11" ht="12" x14ac:dyDescent="0.2">
      <c r="A55" s="330" t="s">
        <v>74</v>
      </c>
      <c r="B55" s="330"/>
      <c r="C55" s="330"/>
      <c r="D55" s="330"/>
      <c r="E55" s="330"/>
      <c r="F55" s="330"/>
      <c r="G55" s="330"/>
      <c r="H55" s="330"/>
      <c r="I55" s="330"/>
      <c r="J55" s="330"/>
      <c r="K55" s="6"/>
    </row>
    <row r="56" spans="1:11" ht="12" x14ac:dyDescent="0.2">
      <c r="A56" s="38">
        <v>1</v>
      </c>
      <c r="B56" s="331" t="s">
        <v>75</v>
      </c>
      <c r="C56" s="332"/>
      <c r="D56" s="332"/>
      <c r="E56" s="332"/>
      <c r="F56" s="332"/>
      <c r="G56" s="332"/>
      <c r="H56" s="332"/>
      <c r="I56" s="333"/>
      <c r="J56" s="1">
        <f>J28</f>
        <v>8.9300000000000004E-2</v>
      </c>
      <c r="K56" s="6"/>
    </row>
    <row r="57" spans="1:11" ht="12" x14ac:dyDescent="0.2">
      <c r="A57" s="38">
        <v>2</v>
      </c>
      <c r="B57" s="331" t="s">
        <v>76</v>
      </c>
      <c r="C57" s="332"/>
      <c r="D57" s="332"/>
      <c r="E57" s="332"/>
      <c r="F57" s="332"/>
      <c r="G57" s="332"/>
      <c r="H57" s="332"/>
      <c r="I57" s="333"/>
      <c r="J57" s="1">
        <f>ROUND((5*0.6814)/222.4682,4)</f>
        <v>1.5299999999999999E-2</v>
      </c>
      <c r="K57" s="6"/>
    </row>
    <row r="58" spans="1:11" ht="12" x14ac:dyDescent="0.2">
      <c r="A58" s="38">
        <v>3</v>
      </c>
      <c r="B58" s="331" t="s">
        <v>77</v>
      </c>
      <c r="C58" s="332"/>
      <c r="D58" s="332"/>
      <c r="E58" s="332"/>
      <c r="F58" s="332"/>
      <c r="G58" s="332"/>
      <c r="H58" s="332"/>
      <c r="I58" s="333"/>
      <c r="J58" s="1">
        <f>ROUND(5*0.6814*81.19%*99.94%*4.035%/222.4682,4)</f>
        <v>5.0000000000000001E-4</v>
      </c>
      <c r="K58" s="6"/>
    </row>
    <row r="59" spans="1:11" ht="12" x14ac:dyDescent="0.2">
      <c r="A59" s="38">
        <v>4</v>
      </c>
      <c r="B59" s="331" t="s">
        <v>78</v>
      </c>
      <c r="C59" s="332"/>
      <c r="D59" s="332"/>
      <c r="E59" s="332"/>
      <c r="F59" s="332"/>
      <c r="G59" s="332"/>
      <c r="H59" s="332"/>
      <c r="I59" s="333"/>
      <c r="J59" s="1">
        <f>ROUND(2.96*0.6814/222.4682,4)</f>
        <v>9.1000000000000004E-3</v>
      </c>
      <c r="K59" s="6"/>
    </row>
    <row r="60" spans="1:11" ht="12" x14ac:dyDescent="0.2">
      <c r="A60" s="38">
        <v>5</v>
      </c>
      <c r="B60" s="331" t="s">
        <v>79</v>
      </c>
      <c r="C60" s="332"/>
      <c r="D60" s="332"/>
      <c r="E60" s="332"/>
      <c r="F60" s="332"/>
      <c r="G60" s="332"/>
      <c r="H60" s="332"/>
      <c r="I60" s="333"/>
      <c r="J60" s="1">
        <f>ROUND((15/30)/12*1.69%,4)</f>
        <v>6.9999999999999999E-4</v>
      </c>
      <c r="K60" s="6"/>
    </row>
    <row r="61" spans="1:11" ht="12" x14ac:dyDescent="0.2">
      <c r="A61" s="38">
        <v>6</v>
      </c>
      <c r="B61" s="331" t="s">
        <v>54</v>
      </c>
      <c r="C61" s="332"/>
      <c r="D61" s="332"/>
      <c r="E61" s="332"/>
      <c r="F61" s="332"/>
      <c r="G61" s="332"/>
      <c r="H61" s="332"/>
      <c r="I61" s="333"/>
      <c r="J61" s="1">
        <f>ROUND(SUM(J56:J60)*$J$25,4)</f>
        <v>3.8800000000000001E-2</v>
      </c>
      <c r="K61" s="6"/>
    </row>
    <row r="62" spans="1:11" ht="12" x14ac:dyDescent="0.2">
      <c r="A62" s="346" t="s">
        <v>80</v>
      </c>
      <c r="B62" s="347"/>
      <c r="C62" s="347"/>
      <c r="D62" s="347"/>
      <c r="E62" s="347"/>
      <c r="F62" s="347"/>
      <c r="G62" s="347"/>
      <c r="H62" s="347"/>
      <c r="I62" s="348"/>
      <c r="J62" s="39">
        <f>SUM(J56:J61)</f>
        <v>0.1537</v>
      </c>
      <c r="K62" s="6"/>
    </row>
    <row r="63" spans="1:11" ht="7.15" customHeight="1" x14ac:dyDescent="0.2">
      <c r="A63" s="36"/>
      <c r="B63" s="36"/>
      <c r="C63" s="36"/>
      <c r="D63" s="36"/>
      <c r="E63" s="36"/>
      <c r="F63" s="36"/>
      <c r="G63" s="36"/>
      <c r="H63" s="36"/>
      <c r="I63" s="36"/>
      <c r="J63" s="36"/>
      <c r="K63" s="6"/>
    </row>
    <row r="64" spans="1:11" ht="12" x14ac:dyDescent="0.2">
      <c r="A64" s="379" t="s">
        <v>81</v>
      </c>
      <c r="B64" s="379"/>
      <c r="C64" s="379"/>
      <c r="D64" s="379"/>
      <c r="E64" s="379"/>
      <c r="F64" s="379"/>
      <c r="G64" s="379"/>
      <c r="H64" s="379"/>
      <c r="I64" s="379"/>
      <c r="J64" s="46">
        <f>J62+J53+J47+J36+J31+J25</f>
        <v>0.77522000000000013</v>
      </c>
      <c r="K64" s="6"/>
    </row>
    <row r="65" spans="1:14" ht="7.15" customHeight="1" x14ac:dyDescent="0.2">
      <c r="A65" s="36"/>
      <c r="B65" s="36"/>
      <c r="C65" s="36"/>
      <c r="D65" s="36"/>
      <c r="E65" s="36"/>
      <c r="F65" s="36"/>
      <c r="G65" s="36"/>
      <c r="H65" s="36"/>
      <c r="I65" s="36"/>
      <c r="J65" s="36"/>
      <c r="K65" s="6"/>
    </row>
    <row r="66" spans="1:14" ht="12" x14ac:dyDescent="0.2">
      <c r="A66" s="355" t="s">
        <v>82</v>
      </c>
      <c r="B66" s="355"/>
      <c r="C66" s="355"/>
      <c r="D66" s="355"/>
      <c r="E66" s="355"/>
      <c r="F66" s="355"/>
      <c r="G66" s="355"/>
      <c r="H66" s="355"/>
      <c r="I66" s="355"/>
      <c r="J66" s="355"/>
      <c r="K66" s="6"/>
      <c r="L66" s="35"/>
      <c r="N66" s="7"/>
    </row>
    <row r="67" spans="1:14" ht="12" x14ac:dyDescent="0.2">
      <c r="A67" s="38">
        <v>1</v>
      </c>
      <c r="B67" s="352" t="s">
        <v>72</v>
      </c>
      <c r="C67" s="353"/>
      <c r="D67" s="353"/>
      <c r="E67" s="353"/>
      <c r="F67" s="353"/>
      <c r="G67" s="353"/>
      <c r="H67" s="353"/>
      <c r="I67" s="354"/>
      <c r="J67" s="1">
        <f>J28</f>
        <v>8.9300000000000004E-2</v>
      </c>
      <c r="K67" s="47"/>
      <c r="L67" s="35"/>
      <c r="M67" s="7"/>
      <c r="N67" s="7"/>
    </row>
    <row r="68" spans="1:14" ht="12" x14ac:dyDescent="0.2">
      <c r="A68" s="38">
        <v>2</v>
      </c>
      <c r="B68" s="352" t="s">
        <v>75</v>
      </c>
      <c r="C68" s="353"/>
      <c r="D68" s="353"/>
      <c r="E68" s="353"/>
      <c r="F68" s="353"/>
      <c r="G68" s="353"/>
      <c r="H68" s="353"/>
      <c r="I68" s="354"/>
      <c r="J68" s="1">
        <f>J56</f>
        <v>8.9300000000000004E-2</v>
      </c>
      <c r="K68" s="47"/>
      <c r="L68" s="35"/>
      <c r="M68" s="7"/>
      <c r="N68" s="7"/>
    </row>
    <row r="69" spans="1:14" ht="12" x14ac:dyDescent="0.2">
      <c r="A69" s="38">
        <v>3</v>
      </c>
      <c r="B69" s="352" t="s">
        <v>83</v>
      </c>
      <c r="C69" s="353"/>
      <c r="D69" s="353"/>
      <c r="E69" s="353"/>
      <c r="F69" s="353"/>
      <c r="G69" s="353"/>
      <c r="H69" s="353"/>
      <c r="I69" s="354"/>
      <c r="J69" s="1">
        <f>J29</f>
        <v>2.98E-2</v>
      </c>
      <c r="K69" s="47"/>
      <c r="L69" s="35"/>
      <c r="M69" s="7"/>
      <c r="N69" s="7"/>
    </row>
    <row r="70" spans="1:14" ht="12" x14ac:dyDescent="0.2">
      <c r="A70" s="38">
        <v>4</v>
      </c>
      <c r="B70" s="352" t="s">
        <v>84</v>
      </c>
      <c r="C70" s="353"/>
      <c r="D70" s="353"/>
      <c r="E70" s="353"/>
      <c r="F70" s="353"/>
      <c r="G70" s="353"/>
      <c r="H70" s="353"/>
      <c r="I70" s="48">
        <f>$J$25</f>
        <v>0.33800000000000008</v>
      </c>
      <c r="J70" s="1">
        <f>ROUND(I70*SUM(J67:J69),4)</f>
        <v>7.0400000000000004E-2</v>
      </c>
      <c r="K70" s="47"/>
      <c r="L70" s="35"/>
      <c r="M70" s="7"/>
      <c r="N70" s="7"/>
    </row>
    <row r="71" spans="1:14" ht="12" x14ac:dyDescent="0.2">
      <c r="A71" s="38">
        <v>5</v>
      </c>
      <c r="B71" s="352" t="s">
        <v>85</v>
      </c>
      <c r="C71" s="353"/>
      <c r="D71" s="353"/>
      <c r="E71" s="353"/>
      <c r="F71" s="353"/>
      <c r="G71" s="353"/>
      <c r="H71" s="353"/>
      <c r="I71" s="354"/>
      <c r="J71" s="1">
        <f>J53</f>
        <v>3.4799999999999998E-2</v>
      </c>
      <c r="K71" s="6"/>
      <c r="L71" s="35"/>
      <c r="N71" s="7"/>
    </row>
    <row r="72" spans="1:14" ht="12" x14ac:dyDescent="0.2">
      <c r="A72" s="379" t="s">
        <v>86</v>
      </c>
      <c r="B72" s="379"/>
      <c r="C72" s="379"/>
      <c r="D72" s="379"/>
      <c r="E72" s="379"/>
      <c r="F72" s="379"/>
      <c r="G72" s="379"/>
      <c r="H72" s="379"/>
      <c r="I72" s="379"/>
      <c r="J72" s="46">
        <f>SUM(J67:J71)</f>
        <v>0.31359999999999999</v>
      </c>
      <c r="K72" s="6"/>
      <c r="L72" s="35"/>
      <c r="N72" s="7"/>
    </row>
    <row r="73" spans="1:14" ht="5.25" customHeight="1" x14ac:dyDescent="0.2">
      <c r="A73" s="36"/>
      <c r="B73" s="36"/>
      <c r="C73" s="36"/>
      <c r="D73" s="36"/>
      <c r="E73" s="36"/>
      <c r="F73" s="36"/>
      <c r="G73" s="36"/>
      <c r="H73" s="36"/>
      <c r="I73" s="36"/>
      <c r="J73" s="36"/>
      <c r="K73" s="6"/>
    </row>
    <row r="74" spans="1:14" ht="12" x14ac:dyDescent="0.2">
      <c r="A74" s="355" t="s">
        <v>87</v>
      </c>
      <c r="B74" s="355"/>
      <c r="C74" s="355"/>
      <c r="D74" s="355"/>
      <c r="E74" s="355"/>
      <c r="F74" s="355"/>
      <c r="G74" s="355"/>
      <c r="H74" s="355"/>
      <c r="I74" s="355"/>
      <c r="J74" s="355"/>
      <c r="M74" s="7"/>
      <c r="N74" s="7"/>
    </row>
    <row r="75" spans="1:14" ht="12" x14ac:dyDescent="0.2">
      <c r="A75" s="38">
        <v>1</v>
      </c>
      <c r="B75" s="352" t="s">
        <v>88</v>
      </c>
      <c r="C75" s="353"/>
      <c r="D75" s="353"/>
      <c r="E75" s="353"/>
      <c r="F75" s="353"/>
      <c r="G75" s="354"/>
      <c r="H75" s="378">
        <v>20.75</v>
      </c>
      <c r="I75" s="378"/>
      <c r="J75" s="378"/>
      <c r="K75" s="47"/>
      <c r="L75" s="35"/>
      <c r="M75" s="7"/>
      <c r="N75" s="7"/>
    </row>
    <row r="76" spans="1:14" ht="12" x14ac:dyDescent="0.2">
      <c r="A76" s="38">
        <v>2</v>
      </c>
      <c r="B76" s="195" t="s">
        <v>89</v>
      </c>
      <c r="C76" s="36"/>
      <c r="D76" s="36"/>
      <c r="E76" s="36"/>
      <c r="F76" s="36"/>
      <c r="G76" s="196"/>
      <c r="H76" s="349">
        <v>1621</v>
      </c>
      <c r="I76" s="350"/>
      <c r="J76" s="351"/>
      <c r="K76" s="50"/>
      <c r="L76" s="35"/>
      <c r="M76" s="7"/>
      <c r="N76" s="7"/>
    </row>
    <row r="77" spans="1:14" ht="12" x14ac:dyDescent="0.2">
      <c r="A77" s="38">
        <v>3</v>
      </c>
      <c r="B77" s="195" t="s">
        <v>90</v>
      </c>
      <c r="C77" s="36"/>
      <c r="D77" s="36"/>
      <c r="E77" s="36"/>
      <c r="F77" s="36"/>
      <c r="G77" s="196"/>
      <c r="H77" s="334"/>
      <c r="I77" s="335"/>
      <c r="J77" s="336"/>
      <c r="K77" s="50" t="str">
        <f>IF(H77&lt;20%,"Abaixo do % mínimo - Rever!","")</f>
        <v>Abaixo do % mínimo - Rever!</v>
      </c>
      <c r="L77" s="35"/>
      <c r="M77" s="7"/>
      <c r="N77" s="7"/>
    </row>
    <row r="78" spans="1:14" ht="12" x14ac:dyDescent="0.2">
      <c r="A78" s="38">
        <v>4</v>
      </c>
      <c r="B78" s="195" t="s">
        <v>91</v>
      </c>
      <c r="C78" s="36"/>
      <c r="D78" s="36"/>
      <c r="E78" s="36"/>
      <c r="F78" s="36"/>
      <c r="G78" s="196"/>
      <c r="H78" s="334"/>
      <c r="I78" s="335"/>
      <c r="J78" s="336"/>
      <c r="K78" s="50" t="str">
        <f>IF(H78&lt;50%,"Abaixo do % mínimo - Rever!","")</f>
        <v>Abaixo do % mínimo - Rever!</v>
      </c>
      <c r="L78" s="35"/>
      <c r="M78" s="7"/>
      <c r="N78" s="7"/>
    </row>
    <row r="79" spans="1:14" ht="12" x14ac:dyDescent="0.2">
      <c r="A79" s="38">
        <v>5</v>
      </c>
      <c r="B79" s="195" t="s">
        <v>92</v>
      </c>
      <c r="C79" s="36"/>
      <c r="D79" s="36"/>
      <c r="E79" s="36"/>
      <c r="F79" s="36"/>
      <c r="G79" s="196"/>
      <c r="H79" s="334"/>
      <c r="I79" s="335"/>
      <c r="J79" s="336"/>
      <c r="K79" s="50" t="str">
        <f t="shared" ref="K79" si="0">IF(H79&lt;50%,"Abaixo do % mínimo - Rever!","")</f>
        <v>Abaixo do % mínimo - Rever!</v>
      </c>
      <c r="L79" s="35"/>
      <c r="M79" s="7"/>
      <c r="N79" s="7"/>
    </row>
    <row r="80" spans="1:14" ht="12" x14ac:dyDescent="0.2">
      <c r="A80" s="38">
        <v>6</v>
      </c>
      <c r="B80" s="195" t="s">
        <v>93</v>
      </c>
      <c r="C80" s="36"/>
      <c r="D80" s="36"/>
      <c r="E80" s="36"/>
      <c r="F80" s="36"/>
      <c r="G80" s="196"/>
      <c r="H80" s="334"/>
      <c r="I80" s="335"/>
      <c r="J80" s="336"/>
      <c r="K80" s="50" t="str">
        <f>IF(H80&lt;100%,"Abaixo do % mínimo - Rever!","")</f>
        <v>Abaixo do % mínimo - Rever!</v>
      </c>
      <c r="L80" s="35"/>
      <c r="M80" s="7"/>
      <c r="N80" s="7"/>
    </row>
    <row r="81" spans="1:19" ht="7.5" customHeight="1" x14ac:dyDescent="0.2">
      <c r="A81" s="36"/>
      <c r="B81" s="36"/>
      <c r="C81" s="36"/>
      <c r="D81" s="36"/>
      <c r="E81" s="36"/>
      <c r="F81" s="36"/>
      <c r="G81" s="36"/>
      <c r="H81" s="36"/>
      <c r="I81" s="36"/>
      <c r="J81" s="36"/>
      <c r="K81" s="6"/>
    </row>
    <row r="82" spans="1:19" ht="12" x14ac:dyDescent="0.2">
      <c r="A82" s="355" t="s">
        <v>94</v>
      </c>
      <c r="B82" s="355"/>
      <c r="C82" s="355"/>
      <c r="D82" s="355"/>
      <c r="E82" s="355"/>
      <c r="F82" s="355"/>
      <c r="G82" s="355"/>
      <c r="H82" s="355"/>
      <c r="I82" s="355"/>
      <c r="J82" s="355"/>
      <c r="M82" s="7"/>
      <c r="N82" s="7"/>
    </row>
    <row r="83" spans="1:19" s="63" customFormat="1" ht="28.5" customHeight="1" x14ac:dyDescent="0.2">
      <c r="A83" s="128" t="s">
        <v>95</v>
      </c>
      <c r="B83" s="129" t="s">
        <v>96</v>
      </c>
      <c r="C83" s="130"/>
      <c r="D83" s="130"/>
      <c r="E83" s="130"/>
      <c r="F83" s="130"/>
      <c r="G83" s="130"/>
      <c r="H83" s="61" t="s">
        <v>97</v>
      </c>
      <c r="I83" s="61" t="s">
        <v>98</v>
      </c>
      <c r="J83" s="61" t="s">
        <v>99</v>
      </c>
      <c r="K83" s="62"/>
    </row>
    <row r="84" spans="1:19" ht="12" x14ac:dyDescent="0.2">
      <c r="A84" s="38">
        <v>1</v>
      </c>
      <c r="B84" s="343" t="s">
        <v>100</v>
      </c>
      <c r="C84" s="344"/>
      <c r="D84" s="344"/>
      <c r="E84" s="344"/>
      <c r="F84" s="344"/>
      <c r="G84" s="345"/>
      <c r="H84" s="202"/>
      <c r="I84" s="202"/>
      <c r="J84" s="197">
        <f>SUM(H84:I84)</f>
        <v>0</v>
      </c>
      <c r="K84" s="194"/>
      <c r="L84" s="127"/>
      <c r="M84" s="127"/>
      <c r="N84" s="7"/>
      <c r="P84" s="58"/>
      <c r="R84" s="58"/>
      <c r="S84" s="58"/>
    </row>
    <row r="85" spans="1:19" ht="12" x14ac:dyDescent="0.2">
      <c r="A85" s="38">
        <v>2</v>
      </c>
      <c r="B85" s="343" t="s">
        <v>101</v>
      </c>
      <c r="C85" s="344"/>
      <c r="D85" s="344"/>
      <c r="E85" s="344"/>
      <c r="F85" s="344"/>
      <c r="G85" s="345"/>
      <c r="H85" s="202"/>
      <c r="I85" s="202"/>
      <c r="J85" s="197">
        <f t="shared" ref="J85:J88" si="1">SUM(H85:I85)</f>
        <v>0</v>
      </c>
      <c r="K85" s="194"/>
      <c r="L85" s="127"/>
      <c r="M85" s="127"/>
      <c r="N85" s="7"/>
      <c r="P85" s="58"/>
      <c r="R85" s="58"/>
      <c r="S85" s="58"/>
    </row>
    <row r="86" spans="1:19" ht="12" x14ac:dyDescent="0.2">
      <c r="A86" s="38">
        <v>3</v>
      </c>
      <c r="B86" s="343" t="s">
        <v>102</v>
      </c>
      <c r="C86" s="344"/>
      <c r="D86" s="344"/>
      <c r="E86" s="344"/>
      <c r="F86" s="344"/>
      <c r="G86" s="345"/>
      <c r="H86" s="202"/>
      <c r="I86" s="202"/>
      <c r="J86" s="197">
        <f t="shared" si="1"/>
        <v>0</v>
      </c>
      <c r="K86" s="194"/>
      <c r="L86" s="127"/>
      <c r="M86" s="127"/>
      <c r="N86" s="7"/>
      <c r="P86" s="58"/>
      <c r="R86" s="58"/>
      <c r="S86" s="58"/>
    </row>
    <row r="87" spans="1:19" ht="12" x14ac:dyDescent="0.2">
      <c r="A87" s="38">
        <v>4</v>
      </c>
      <c r="B87" s="343" t="s">
        <v>103</v>
      </c>
      <c r="C87" s="344"/>
      <c r="D87" s="344"/>
      <c r="E87" s="344"/>
      <c r="F87" s="344"/>
      <c r="G87" s="345"/>
      <c r="H87" s="202"/>
      <c r="I87" s="202"/>
      <c r="J87" s="197">
        <f t="shared" si="1"/>
        <v>0</v>
      </c>
      <c r="K87" s="194"/>
      <c r="L87" s="127"/>
      <c r="M87" s="127"/>
      <c r="N87" s="7"/>
      <c r="P87" s="58"/>
      <c r="R87" s="58"/>
      <c r="S87" s="58"/>
    </row>
    <row r="88" spans="1:19" ht="12" x14ac:dyDescent="0.2">
      <c r="A88" s="38">
        <v>5</v>
      </c>
      <c r="B88" s="343" t="s">
        <v>104</v>
      </c>
      <c r="C88" s="344"/>
      <c r="D88" s="344"/>
      <c r="E88" s="344"/>
      <c r="F88" s="344"/>
      <c r="G88" s="345"/>
      <c r="H88" s="202"/>
      <c r="I88" s="202"/>
      <c r="J88" s="197">
        <f t="shared" si="1"/>
        <v>0</v>
      </c>
      <c r="K88" s="194"/>
      <c r="L88" s="127"/>
      <c r="M88" s="127"/>
      <c r="N88" s="7"/>
      <c r="P88" s="58"/>
      <c r="R88" s="58"/>
      <c r="S88" s="58"/>
    </row>
    <row r="89" spans="1:19" ht="5.25" customHeight="1" x14ac:dyDescent="0.2">
      <c r="A89" s="133"/>
      <c r="B89" s="134"/>
      <c r="C89" s="134"/>
      <c r="D89" s="134"/>
      <c r="E89" s="134"/>
      <c r="F89" s="134"/>
      <c r="G89" s="134"/>
      <c r="H89" s="135"/>
      <c r="I89" s="135"/>
      <c r="J89" s="135"/>
      <c r="K89" s="47"/>
      <c r="L89" s="35"/>
      <c r="N89" s="7"/>
    </row>
    <row r="90" spans="1:19" ht="18" customHeight="1" x14ac:dyDescent="0.2">
      <c r="A90" s="326" t="s">
        <v>105</v>
      </c>
      <c r="B90" s="326"/>
      <c r="C90" s="326"/>
      <c r="D90" s="326"/>
      <c r="E90" s="326"/>
      <c r="F90" s="326"/>
      <c r="G90" s="326"/>
      <c r="H90" s="326"/>
      <c r="I90" s="326"/>
      <c r="J90" s="326"/>
      <c r="K90" s="6"/>
      <c r="M90" s="7"/>
      <c r="N90" s="7"/>
    </row>
    <row r="91" spans="1:19" s="63" customFormat="1" ht="36" x14ac:dyDescent="0.2">
      <c r="A91" s="327"/>
      <c r="B91" s="328"/>
      <c r="C91" s="328"/>
      <c r="D91" s="328"/>
      <c r="E91" s="329"/>
      <c r="F91" s="327" t="s">
        <v>106</v>
      </c>
      <c r="G91" s="329"/>
      <c r="H91" s="61" t="s">
        <v>107</v>
      </c>
      <c r="I91" s="61" t="s">
        <v>108</v>
      </c>
      <c r="J91" s="61" t="s">
        <v>109</v>
      </c>
      <c r="K91" s="62"/>
    </row>
    <row r="92" spans="1:19" ht="12" x14ac:dyDescent="0.2">
      <c r="A92" s="38">
        <v>1</v>
      </c>
      <c r="B92" s="369" t="s">
        <v>110</v>
      </c>
      <c r="C92" s="369"/>
      <c r="D92" s="369"/>
      <c r="E92" s="369"/>
      <c r="F92" s="380" t="s">
        <v>111</v>
      </c>
      <c r="G92" s="381"/>
      <c r="H92" s="64"/>
      <c r="I92" s="64"/>
      <c r="J92" s="49">
        <f t="shared" ref="J92:J101" si="2">ROUND(H92-I92,2)</f>
        <v>0</v>
      </c>
      <c r="K92" s="6"/>
      <c r="M92" s="7"/>
      <c r="N92" s="7"/>
    </row>
    <row r="93" spans="1:19" ht="12" x14ac:dyDescent="0.2">
      <c r="A93" s="38">
        <v>2</v>
      </c>
      <c r="B93" s="369" t="s">
        <v>112</v>
      </c>
      <c r="C93" s="369"/>
      <c r="D93" s="369"/>
      <c r="E93" s="369"/>
      <c r="F93" s="380" t="s">
        <v>111</v>
      </c>
      <c r="G93" s="381"/>
      <c r="H93" s="64"/>
      <c r="I93" s="64"/>
      <c r="J93" s="49">
        <f t="shared" si="2"/>
        <v>0</v>
      </c>
      <c r="K93" s="6"/>
      <c r="M93" s="7"/>
      <c r="N93" s="7"/>
    </row>
    <row r="94" spans="1:19" ht="12" x14ac:dyDescent="0.2">
      <c r="A94" s="38">
        <v>3</v>
      </c>
      <c r="B94" s="369" t="s">
        <v>113</v>
      </c>
      <c r="C94" s="369"/>
      <c r="D94" s="369"/>
      <c r="E94" s="369"/>
      <c r="F94" s="380" t="s">
        <v>111</v>
      </c>
      <c r="G94" s="381"/>
      <c r="H94" s="64"/>
      <c r="I94" s="64"/>
      <c r="J94" s="49">
        <f t="shared" si="2"/>
        <v>0</v>
      </c>
      <c r="K94" s="6"/>
      <c r="M94" s="7"/>
      <c r="N94" s="7"/>
    </row>
    <row r="95" spans="1:19" ht="12" x14ac:dyDescent="0.2">
      <c r="A95" s="38">
        <v>4</v>
      </c>
      <c r="B95" s="369" t="s">
        <v>114</v>
      </c>
      <c r="C95" s="369"/>
      <c r="D95" s="369"/>
      <c r="E95" s="369"/>
      <c r="F95" s="380" t="s">
        <v>111</v>
      </c>
      <c r="G95" s="381"/>
      <c r="H95" s="64"/>
      <c r="I95" s="64"/>
      <c r="J95" s="49">
        <f t="shared" si="2"/>
        <v>0</v>
      </c>
      <c r="K95" s="6"/>
      <c r="M95" s="7"/>
      <c r="N95" s="7"/>
    </row>
    <row r="96" spans="1:19" ht="12" x14ac:dyDescent="0.2">
      <c r="A96" s="38">
        <v>5</v>
      </c>
      <c r="B96" s="369" t="s">
        <v>115</v>
      </c>
      <c r="C96" s="369"/>
      <c r="D96" s="369"/>
      <c r="E96" s="369"/>
      <c r="F96" s="380" t="s">
        <v>111</v>
      </c>
      <c r="G96" s="381"/>
      <c r="H96" s="64"/>
      <c r="I96" s="64"/>
      <c r="J96" s="49">
        <f t="shared" si="2"/>
        <v>0</v>
      </c>
      <c r="K96" s="6"/>
      <c r="L96" s="58"/>
      <c r="M96" s="7"/>
      <c r="N96" s="7"/>
    </row>
    <row r="97" spans="1:18" ht="12" x14ac:dyDescent="0.2">
      <c r="A97" s="38">
        <v>6</v>
      </c>
      <c r="B97" s="369" t="s">
        <v>116</v>
      </c>
      <c r="C97" s="369"/>
      <c r="D97" s="369"/>
      <c r="E97" s="369"/>
      <c r="F97" s="380" t="s">
        <v>111</v>
      </c>
      <c r="G97" s="381"/>
      <c r="H97" s="64"/>
      <c r="I97" s="64"/>
      <c r="J97" s="49">
        <f t="shared" si="2"/>
        <v>0</v>
      </c>
      <c r="K97" s="6"/>
      <c r="L97" s="58"/>
      <c r="M97" s="7"/>
      <c r="N97" s="7"/>
    </row>
    <row r="98" spans="1:18" ht="12" x14ac:dyDescent="0.2">
      <c r="A98" s="38">
        <v>7</v>
      </c>
      <c r="B98" s="369" t="s">
        <v>117</v>
      </c>
      <c r="C98" s="369"/>
      <c r="D98" s="369"/>
      <c r="E98" s="369"/>
      <c r="F98" s="380" t="s">
        <v>111</v>
      </c>
      <c r="G98" s="381"/>
      <c r="H98" s="64"/>
      <c r="I98" s="64"/>
      <c r="J98" s="49">
        <f t="shared" si="2"/>
        <v>0</v>
      </c>
      <c r="K98" s="6"/>
      <c r="M98" s="7"/>
      <c r="N98" s="7"/>
    </row>
    <row r="99" spans="1:18" ht="12" x14ac:dyDescent="0.2">
      <c r="A99" s="38">
        <v>8</v>
      </c>
      <c r="B99" s="369" t="s">
        <v>118</v>
      </c>
      <c r="C99" s="369"/>
      <c r="D99" s="369"/>
      <c r="E99" s="369"/>
      <c r="F99" s="380" t="s">
        <v>111</v>
      </c>
      <c r="G99" s="381"/>
      <c r="H99" s="64"/>
      <c r="I99" s="64"/>
      <c r="J99" s="49">
        <f t="shared" si="2"/>
        <v>0</v>
      </c>
      <c r="K99" s="6"/>
      <c r="L99" s="58"/>
      <c r="M99" s="7"/>
      <c r="N99" s="7"/>
    </row>
    <row r="100" spans="1:18" ht="12" x14ac:dyDescent="0.2">
      <c r="A100" s="38">
        <v>9</v>
      </c>
      <c r="B100" s="369" t="s">
        <v>119</v>
      </c>
      <c r="C100" s="369"/>
      <c r="D100" s="369"/>
      <c r="E100" s="369"/>
      <c r="F100" s="380" t="s">
        <v>111</v>
      </c>
      <c r="G100" s="381"/>
      <c r="H100" s="64"/>
      <c r="I100" s="64"/>
      <c r="J100" s="49">
        <f t="shared" si="2"/>
        <v>0</v>
      </c>
      <c r="K100" s="6"/>
      <c r="L100" s="58"/>
      <c r="M100" s="7"/>
      <c r="N100" s="7"/>
    </row>
    <row r="101" spans="1:18" ht="12" x14ac:dyDescent="0.2">
      <c r="A101" s="38">
        <v>10</v>
      </c>
      <c r="B101" s="369" t="s">
        <v>120</v>
      </c>
      <c r="C101" s="369"/>
      <c r="D101" s="369"/>
      <c r="E101" s="369"/>
      <c r="F101" s="380" t="s">
        <v>121</v>
      </c>
      <c r="G101" s="381"/>
      <c r="H101" s="64"/>
      <c r="I101" s="64"/>
      <c r="J101" s="49">
        <f t="shared" si="2"/>
        <v>0</v>
      </c>
      <c r="K101" s="34"/>
      <c r="L101" s="58"/>
      <c r="M101" s="7"/>
      <c r="N101" s="7"/>
    </row>
    <row r="102" spans="1:18" ht="12" x14ac:dyDescent="0.2">
      <c r="A102" s="38">
        <v>11</v>
      </c>
      <c r="B102" s="388" t="s">
        <v>122</v>
      </c>
      <c r="C102" s="389"/>
      <c r="D102" s="389"/>
      <c r="E102" s="390"/>
      <c r="F102" s="380" t="s">
        <v>111</v>
      </c>
      <c r="G102" s="381"/>
      <c r="H102" s="64"/>
      <c r="I102" s="64"/>
      <c r="J102" s="49">
        <f t="shared" ref="J102" si="3">ROUND(H102-I102,2)</f>
        <v>0</v>
      </c>
      <c r="K102" s="6"/>
      <c r="L102" s="58"/>
      <c r="M102" s="7"/>
      <c r="N102" s="7"/>
    </row>
    <row r="103" spans="1:18" ht="12" x14ac:dyDescent="0.2">
      <c r="A103" s="60"/>
      <c r="B103" s="60"/>
      <c r="C103" s="60"/>
      <c r="D103" s="60"/>
      <c r="E103" s="60"/>
      <c r="F103" s="60"/>
      <c r="G103" s="60"/>
      <c r="H103" s="60"/>
      <c r="I103" s="60"/>
      <c r="J103" s="60"/>
      <c r="K103" s="6"/>
    </row>
    <row r="104" spans="1:18" ht="19.5" customHeight="1" x14ac:dyDescent="0.2">
      <c r="A104" s="355" t="s">
        <v>123</v>
      </c>
      <c r="B104" s="355"/>
      <c r="C104" s="355"/>
      <c r="D104" s="355"/>
      <c r="E104" s="355"/>
      <c r="F104" s="355"/>
      <c r="G104" s="355"/>
      <c r="H104" s="355"/>
      <c r="I104" s="355"/>
      <c r="J104" s="355"/>
      <c r="K104" s="6"/>
    </row>
    <row r="105" spans="1:18" ht="12" customHeight="1" x14ac:dyDescent="0.2">
      <c r="A105" s="37" t="s">
        <v>95</v>
      </c>
      <c r="B105" s="131" t="s">
        <v>96</v>
      </c>
      <c r="C105" s="132"/>
      <c r="D105" s="132"/>
      <c r="E105" s="132"/>
      <c r="F105" s="132"/>
      <c r="G105" s="132"/>
      <c r="H105" s="382" t="s">
        <v>124</v>
      </c>
      <c r="I105" s="383"/>
      <c r="J105" s="384"/>
      <c r="K105" s="6"/>
    </row>
    <row r="106" spans="1:18" ht="12" x14ac:dyDescent="0.2">
      <c r="A106" s="38">
        <v>1</v>
      </c>
      <c r="B106" s="343" t="s">
        <v>100</v>
      </c>
      <c r="C106" s="344"/>
      <c r="D106" s="344"/>
      <c r="E106" s="344"/>
      <c r="F106" s="344"/>
      <c r="G106" s="345"/>
      <c r="H106" s="371"/>
      <c r="I106" s="372"/>
      <c r="J106" s="373"/>
      <c r="K106" s="6"/>
      <c r="R106" s="58"/>
    </row>
    <row r="107" spans="1:18" ht="12" x14ac:dyDescent="0.2">
      <c r="A107" s="38">
        <v>2</v>
      </c>
      <c r="B107" s="343" t="s">
        <v>101</v>
      </c>
      <c r="C107" s="344"/>
      <c r="D107" s="344"/>
      <c r="E107" s="344"/>
      <c r="F107" s="344"/>
      <c r="G107" s="345"/>
      <c r="H107" s="371"/>
      <c r="I107" s="372"/>
      <c r="J107" s="373"/>
      <c r="K107" s="6"/>
      <c r="R107" s="58"/>
    </row>
    <row r="108" spans="1:18" ht="12" x14ac:dyDescent="0.2">
      <c r="A108" s="38">
        <v>3</v>
      </c>
      <c r="B108" s="343" t="s">
        <v>125</v>
      </c>
      <c r="C108" s="344"/>
      <c r="D108" s="344"/>
      <c r="E108" s="344"/>
      <c r="F108" s="344"/>
      <c r="G108" s="345"/>
      <c r="H108" s="371"/>
      <c r="I108" s="372"/>
      <c r="J108" s="373"/>
      <c r="K108" s="6"/>
      <c r="R108" s="58"/>
    </row>
    <row r="109" spans="1:18" ht="12" x14ac:dyDescent="0.2">
      <c r="A109" s="38">
        <v>4</v>
      </c>
      <c r="B109" s="343" t="s">
        <v>103</v>
      </c>
      <c r="C109" s="344"/>
      <c r="D109" s="344"/>
      <c r="E109" s="344"/>
      <c r="F109" s="344"/>
      <c r="G109" s="345"/>
      <c r="H109" s="371"/>
      <c r="I109" s="372"/>
      <c r="J109" s="373"/>
      <c r="K109" s="6"/>
      <c r="R109" s="58"/>
    </row>
    <row r="110" spans="1:18" ht="12" x14ac:dyDescent="0.2">
      <c r="A110" s="38">
        <v>5</v>
      </c>
      <c r="B110" s="343" t="s">
        <v>104</v>
      </c>
      <c r="C110" s="344"/>
      <c r="D110" s="344"/>
      <c r="E110" s="344"/>
      <c r="F110" s="344"/>
      <c r="G110" s="345"/>
      <c r="H110" s="371"/>
      <c r="I110" s="372"/>
      <c r="J110" s="373"/>
      <c r="K110" s="6"/>
      <c r="R110" s="58"/>
    </row>
    <row r="111" spans="1:18" ht="6" customHeight="1" x14ac:dyDescent="0.2">
      <c r="A111" s="60"/>
      <c r="B111" s="60"/>
      <c r="C111" s="60"/>
      <c r="D111" s="60"/>
      <c r="E111" s="60"/>
      <c r="F111" s="60"/>
      <c r="G111" s="60"/>
      <c r="H111" s="60"/>
      <c r="I111" s="60"/>
      <c r="J111" s="60"/>
      <c r="K111" s="6"/>
    </row>
    <row r="112" spans="1:18" ht="12" x14ac:dyDescent="0.2">
      <c r="A112" s="374" t="s">
        <v>126</v>
      </c>
      <c r="B112" s="374"/>
      <c r="C112" s="374"/>
      <c r="D112" s="374"/>
      <c r="E112" s="374"/>
      <c r="F112" s="374"/>
      <c r="G112" s="374"/>
      <c r="H112" s="374"/>
      <c r="I112" s="374"/>
      <c r="J112" s="374"/>
      <c r="K112" s="47"/>
      <c r="M112" s="7"/>
      <c r="N112" s="7"/>
    </row>
    <row r="113" spans="1:14" ht="48" x14ac:dyDescent="0.2">
      <c r="A113" s="3" t="s">
        <v>127</v>
      </c>
      <c r="B113" s="385" t="s">
        <v>128</v>
      </c>
      <c r="C113" s="386"/>
      <c r="D113" s="386"/>
      <c r="E113" s="386"/>
      <c r="F113" s="387"/>
      <c r="G113" s="3" t="s">
        <v>129</v>
      </c>
      <c r="H113" s="3" t="s">
        <v>130</v>
      </c>
      <c r="I113" s="3" t="s">
        <v>131</v>
      </c>
      <c r="J113" s="3" t="s">
        <v>132</v>
      </c>
      <c r="K113" s="47"/>
      <c r="M113" s="7"/>
      <c r="N113" s="7"/>
    </row>
    <row r="114" spans="1:14" ht="12" x14ac:dyDescent="0.2">
      <c r="A114" s="2">
        <v>5</v>
      </c>
      <c r="B114" s="375" t="s">
        <v>133</v>
      </c>
      <c r="C114" s="376"/>
      <c r="D114" s="376"/>
      <c r="E114" s="376"/>
      <c r="F114" s="377"/>
      <c r="G114" s="66">
        <v>0.05</v>
      </c>
      <c r="H114" s="30">
        <f>ROUND((1+$F$9)*(1+$F$10)/(1-$F$12-$F$11-$G114-$F$13)-1,4)</f>
        <v>5.2600000000000001E-2</v>
      </c>
      <c r="I114" s="64"/>
      <c r="J114" s="32">
        <v>1</v>
      </c>
      <c r="K114" s="47"/>
      <c r="M114" s="7"/>
      <c r="N114" s="7"/>
    </row>
    <row r="115" spans="1:14" ht="12" x14ac:dyDescent="0.2">
      <c r="A115" s="2">
        <v>9</v>
      </c>
      <c r="B115" s="375" t="s">
        <v>134</v>
      </c>
      <c r="C115" s="376"/>
      <c r="D115" s="376"/>
      <c r="E115" s="376"/>
      <c r="F115" s="377"/>
      <c r="G115" s="66">
        <v>0.05</v>
      </c>
      <c r="H115" s="30">
        <f t="shared" ref="H115:H118" si="4">ROUND((1+$F$9)*(1+$F$10)/(1-$F$12-$F$11-$G115-$F$13)-1,4)</f>
        <v>5.2600000000000001E-2</v>
      </c>
      <c r="I115" s="64"/>
      <c r="J115" s="32">
        <v>1</v>
      </c>
      <c r="K115" s="47"/>
      <c r="M115" s="7"/>
      <c r="N115" s="7"/>
    </row>
    <row r="116" spans="1:14" ht="12" x14ac:dyDescent="0.2">
      <c r="A116" s="2">
        <v>10</v>
      </c>
      <c r="B116" s="375" t="s">
        <v>135</v>
      </c>
      <c r="C116" s="376"/>
      <c r="D116" s="376"/>
      <c r="E116" s="376"/>
      <c r="F116" s="377"/>
      <c r="G116" s="66">
        <v>0.05</v>
      </c>
      <c r="H116" s="30">
        <f t="shared" si="4"/>
        <v>5.2600000000000001E-2</v>
      </c>
      <c r="I116" s="64"/>
      <c r="J116" s="32">
        <v>1</v>
      </c>
      <c r="K116" s="47"/>
      <c r="M116" s="7"/>
      <c r="N116" s="7"/>
    </row>
    <row r="117" spans="1:14" ht="12" x14ac:dyDescent="0.2">
      <c r="A117" s="2">
        <v>11</v>
      </c>
      <c r="B117" s="375" t="s">
        <v>136</v>
      </c>
      <c r="C117" s="376"/>
      <c r="D117" s="376"/>
      <c r="E117" s="376"/>
      <c r="F117" s="377"/>
      <c r="G117" s="66">
        <v>0.05</v>
      </c>
      <c r="H117" s="30">
        <f t="shared" si="4"/>
        <v>5.2600000000000001E-2</v>
      </c>
      <c r="I117" s="64"/>
      <c r="J117" s="32">
        <v>1</v>
      </c>
      <c r="K117" s="47"/>
      <c r="M117" s="7"/>
      <c r="N117" s="7"/>
    </row>
    <row r="118" spans="1:14" ht="12" x14ac:dyDescent="0.2">
      <c r="A118" s="2">
        <v>15</v>
      </c>
      <c r="B118" s="375" t="s">
        <v>137</v>
      </c>
      <c r="C118" s="376"/>
      <c r="D118" s="376"/>
      <c r="E118" s="376"/>
      <c r="F118" s="377"/>
      <c r="G118" s="66">
        <v>0.05</v>
      </c>
      <c r="H118" s="30">
        <f t="shared" si="4"/>
        <v>5.2600000000000001E-2</v>
      </c>
      <c r="I118" s="64"/>
      <c r="J118" s="32">
        <v>1</v>
      </c>
      <c r="K118" s="47"/>
      <c r="M118" s="7"/>
      <c r="N118" s="7"/>
    </row>
    <row r="119" spans="1:14" ht="11.25" hidden="1" customHeight="1" x14ac:dyDescent="0.2">
      <c r="A119" s="2">
        <v>6</v>
      </c>
      <c r="B119" s="375"/>
      <c r="C119" s="376"/>
      <c r="D119" s="376"/>
      <c r="E119" s="376"/>
      <c r="F119" s="377"/>
      <c r="G119" s="66"/>
      <c r="H119" s="30"/>
      <c r="I119" s="64"/>
      <c r="J119" s="32"/>
      <c r="K119" s="47"/>
      <c r="M119" s="7"/>
      <c r="N119" s="7"/>
    </row>
    <row r="120" spans="1:14" ht="15" customHeight="1" x14ac:dyDescent="0.2">
      <c r="A120" s="54"/>
      <c r="B120" s="54"/>
      <c r="C120" s="54"/>
      <c r="D120" s="54"/>
      <c r="E120" s="54"/>
      <c r="F120" s="54"/>
      <c r="G120" s="54"/>
      <c r="H120" s="54"/>
      <c r="I120" s="54"/>
      <c r="J120" s="54"/>
    </row>
    <row r="121" spans="1:14" ht="15" customHeight="1" x14ac:dyDescent="0.2">
      <c r="A121" s="340" t="s">
        <v>138</v>
      </c>
      <c r="B121" s="341"/>
      <c r="C121" s="341"/>
      <c r="D121" s="341"/>
      <c r="E121" s="341"/>
      <c r="F121" s="341"/>
      <c r="G121" s="341"/>
      <c r="H121" s="341"/>
      <c r="I121" s="341"/>
      <c r="J121" s="342"/>
      <c r="K121" s="6"/>
    </row>
    <row r="122" spans="1:14" ht="15" customHeight="1" x14ac:dyDescent="0.2">
      <c r="A122" s="337" t="s">
        <v>139</v>
      </c>
      <c r="B122" s="338"/>
      <c r="C122" s="338"/>
      <c r="D122" s="338"/>
      <c r="E122" s="338"/>
      <c r="F122" s="338"/>
      <c r="G122" s="338"/>
      <c r="H122" s="338"/>
      <c r="I122" s="338"/>
      <c r="J122" s="339"/>
      <c r="K122" s="6"/>
    </row>
    <row r="123" spans="1:14" ht="15" customHeight="1" x14ac:dyDescent="0.2">
      <c r="A123" s="54"/>
      <c r="B123" s="54"/>
      <c r="C123" s="54"/>
      <c r="D123" s="54"/>
      <c r="E123" s="54"/>
      <c r="F123" s="54"/>
      <c r="G123" s="55"/>
      <c r="H123" s="54"/>
      <c r="I123" s="55"/>
      <c r="J123" s="54"/>
    </row>
    <row r="124" spans="1:14" ht="15" customHeight="1" x14ac:dyDescent="0.2">
      <c r="A124" s="87"/>
      <c r="B124" s="87"/>
      <c r="C124" s="87"/>
      <c r="D124" s="87"/>
      <c r="E124" s="87"/>
      <c r="F124" s="87"/>
      <c r="G124" s="87"/>
      <c r="H124" s="87"/>
      <c r="I124" s="87"/>
      <c r="J124" s="88"/>
    </row>
    <row r="125" spans="1:14" ht="15" customHeight="1" x14ac:dyDescent="0.2">
      <c r="A125" s="89"/>
      <c r="B125" s="89"/>
      <c r="C125" s="89"/>
      <c r="D125" s="89"/>
      <c r="E125" s="89"/>
      <c r="F125" s="89"/>
      <c r="G125" s="89"/>
      <c r="H125" s="89"/>
      <c r="I125" s="89"/>
      <c r="J125" s="90"/>
    </row>
    <row r="126" spans="1:14" ht="15" customHeight="1" x14ac:dyDescent="0.2">
      <c r="A126" s="89"/>
      <c r="B126" s="89"/>
      <c r="C126" s="89"/>
      <c r="D126" s="89"/>
      <c r="E126" s="89"/>
      <c r="F126" s="89"/>
      <c r="G126" s="89"/>
      <c r="H126" s="89"/>
      <c r="I126" s="89"/>
      <c r="J126" s="90"/>
    </row>
    <row r="127" spans="1:14" ht="15" customHeight="1" x14ac:dyDescent="0.2">
      <c r="A127" s="89"/>
      <c r="B127" s="89"/>
      <c r="C127" s="89"/>
      <c r="D127" s="89"/>
      <c r="E127" s="89"/>
      <c r="F127" s="89"/>
      <c r="G127" s="89"/>
      <c r="H127" s="89"/>
      <c r="I127" s="89"/>
      <c r="J127" s="90"/>
    </row>
    <row r="128" spans="1:14" ht="15" customHeight="1" x14ac:dyDescent="0.2">
      <c r="A128" s="89"/>
      <c r="B128" s="89"/>
      <c r="C128" s="89"/>
      <c r="D128" s="89"/>
      <c r="E128" s="89"/>
      <c r="F128" s="89"/>
      <c r="G128" s="89"/>
      <c r="H128" s="89"/>
      <c r="I128" s="89"/>
      <c r="J128" s="90"/>
    </row>
    <row r="129" spans="1:11" ht="15" customHeight="1" x14ac:dyDescent="0.2">
      <c r="A129" s="91"/>
      <c r="B129" s="91"/>
      <c r="C129" s="91"/>
      <c r="D129" s="91"/>
      <c r="E129" s="91"/>
      <c r="F129" s="91"/>
      <c r="G129" s="91"/>
      <c r="H129" s="91"/>
      <c r="I129" s="91"/>
      <c r="J129" s="92"/>
    </row>
    <row r="130" spans="1:11" ht="15" customHeight="1" x14ac:dyDescent="0.2">
      <c r="A130" s="7"/>
      <c r="B130" s="7"/>
      <c r="C130" s="7"/>
      <c r="D130" s="7"/>
      <c r="E130" s="7"/>
      <c r="F130" s="7"/>
      <c r="G130" s="51"/>
      <c r="H130" s="7"/>
      <c r="I130" s="51"/>
      <c r="J130" s="7"/>
    </row>
    <row r="131" spans="1:11" ht="15" customHeight="1" x14ac:dyDescent="0.2">
      <c r="A131" s="7"/>
      <c r="B131" s="7"/>
      <c r="C131" s="7"/>
      <c r="D131" s="7"/>
      <c r="E131" s="7"/>
      <c r="F131" s="7"/>
      <c r="G131" s="51"/>
      <c r="H131" s="7"/>
      <c r="I131" s="51"/>
      <c r="J131" s="7"/>
    </row>
    <row r="132" spans="1:11" ht="15" customHeight="1" x14ac:dyDescent="0.2">
      <c r="A132" s="7"/>
      <c r="B132" s="7"/>
      <c r="C132" s="7"/>
      <c r="D132" s="7"/>
      <c r="E132" s="7"/>
      <c r="F132" s="7"/>
      <c r="G132" s="51"/>
      <c r="H132" s="7"/>
      <c r="I132" s="51"/>
      <c r="J132" s="7"/>
    </row>
    <row r="133" spans="1:11" ht="15" customHeight="1" x14ac:dyDescent="0.2">
      <c r="A133" s="7"/>
      <c r="B133" s="7"/>
      <c r="C133" s="7"/>
      <c r="D133" s="7"/>
      <c r="E133" s="7"/>
      <c r="F133" s="7"/>
      <c r="G133" s="51"/>
      <c r="H133" s="7"/>
      <c r="I133" s="51"/>
      <c r="J133" s="7"/>
    </row>
    <row r="134" spans="1:11" ht="97.9" customHeight="1" x14ac:dyDescent="0.2">
      <c r="A134" s="7"/>
      <c r="B134" s="7"/>
      <c r="C134" s="7"/>
      <c r="D134" s="7"/>
      <c r="E134" s="7"/>
      <c r="F134" s="7"/>
      <c r="G134" s="51"/>
      <c r="H134" s="7"/>
      <c r="I134" s="51"/>
      <c r="J134" s="7"/>
      <c r="K134" s="6"/>
    </row>
    <row r="135" spans="1:11" ht="15" customHeight="1" x14ac:dyDescent="0.2">
      <c r="A135" s="7"/>
      <c r="B135" s="7"/>
      <c r="C135" s="7"/>
      <c r="D135" s="7"/>
      <c r="E135" s="7"/>
      <c r="F135" s="7"/>
      <c r="G135" s="51"/>
      <c r="H135" s="7"/>
      <c r="I135" s="51"/>
      <c r="J135" s="7"/>
    </row>
    <row r="136" spans="1:11" ht="15" customHeight="1" x14ac:dyDescent="0.2">
      <c r="A136" s="7"/>
      <c r="B136" s="7"/>
      <c r="C136" s="7"/>
      <c r="D136" s="7"/>
      <c r="E136" s="7"/>
      <c r="F136" s="7"/>
      <c r="G136" s="51"/>
      <c r="H136" s="7"/>
      <c r="I136" s="51"/>
      <c r="J136" s="7"/>
    </row>
    <row r="137" spans="1:11" ht="15" customHeight="1" x14ac:dyDescent="0.2">
      <c r="A137" s="7"/>
      <c r="B137" s="7"/>
      <c r="C137" s="7"/>
      <c r="D137" s="7"/>
      <c r="E137" s="7"/>
      <c r="F137" s="7"/>
      <c r="G137" s="51"/>
      <c r="H137" s="7"/>
      <c r="I137" s="51"/>
      <c r="J137" s="7"/>
    </row>
    <row r="138" spans="1:11" ht="15" customHeight="1" x14ac:dyDescent="0.2">
      <c r="A138" s="7"/>
      <c r="B138" s="7"/>
      <c r="C138" s="7"/>
      <c r="D138" s="7"/>
      <c r="E138" s="7"/>
      <c r="F138" s="7"/>
      <c r="G138" s="51"/>
      <c r="H138" s="7"/>
      <c r="I138" s="51"/>
      <c r="J138" s="7"/>
    </row>
    <row r="139" spans="1:11" ht="15" customHeight="1" x14ac:dyDescent="0.2">
      <c r="A139" s="7"/>
      <c r="B139" s="7"/>
      <c r="C139" s="7"/>
      <c r="D139" s="7"/>
      <c r="E139" s="7"/>
      <c r="F139" s="7"/>
      <c r="G139" s="51"/>
      <c r="H139" s="7"/>
      <c r="I139" s="51"/>
      <c r="J139" s="7"/>
    </row>
    <row r="140" spans="1:11" ht="15" customHeight="1" x14ac:dyDescent="0.2">
      <c r="A140" s="7"/>
      <c r="B140" s="7"/>
      <c r="C140" s="7"/>
      <c r="D140" s="7"/>
      <c r="E140" s="7"/>
      <c r="F140" s="7"/>
      <c r="G140" s="51"/>
      <c r="H140" s="7"/>
      <c r="I140" s="51"/>
      <c r="J140" s="7"/>
    </row>
    <row r="141" spans="1:11" ht="15" customHeight="1" x14ac:dyDescent="0.2">
      <c r="A141" s="7"/>
      <c r="B141" s="7"/>
      <c r="C141" s="7"/>
      <c r="D141" s="7"/>
      <c r="E141" s="7"/>
      <c r="F141" s="7"/>
      <c r="G141" s="51"/>
      <c r="H141" s="7"/>
      <c r="I141" s="51"/>
      <c r="J141" s="7"/>
    </row>
    <row r="142" spans="1:11" ht="15" customHeight="1" x14ac:dyDescent="0.2">
      <c r="A142" s="7"/>
      <c r="B142" s="7"/>
      <c r="C142" s="7"/>
      <c r="D142" s="7"/>
      <c r="E142" s="7"/>
      <c r="F142" s="7"/>
      <c r="G142" s="51"/>
      <c r="H142" s="7"/>
      <c r="I142" s="51"/>
      <c r="J142" s="7"/>
    </row>
    <row r="143" spans="1:11" ht="15" customHeight="1" x14ac:dyDescent="0.2">
      <c r="A143" s="7"/>
      <c r="B143" s="7"/>
      <c r="C143" s="7"/>
      <c r="D143" s="7"/>
      <c r="E143" s="7"/>
      <c r="F143" s="7"/>
      <c r="G143" s="51"/>
      <c r="H143" s="7"/>
      <c r="I143" s="51"/>
      <c r="J143" s="7"/>
    </row>
    <row r="144" spans="1:11" ht="15" customHeight="1" x14ac:dyDescent="0.2">
      <c r="A144" s="7"/>
      <c r="B144" s="7"/>
      <c r="C144" s="7"/>
      <c r="D144" s="7"/>
      <c r="E144" s="7"/>
      <c r="F144" s="7"/>
      <c r="G144" s="51"/>
      <c r="H144" s="7"/>
      <c r="I144" s="51"/>
      <c r="J144" s="7"/>
    </row>
    <row r="145" spans="1:10" ht="15" customHeight="1" x14ac:dyDescent="0.2">
      <c r="A145" s="7"/>
      <c r="B145" s="7"/>
      <c r="C145" s="7"/>
      <c r="D145" s="7"/>
      <c r="E145" s="7"/>
      <c r="F145" s="7"/>
      <c r="G145" s="51"/>
      <c r="H145" s="7"/>
      <c r="I145" s="51"/>
      <c r="J145" s="7"/>
    </row>
    <row r="146" spans="1:10" ht="15" customHeight="1" x14ac:dyDescent="0.2">
      <c r="A146" s="7"/>
      <c r="B146" s="7"/>
      <c r="C146" s="7"/>
      <c r="D146" s="7"/>
      <c r="E146" s="7"/>
      <c r="F146" s="7"/>
      <c r="G146" s="51"/>
      <c r="H146" s="7"/>
      <c r="I146" s="51"/>
      <c r="J146" s="7"/>
    </row>
    <row r="147" spans="1:10" ht="15" customHeight="1" x14ac:dyDescent="0.2">
      <c r="A147" s="7"/>
      <c r="B147" s="7"/>
      <c r="C147" s="7"/>
      <c r="D147" s="7"/>
      <c r="E147" s="7"/>
      <c r="F147" s="7"/>
      <c r="G147" s="51"/>
      <c r="H147" s="7"/>
      <c r="I147" s="51"/>
      <c r="J147" s="7"/>
    </row>
    <row r="148" spans="1:10" ht="15" customHeight="1" x14ac:dyDescent="0.2">
      <c r="A148" s="7"/>
      <c r="B148" s="7"/>
      <c r="C148" s="7"/>
      <c r="D148" s="7"/>
      <c r="E148" s="7"/>
      <c r="F148" s="7"/>
      <c r="G148" s="51"/>
      <c r="H148" s="7"/>
      <c r="I148" s="51"/>
      <c r="J148" s="7"/>
    </row>
    <row r="149" spans="1:10" ht="15" customHeight="1" x14ac:dyDescent="0.2">
      <c r="A149" s="7"/>
      <c r="B149" s="7"/>
      <c r="C149" s="7"/>
      <c r="D149" s="7"/>
      <c r="E149" s="7"/>
      <c r="F149" s="7"/>
      <c r="G149" s="51"/>
      <c r="H149" s="7"/>
      <c r="I149" s="51"/>
      <c r="J149" s="7"/>
    </row>
    <row r="150" spans="1:10" ht="15" customHeight="1" x14ac:dyDescent="0.2">
      <c r="A150" s="7"/>
      <c r="B150" s="7"/>
      <c r="C150" s="7"/>
      <c r="D150" s="7"/>
      <c r="E150" s="7"/>
      <c r="F150" s="7"/>
      <c r="G150" s="51"/>
      <c r="H150" s="7"/>
      <c r="I150" s="51"/>
      <c r="J150" s="7"/>
    </row>
    <row r="151" spans="1:10" ht="15" customHeight="1" x14ac:dyDescent="0.2">
      <c r="A151" s="7"/>
      <c r="B151" s="7"/>
      <c r="C151" s="7"/>
      <c r="D151" s="7"/>
      <c r="E151" s="7"/>
      <c r="F151" s="7"/>
      <c r="G151" s="51"/>
      <c r="H151" s="7"/>
      <c r="I151" s="51"/>
      <c r="J151" s="7"/>
    </row>
    <row r="152" spans="1:10" ht="15" customHeight="1" x14ac:dyDescent="0.2">
      <c r="A152" s="7"/>
      <c r="B152" s="7"/>
      <c r="C152" s="7"/>
      <c r="D152" s="7"/>
      <c r="E152" s="7"/>
      <c r="F152" s="7"/>
      <c r="G152" s="51"/>
      <c r="H152" s="7"/>
      <c r="I152" s="51"/>
      <c r="J152" s="7"/>
    </row>
    <row r="153" spans="1:10" ht="15" customHeight="1" x14ac:dyDescent="0.2">
      <c r="A153" s="7"/>
      <c r="B153" s="7"/>
      <c r="C153" s="7"/>
      <c r="D153" s="7"/>
      <c r="E153" s="7"/>
      <c r="F153" s="7"/>
      <c r="G153" s="51"/>
      <c r="H153" s="7"/>
      <c r="I153" s="51"/>
      <c r="J153" s="7"/>
    </row>
    <row r="154" spans="1:10" ht="15" customHeight="1" x14ac:dyDescent="0.2">
      <c r="A154" s="7"/>
      <c r="B154" s="7"/>
      <c r="C154" s="7"/>
      <c r="D154" s="7"/>
      <c r="E154" s="7"/>
      <c r="F154" s="7"/>
      <c r="G154" s="51"/>
      <c r="H154" s="7"/>
      <c r="I154" s="51"/>
      <c r="J154" s="7"/>
    </row>
    <row r="155" spans="1:10" ht="15" customHeight="1" x14ac:dyDescent="0.2">
      <c r="A155" s="7"/>
      <c r="B155" s="7"/>
      <c r="C155" s="7"/>
      <c r="D155" s="7"/>
      <c r="E155" s="7"/>
      <c r="F155" s="7"/>
      <c r="G155" s="51"/>
      <c r="H155" s="7"/>
      <c r="I155" s="51"/>
      <c r="J155" s="7"/>
    </row>
    <row r="156" spans="1:10" ht="15" customHeight="1" x14ac:dyDescent="0.2">
      <c r="A156" s="7"/>
      <c r="B156" s="7"/>
      <c r="C156" s="7"/>
      <c r="D156" s="7"/>
      <c r="E156" s="7"/>
      <c r="F156" s="7"/>
      <c r="G156" s="51"/>
      <c r="H156" s="7"/>
      <c r="I156" s="51"/>
      <c r="J156" s="7"/>
    </row>
    <row r="157" spans="1:10" ht="15" customHeight="1" x14ac:dyDescent="0.2">
      <c r="A157" s="7"/>
      <c r="B157" s="7"/>
      <c r="C157" s="7"/>
      <c r="D157" s="7"/>
      <c r="E157" s="7"/>
      <c r="F157" s="7"/>
      <c r="G157" s="51"/>
      <c r="H157" s="7"/>
      <c r="I157" s="51"/>
      <c r="J157" s="7"/>
    </row>
    <row r="158" spans="1:10" ht="15" customHeight="1" x14ac:dyDescent="0.2">
      <c r="A158" s="7"/>
      <c r="B158" s="7"/>
      <c r="C158" s="7"/>
      <c r="D158" s="7"/>
      <c r="E158" s="7"/>
      <c r="F158" s="7"/>
      <c r="G158" s="51"/>
      <c r="H158" s="7"/>
      <c r="I158" s="51"/>
      <c r="J158" s="7"/>
    </row>
    <row r="159" spans="1:10" ht="15" customHeight="1" x14ac:dyDescent="0.2">
      <c r="A159" s="7"/>
      <c r="B159" s="7"/>
      <c r="C159" s="7"/>
      <c r="D159" s="7"/>
      <c r="E159" s="7"/>
      <c r="F159" s="7"/>
      <c r="G159" s="51"/>
      <c r="H159" s="7"/>
      <c r="I159" s="51"/>
      <c r="J159" s="7"/>
    </row>
    <row r="160" spans="1:10" ht="15" customHeight="1" x14ac:dyDescent="0.2">
      <c r="A160" s="7"/>
      <c r="B160" s="7"/>
      <c r="C160" s="7"/>
      <c r="D160" s="7"/>
      <c r="E160" s="7"/>
      <c r="F160" s="7"/>
      <c r="G160" s="51"/>
      <c r="H160" s="7"/>
      <c r="I160" s="51"/>
      <c r="J160" s="7"/>
    </row>
    <row r="161" spans="1:10" ht="15" customHeight="1" x14ac:dyDescent="0.2">
      <c r="A161" s="7"/>
      <c r="B161" s="7"/>
      <c r="C161" s="7"/>
      <c r="D161" s="7"/>
      <c r="E161" s="7"/>
      <c r="F161" s="7"/>
      <c r="G161" s="51"/>
      <c r="H161" s="7"/>
      <c r="I161" s="51"/>
      <c r="J161" s="7"/>
    </row>
    <row r="162" spans="1:10" ht="15" customHeight="1" x14ac:dyDescent="0.2">
      <c r="A162" s="7"/>
      <c r="B162" s="7"/>
      <c r="C162" s="7"/>
      <c r="D162" s="7"/>
      <c r="E162" s="7"/>
      <c r="F162" s="7"/>
      <c r="G162" s="51"/>
      <c r="H162" s="7"/>
      <c r="I162" s="51"/>
      <c r="J162" s="7"/>
    </row>
    <row r="163" spans="1:10" ht="15" customHeight="1" x14ac:dyDescent="0.2">
      <c r="A163" s="7"/>
      <c r="B163" s="7"/>
      <c r="C163" s="7"/>
      <c r="D163" s="7"/>
      <c r="E163" s="7"/>
      <c r="F163" s="7"/>
      <c r="G163" s="51"/>
      <c r="H163" s="7"/>
      <c r="I163" s="51"/>
      <c r="J163" s="7"/>
    </row>
    <row r="164" spans="1:10" ht="15" customHeight="1" x14ac:dyDescent="0.2">
      <c r="A164" s="7"/>
      <c r="B164" s="7"/>
      <c r="C164" s="7"/>
      <c r="D164" s="7"/>
      <c r="E164" s="7"/>
      <c r="F164" s="7"/>
      <c r="G164" s="51"/>
      <c r="H164" s="7"/>
      <c r="I164" s="51"/>
      <c r="J164" s="7"/>
    </row>
    <row r="165" spans="1:10" ht="15" customHeight="1" x14ac:dyDescent="0.2">
      <c r="A165" s="7"/>
      <c r="B165" s="7"/>
      <c r="C165" s="7"/>
      <c r="D165" s="7"/>
      <c r="E165" s="7"/>
      <c r="F165" s="7"/>
      <c r="G165" s="51"/>
      <c r="H165" s="7"/>
      <c r="I165" s="51"/>
      <c r="J165" s="7"/>
    </row>
    <row r="166" spans="1:10" ht="15" customHeight="1" x14ac:dyDescent="0.2">
      <c r="A166" s="7"/>
      <c r="B166" s="7"/>
      <c r="C166" s="7"/>
      <c r="D166" s="7"/>
      <c r="E166" s="7"/>
      <c r="F166" s="7"/>
      <c r="G166" s="51"/>
      <c r="H166" s="7"/>
      <c r="I166" s="51"/>
      <c r="J166" s="7"/>
    </row>
    <row r="167" spans="1:10" ht="15" customHeight="1" x14ac:dyDescent="0.2">
      <c r="A167" s="7"/>
      <c r="B167" s="7"/>
      <c r="C167" s="7"/>
      <c r="D167" s="7"/>
      <c r="E167" s="7"/>
      <c r="F167" s="7"/>
      <c r="G167" s="51"/>
      <c r="H167" s="7"/>
      <c r="I167" s="51"/>
      <c r="J167" s="7"/>
    </row>
    <row r="168" spans="1:10" ht="15" customHeight="1" x14ac:dyDescent="0.2">
      <c r="A168" s="7"/>
      <c r="B168" s="7"/>
      <c r="C168" s="7"/>
      <c r="D168" s="7"/>
      <c r="E168" s="7"/>
      <c r="F168" s="7"/>
      <c r="G168" s="51"/>
      <c r="H168" s="7"/>
      <c r="I168" s="51"/>
      <c r="J168" s="7"/>
    </row>
    <row r="169" spans="1:10" ht="15" customHeight="1" x14ac:dyDescent="0.2">
      <c r="A169" s="7"/>
      <c r="B169" s="7"/>
      <c r="C169" s="7"/>
      <c r="D169" s="7"/>
      <c r="E169" s="7"/>
      <c r="F169" s="7"/>
      <c r="G169" s="51"/>
      <c r="H169" s="7"/>
      <c r="I169" s="51"/>
      <c r="J169" s="7"/>
    </row>
    <row r="170" spans="1:10" ht="15" customHeight="1" x14ac:dyDescent="0.2">
      <c r="A170" s="7"/>
      <c r="B170" s="7"/>
      <c r="C170" s="7"/>
      <c r="D170" s="7"/>
      <c r="E170" s="7"/>
      <c r="F170" s="7"/>
      <c r="G170" s="51"/>
      <c r="H170" s="7"/>
      <c r="I170" s="51"/>
      <c r="J170" s="7"/>
    </row>
    <row r="171" spans="1:10" ht="15" customHeight="1" x14ac:dyDescent="0.2">
      <c r="A171" s="7"/>
      <c r="B171" s="7"/>
      <c r="C171" s="7"/>
      <c r="D171" s="7"/>
      <c r="E171" s="7"/>
      <c r="F171" s="7"/>
      <c r="G171" s="51"/>
      <c r="H171" s="7"/>
      <c r="I171" s="51"/>
      <c r="J171" s="7"/>
    </row>
    <row r="172" spans="1:10" ht="15" customHeight="1" x14ac:dyDescent="0.2">
      <c r="A172" s="7"/>
      <c r="B172" s="7"/>
      <c r="C172" s="7"/>
      <c r="D172" s="7"/>
      <c r="E172" s="7"/>
      <c r="F172" s="7"/>
      <c r="G172" s="51"/>
      <c r="H172" s="7"/>
      <c r="I172" s="51"/>
      <c r="J172" s="7"/>
    </row>
    <row r="173" spans="1:10" ht="15" customHeight="1" x14ac:dyDescent="0.2">
      <c r="A173" s="7"/>
      <c r="B173" s="7"/>
      <c r="C173" s="7"/>
      <c r="D173" s="7"/>
      <c r="E173" s="7"/>
      <c r="F173" s="7"/>
      <c r="G173" s="7"/>
      <c r="H173" s="7"/>
      <c r="I173" s="7"/>
      <c r="J173" s="7"/>
    </row>
    <row r="174" spans="1:10" ht="15" customHeight="1" x14ac:dyDescent="0.2">
      <c r="A174" s="7"/>
      <c r="B174" s="7"/>
      <c r="C174" s="7"/>
      <c r="D174" s="7"/>
      <c r="E174" s="7"/>
      <c r="F174" s="7"/>
      <c r="G174" s="7"/>
      <c r="H174" s="7"/>
      <c r="I174" s="7"/>
      <c r="J174" s="7"/>
    </row>
    <row r="175" spans="1:10" ht="15" customHeight="1" x14ac:dyDescent="0.2">
      <c r="A175" s="7"/>
      <c r="B175" s="7"/>
      <c r="C175" s="7"/>
      <c r="D175" s="7"/>
      <c r="E175" s="7"/>
      <c r="F175" s="7"/>
      <c r="G175" s="7"/>
      <c r="H175" s="7"/>
      <c r="I175" s="7"/>
      <c r="J175" s="7"/>
    </row>
    <row r="176" spans="1:10" ht="15" customHeight="1" x14ac:dyDescent="0.2">
      <c r="A176" s="7"/>
      <c r="B176" s="7"/>
      <c r="C176" s="7"/>
      <c r="D176" s="7"/>
      <c r="E176" s="7"/>
      <c r="F176" s="7"/>
      <c r="G176" s="7"/>
      <c r="H176" s="7"/>
      <c r="I176" s="7"/>
      <c r="J176" s="7"/>
    </row>
    <row r="177" spans="1:10" ht="15" customHeight="1" x14ac:dyDescent="0.2">
      <c r="A177" s="7"/>
      <c r="B177" s="7"/>
      <c r="C177" s="7"/>
      <c r="D177" s="7"/>
      <c r="E177" s="7"/>
      <c r="F177" s="7"/>
      <c r="G177" s="7"/>
      <c r="H177" s="7"/>
      <c r="I177" s="7"/>
      <c r="J177" s="7"/>
    </row>
    <row r="178" spans="1:10" ht="15" customHeight="1" x14ac:dyDescent="0.2">
      <c r="A178" s="7"/>
      <c r="B178" s="7"/>
      <c r="C178" s="7"/>
      <c r="D178" s="7"/>
      <c r="E178" s="7"/>
      <c r="F178" s="7"/>
      <c r="G178" s="7"/>
      <c r="H178" s="7"/>
      <c r="I178" s="7"/>
      <c r="J178" s="7"/>
    </row>
  </sheetData>
  <sheetProtection algorithmName="SHA-512" hashValue="IRAA5esYl4OeuW18Qr0zEqSh1bfc6CpG0NPhs9UTAMBuE8AyZdzTv+b+8Hd7cwq2uQNxE7D++gYUTig1+a7oSA==" saltValue="h3I/oRrNQcv9iPWt+ZVP4A==" spinCount="100000" sheet="1" objects="1" scenarios="1"/>
  <sortState xmlns:xlrd2="http://schemas.microsoft.com/office/spreadsheetml/2017/richdata2" ref="A119:J119">
    <sortCondition ref="B119"/>
  </sortState>
  <dataConsolidate/>
  <mergeCells count="138">
    <mergeCell ref="B113:F113"/>
    <mergeCell ref="B114:F114"/>
    <mergeCell ref="F93:G93"/>
    <mergeCell ref="F92:G92"/>
    <mergeCell ref="F102:G102"/>
    <mergeCell ref="F94:G94"/>
    <mergeCell ref="F95:G95"/>
    <mergeCell ref="F96:G96"/>
    <mergeCell ref="B102:E102"/>
    <mergeCell ref="B101:E101"/>
    <mergeCell ref="F101:G101"/>
    <mergeCell ref="B94:E94"/>
    <mergeCell ref="B93:E93"/>
    <mergeCell ref="F99:G99"/>
    <mergeCell ref="F98:G98"/>
    <mergeCell ref="B100:E100"/>
    <mergeCell ref="F100:G100"/>
    <mergeCell ref="B115:F115"/>
    <mergeCell ref="B116:F116"/>
    <mergeCell ref="B117:F117"/>
    <mergeCell ref="B118:F118"/>
    <mergeCell ref="B119:F119"/>
    <mergeCell ref="A53:I53"/>
    <mergeCell ref="H75:J75"/>
    <mergeCell ref="B75:G75"/>
    <mergeCell ref="A64:I64"/>
    <mergeCell ref="A62:I62"/>
    <mergeCell ref="A72:I72"/>
    <mergeCell ref="A66:J66"/>
    <mergeCell ref="B67:I67"/>
    <mergeCell ref="B68:I68"/>
    <mergeCell ref="B69:I69"/>
    <mergeCell ref="B70:H70"/>
    <mergeCell ref="B95:E95"/>
    <mergeCell ref="B96:E96"/>
    <mergeCell ref="B97:E97"/>
    <mergeCell ref="B98:E98"/>
    <mergeCell ref="B99:E99"/>
    <mergeCell ref="B92:E92"/>
    <mergeCell ref="F97:G97"/>
    <mergeCell ref="H105:J105"/>
    <mergeCell ref="H106:J106"/>
    <mergeCell ref="H107:J107"/>
    <mergeCell ref="A112:J112"/>
    <mergeCell ref="A104:J104"/>
    <mergeCell ref="B108:G108"/>
    <mergeCell ref="B109:G109"/>
    <mergeCell ref="B110:G110"/>
    <mergeCell ref="H108:J108"/>
    <mergeCell ref="H109:J109"/>
    <mergeCell ref="H110:J110"/>
    <mergeCell ref="B106:G106"/>
    <mergeCell ref="B107:G107"/>
    <mergeCell ref="A1:J1"/>
    <mergeCell ref="A2:E2"/>
    <mergeCell ref="A27:J27"/>
    <mergeCell ref="A11:E11"/>
    <mergeCell ref="A12:E12"/>
    <mergeCell ref="A3:E3"/>
    <mergeCell ref="A4:E4"/>
    <mergeCell ref="A6:E6"/>
    <mergeCell ref="A7:E7"/>
    <mergeCell ref="A14:E14"/>
    <mergeCell ref="F2:J2"/>
    <mergeCell ref="F3:J3"/>
    <mergeCell ref="F8:J8"/>
    <mergeCell ref="F9:J9"/>
    <mergeCell ref="F10:J10"/>
    <mergeCell ref="F11:J11"/>
    <mergeCell ref="F12:J12"/>
    <mergeCell ref="G6:J6"/>
    <mergeCell ref="A10:E10"/>
    <mergeCell ref="A5:E5"/>
    <mergeCell ref="F5:J5"/>
    <mergeCell ref="B19:I19"/>
    <mergeCell ref="A16:I16"/>
    <mergeCell ref="B17:I17"/>
    <mergeCell ref="F4:J4"/>
    <mergeCell ref="F7:J7"/>
    <mergeCell ref="B40:I40"/>
    <mergeCell ref="B41:I41"/>
    <mergeCell ref="B42:I42"/>
    <mergeCell ref="B43:I43"/>
    <mergeCell ref="B44:I44"/>
    <mergeCell ref="A55:J55"/>
    <mergeCell ref="B50:I50"/>
    <mergeCell ref="B51:I51"/>
    <mergeCell ref="B52:I52"/>
    <mergeCell ref="A8:E8"/>
    <mergeCell ref="A9:E9"/>
    <mergeCell ref="B46:I46"/>
    <mergeCell ref="B18:I18"/>
    <mergeCell ref="G14:J14"/>
    <mergeCell ref="A33:J33"/>
    <mergeCell ref="A31:I31"/>
    <mergeCell ref="A36:I36"/>
    <mergeCell ref="A13:E13"/>
    <mergeCell ref="F13:J13"/>
    <mergeCell ref="A122:J122"/>
    <mergeCell ref="A121:J121"/>
    <mergeCell ref="B84:G84"/>
    <mergeCell ref="B85:G85"/>
    <mergeCell ref="B86:G86"/>
    <mergeCell ref="B87:G87"/>
    <mergeCell ref="B88:G88"/>
    <mergeCell ref="B24:I24"/>
    <mergeCell ref="B28:I28"/>
    <mergeCell ref="B29:I29"/>
    <mergeCell ref="B30:I30"/>
    <mergeCell ref="B34:I34"/>
    <mergeCell ref="B35:I35"/>
    <mergeCell ref="A25:I25"/>
    <mergeCell ref="B45:I45"/>
    <mergeCell ref="B39:I39"/>
    <mergeCell ref="A49:J49"/>
    <mergeCell ref="H80:J80"/>
    <mergeCell ref="H76:J76"/>
    <mergeCell ref="B71:I71"/>
    <mergeCell ref="A82:J82"/>
    <mergeCell ref="A74:J74"/>
    <mergeCell ref="A47:I47"/>
    <mergeCell ref="F91:G91"/>
    <mergeCell ref="A90:J90"/>
    <mergeCell ref="A91:E91"/>
    <mergeCell ref="A38:J38"/>
    <mergeCell ref="B20:I20"/>
    <mergeCell ref="B21:I21"/>
    <mergeCell ref="B22:I22"/>
    <mergeCell ref="B23:I23"/>
    <mergeCell ref="B56:I56"/>
    <mergeCell ref="B57:I57"/>
    <mergeCell ref="B58:I58"/>
    <mergeCell ref="B59:I59"/>
    <mergeCell ref="B60:I60"/>
    <mergeCell ref="B61:I61"/>
    <mergeCell ref="H78:J78"/>
    <mergeCell ref="H77:J77"/>
    <mergeCell ref="H79:J79"/>
  </mergeCells>
  <conditionalFormatting sqref="F4:F5 F8:F14 G6 J114:J119">
    <cfRule type="cellIs" dxfId="8" priority="106" operator="greaterThan">
      <formula>0</formula>
    </cfRule>
  </conditionalFormatting>
  <conditionalFormatting sqref="F4:F5 F8:F14 H89:J89 H106:H110 G114:G119 I114:I119">
    <cfRule type="cellIs" dxfId="7" priority="105" operator="greaterThan">
      <formula>0</formula>
    </cfRule>
  </conditionalFormatting>
  <conditionalFormatting sqref="F4:F7">
    <cfRule type="notContainsBlanks" dxfId="6" priority="108">
      <formula>LEN(TRIM(F4))&gt;0</formula>
    </cfRule>
  </conditionalFormatting>
  <conditionalFormatting sqref="H77:H80">
    <cfRule type="cellIs" dxfId="5" priority="8" operator="greaterThan">
      <formula>0</formula>
    </cfRule>
  </conditionalFormatting>
  <conditionalFormatting sqref="H84:I88">
    <cfRule type="cellIs" dxfId="4" priority="1" operator="greaterThan">
      <formula>0</formula>
    </cfRule>
  </conditionalFormatting>
  <conditionalFormatting sqref="H92:I102 B102">
    <cfRule type="cellIs" dxfId="3" priority="7" operator="greaterThan">
      <formula>0</formula>
    </cfRule>
  </conditionalFormatting>
  <dataValidations count="5">
    <dataValidation type="decimal" operator="greaterThanOrEqual" allowBlank="1" showInputMessage="1" showErrorMessage="1" sqref="J70 F8:F14 G114:J119" xr:uid="{00000000-0002-0000-0100-000000000000}">
      <formula1>0</formula1>
    </dataValidation>
    <dataValidation operator="greaterThanOrEqual" allowBlank="1" showInputMessage="1" showErrorMessage="1" sqref="G14" xr:uid="{00000000-0002-0000-0100-000001000000}"/>
    <dataValidation type="list" showInputMessage="1" showErrorMessage="1" sqref="F7" xr:uid="{00000000-0002-0000-0100-000002000000}">
      <formula1>$N$1:$N$3</formula1>
    </dataValidation>
    <dataValidation type="list" operator="greaterThan" allowBlank="1" showInputMessage="1" showErrorMessage="1" sqref="F6" xr:uid="{00000000-0002-0000-0100-000003000000}">
      <formula1>$M$1:$M$2</formula1>
    </dataValidation>
    <dataValidation operator="greaterThan" allowBlank="1" showInputMessage="1" showErrorMessage="1" sqref="G6" xr:uid="{00000000-0002-0000-0100-000004000000}"/>
  </dataValidations>
  <printOptions horizontalCentered="1"/>
  <pageMargins left="0.6692913385826772" right="0.15748031496062992" top="0.43307086614173229" bottom="0.59055118110236227" header="0.23622047244094491" footer="0.31496062992125984"/>
  <pageSetup paperSize="9" scale="74" fitToHeight="2" orientation="portrait" r:id="rId1"/>
  <headerFooter>
    <oddHeader>&amp;C&amp;"-,Negrito"PLANILHA DE COMPOSIÇÃO DE CUSTOS</oddHeader>
    <oddFooter>&amp;C&amp;P</oddFooter>
  </headerFooter>
  <rowBreaks count="1" manualBreakCount="1">
    <brk id="89" max="9" man="1"/>
  </rowBreaks>
  <ignoredErrors>
    <ignoredError sqref="J84:J88" unlocked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pageSetUpPr fitToPage="1"/>
  </sheetPr>
  <dimension ref="A1:LV483"/>
  <sheetViews>
    <sheetView showGridLines="0" zoomScaleNormal="100" workbookViewId="0">
      <pane xSplit="7" ySplit="2" topLeftCell="H3" activePane="bottomRight" state="frozen"/>
      <selection pane="topRight" activeCell="B23" sqref="B23:E23"/>
      <selection pane="bottomLeft" activeCell="B23" sqref="B23:E23"/>
      <selection pane="bottomRight" sqref="A1:A2"/>
    </sheetView>
  </sheetViews>
  <sheetFormatPr defaultColWidth="9.140625" defaultRowHeight="12" x14ac:dyDescent="0.25"/>
  <cols>
    <col min="1" max="1" width="4" style="4" customWidth="1"/>
    <col min="2" max="2" width="23.7109375" style="4" bestFit="1" customWidth="1"/>
    <col min="3" max="3" width="7.5703125" style="4" bestFit="1" customWidth="1"/>
    <col min="4" max="4" width="33.85546875" style="25" customWidth="1"/>
    <col min="5" max="7" width="8.7109375" style="23" customWidth="1"/>
    <col min="8" max="8" width="8.7109375" style="238" customWidth="1"/>
    <col min="9" max="9" width="8.7109375" style="94" customWidth="1"/>
    <col min="10" max="10" width="10.42578125" style="238" customWidth="1"/>
    <col min="11" max="11" width="13.85546875" style="26" customWidth="1"/>
    <col min="12" max="12" width="10.28515625" style="26" customWidth="1"/>
    <col min="13" max="13" width="10.85546875" style="26" customWidth="1"/>
    <col min="14" max="14" width="9.140625" style="26" customWidth="1"/>
    <col min="15" max="15" width="8.28515625" style="26" customWidth="1"/>
    <col min="16" max="16" width="10.28515625" style="27" customWidth="1"/>
    <col min="17" max="17" width="7.42578125" style="27" customWidth="1"/>
    <col min="18" max="18" width="10.85546875" style="27" customWidth="1"/>
    <col min="19" max="19" width="14.85546875" style="27" customWidth="1"/>
    <col min="20" max="20" width="12.7109375" style="22" customWidth="1"/>
    <col min="21" max="21" width="1.42578125" style="22" customWidth="1"/>
    <col min="22" max="22" width="11" style="22" customWidth="1"/>
    <col min="23" max="23" width="12" style="22" customWidth="1"/>
    <col min="24" max="24" width="1.28515625" style="22" customWidth="1"/>
    <col min="25" max="25" width="12.140625" style="22" customWidth="1"/>
    <col min="26" max="26" width="9.85546875" style="22" customWidth="1"/>
    <col min="27" max="27" width="2" style="22" customWidth="1"/>
    <col min="28" max="28" width="5" style="22" customWidth="1"/>
    <col min="29" max="334" width="9.140625" style="22"/>
    <col min="335" max="16384" width="9.140625" style="4"/>
  </cols>
  <sheetData>
    <row r="1" spans="1:334" ht="36" customHeight="1" x14ac:dyDescent="0.25">
      <c r="A1" s="393" t="s">
        <v>127</v>
      </c>
      <c r="B1" s="393" t="s">
        <v>140</v>
      </c>
      <c r="C1" s="393" t="s">
        <v>141</v>
      </c>
      <c r="D1" s="393" t="s">
        <v>142</v>
      </c>
      <c r="E1" s="391" t="s">
        <v>143</v>
      </c>
      <c r="F1" s="391" t="s">
        <v>144</v>
      </c>
      <c r="G1" s="391" t="s">
        <v>145</v>
      </c>
      <c r="H1" s="397" t="s">
        <v>146</v>
      </c>
      <c r="I1" s="395" t="s">
        <v>147</v>
      </c>
      <c r="J1" s="397" t="s">
        <v>148</v>
      </c>
      <c r="K1" s="391" t="s">
        <v>149</v>
      </c>
      <c r="L1" s="391" t="s">
        <v>150</v>
      </c>
      <c r="M1" s="391" t="s">
        <v>151</v>
      </c>
      <c r="N1" s="391" t="s">
        <v>152</v>
      </c>
      <c r="O1" s="391" t="s">
        <v>153</v>
      </c>
      <c r="P1" s="391" t="s">
        <v>154</v>
      </c>
      <c r="Q1" s="391" t="s">
        <v>155</v>
      </c>
      <c r="R1" s="391" t="s">
        <v>156</v>
      </c>
      <c r="S1" s="391" t="s">
        <v>157</v>
      </c>
      <c r="T1" s="391" t="s">
        <v>158</v>
      </c>
      <c r="U1" s="69"/>
      <c r="V1" s="391" t="s">
        <v>159</v>
      </c>
      <c r="W1" s="391" t="s">
        <v>160</v>
      </c>
      <c r="Y1" s="391" t="s">
        <v>161</v>
      </c>
      <c r="Z1" s="391" t="s">
        <v>162</v>
      </c>
      <c r="LV1" s="4"/>
    </row>
    <row r="2" spans="1:334" ht="36" customHeight="1" x14ac:dyDescent="0.25">
      <c r="A2" s="394"/>
      <c r="B2" s="394"/>
      <c r="C2" s="394"/>
      <c r="D2" s="394"/>
      <c r="E2" s="392"/>
      <c r="F2" s="392"/>
      <c r="G2" s="392"/>
      <c r="H2" s="398"/>
      <c r="I2" s="396"/>
      <c r="J2" s="398"/>
      <c r="K2" s="392"/>
      <c r="L2" s="392"/>
      <c r="M2" s="392"/>
      <c r="N2" s="392"/>
      <c r="O2" s="392"/>
      <c r="P2" s="392"/>
      <c r="Q2" s="392"/>
      <c r="R2" s="392"/>
      <c r="S2" s="392"/>
      <c r="T2" s="392"/>
      <c r="U2" s="69"/>
      <c r="V2" s="392"/>
      <c r="W2" s="392"/>
      <c r="Y2" s="392"/>
      <c r="Z2" s="392"/>
      <c r="LV2" s="4"/>
    </row>
    <row r="3" spans="1:334" s="23" customFormat="1" ht="36" x14ac:dyDescent="0.25">
      <c r="A3" s="18">
        <v>5</v>
      </c>
      <c r="B3" s="19" t="str">
        <f>VLOOKUP($A3,'Indicadores Financeiros'!$A$114:$J$217,2,FALSE)</f>
        <v>São Paulo - Fórum Criminal - Complexo Judiciário Ministro Mário Guimarães</v>
      </c>
      <c r="C3" s="201">
        <v>551188</v>
      </c>
      <c r="D3" s="5" t="str">
        <f>VLOOKUP($C3,'Tabela de Códigos e Valores'!$A:$J,2,FALSE)</f>
        <v>Supervisor geral especializado em refrigeração, controle e administração</v>
      </c>
      <c r="E3" s="2" t="str">
        <f>VLOOKUP($C3,'Tabela de Códigos e Valores'!$A:$J,5,FALSE)</f>
        <v>Posto</v>
      </c>
      <c r="F3" s="2">
        <f>VLOOKUP($A3,'Indicadores Financeiros'!$A$114:$J$1120,10,FALSE)</f>
        <v>1</v>
      </c>
      <c r="G3" s="2" t="str">
        <f>VLOOKUP($C3,'Tabela de Códigos e Valores'!$A:$J,6,FALSE)</f>
        <v>Mensal</v>
      </c>
      <c r="H3" s="235">
        <f>VLOOKUP($C3,'Tabela de Códigos e Valores'!$A:$AE,7,FALSE)</f>
        <v>1</v>
      </c>
      <c r="I3" s="113">
        <f>VLOOKUP($C3,'Tabela de Códigos e Valores'!$A:$AE,8,FALSE)</f>
        <v>20.75</v>
      </c>
      <c r="J3" s="239">
        <v>1</v>
      </c>
      <c r="K3" s="113">
        <f>VLOOKUP($C3,'Tabela de Códigos e Valores'!$A:$AE,12,FALSE)</f>
        <v>0</v>
      </c>
      <c r="L3" s="113">
        <f>VLOOKUP($C3,'Tabela de Códigos e Valores'!$A:$AE,13,FALSE)</f>
        <v>0</v>
      </c>
      <c r="M3" s="113">
        <f>VLOOKUP($C3,'Tabela de Códigos e Valores'!$A:$AE,25,FALSE)</f>
        <v>0</v>
      </c>
      <c r="N3" s="113">
        <f>IF(E3&lt;&gt;"posto",VLOOKUP($C3,'Tabela de Códigos e Valores'!$A:$AA,26,FALSE),IF(ROUND((VLOOKUP($B3,'Indicadores Financeiros'!$B$114:$J$119,8,FALSE)*I3)-(VLOOKUP($C3,'Tabela de Códigos e Valores'!A:I,9,FALSE)*6%),2)&lt;0,0,ROUND((VLOOKUP($B3,'Indicadores Financeiros'!$B$114:$J$119,8,FALSE)*I3)-(VLOOKUP($C3,'Tabela de Códigos e Valores'!A:I,9,FALSE)*6%),2)))</f>
        <v>0</v>
      </c>
      <c r="O3" s="113">
        <f>VLOOKUP($C3,'Tabela de Códigos e Valores'!$A:$AE,27,FALSE)</f>
        <v>0</v>
      </c>
      <c r="P3" s="21">
        <f>ROUND(SUM(K3:O3),2)</f>
        <v>0</v>
      </c>
      <c r="Q3" s="114">
        <f>VLOOKUP($A3,'Indicadores Financeiros'!$A$114:$J$119,8,FALSE)</f>
        <v>5.2600000000000001E-2</v>
      </c>
      <c r="R3" s="21">
        <f>ROUND(P3*(1+Q3),2)</f>
        <v>0</v>
      </c>
      <c r="S3" s="29">
        <f>ROUND(R3*J3,2)</f>
        <v>0</v>
      </c>
      <c r="T3" s="59">
        <f>ROUND(S3*ROUND(('Indicadores Financeiros'!$F$14-F3+1),2),2)</f>
        <v>0</v>
      </c>
      <c r="U3" s="69"/>
      <c r="V3" s="59">
        <f>IF(E3="Posto",ROUND(J3*K3,2),0)</f>
        <v>0</v>
      </c>
      <c r="W3" s="59">
        <f>ROUND('Indicadores Financeiros'!$J$72*$V3,2)</f>
        <v>0</v>
      </c>
      <c r="X3" s="22"/>
      <c r="Y3" s="20">
        <f t="shared" ref="Y3:Y20" si="0">IF(J3=0,0,IF(E3="Posto",ROUND($R3/$I3,2),0))</f>
        <v>0</v>
      </c>
      <c r="Z3" s="20">
        <f>IF(J3=0,0,IF(E3="Posto",ROUND(ROUND(ROUND((VLOOKUP($C3,'Tabela de Códigos e Valores'!$A:$AE,23,FALSE)/'Relatório Custo'!I3),2)+ROUND(VLOOKUP($C3,'Tabela de Códigos e Valores'!$A:$AE,26,FALSE)/'Relatório Custo'!I3,2)+ROUND((('Indicadores Financeiros'!$J$62*'Relatório Custo'!K3)/'Relatório Custo'!I3),2),2)*(1+Q3),2),0))</f>
        <v>0</v>
      </c>
      <c r="AA3" s="22"/>
      <c r="AB3" s="22"/>
      <c r="AC3" s="22"/>
      <c r="AD3" s="22"/>
      <c r="AE3" s="22"/>
      <c r="AF3" s="22"/>
      <c r="AG3" s="22"/>
      <c r="AH3" s="22"/>
      <c r="AI3" s="22"/>
      <c r="AJ3" s="22"/>
      <c r="AK3" s="22"/>
      <c r="AL3" s="22"/>
      <c r="AM3" s="22"/>
      <c r="AN3" s="22"/>
      <c r="AO3" s="22"/>
      <c r="AP3" s="22"/>
      <c r="AQ3" s="22"/>
      <c r="AR3" s="22"/>
      <c r="AS3" s="22"/>
      <c r="AT3" s="22"/>
      <c r="AU3" s="22"/>
      <c r="AV3" s="22"/>
      <c r="AW3" s="22"/>
      <c r="AX3" s="22"/>
      <c r="AY3" s="22"/>
      <c r="AZ3" s="22"/>
      <c r="BA3" s="22"/>
      <c r="BB3" s="22"/>
      <c r="BC3" s="22"/>
      <c r="BD3" s="22"/>
      <c r="BE3" s="22"/>
      <c r="BF3" s="22"/>
      <c r="BG3" s="22"/>
      <c r="BH3" s="22"/>
      <c r="BI3" s="22"/>
      <c r="BJ3" s="22"/>
      <c r="BK3" s="22"/>
      <c r="BL3" s="22"/>
      <c r="BM3" s="22"/>
      <c r="BN3" s="22"/>
      <c r="BO3" s="22"/>
      <c r="BP3" s="22"/>
      <c r="BQ3" s="22"/>
      <c r="BR3" s="22"/>
      <c r="BS3" s="22"/>
      <c r="BT3" s="22"/>
      <c r="BU3" s="22"/>
      <c r="BV3" s="22"/>
      <c r="BW3" s="22"/>
      <c r="BX3" s="22"/>
      <c r="BY3" s="22"/>
      <c r="BZ3" s="22"/>
      <c r="CA3" s="22"/>
      <c r="CB3" s="22"/>
      <c r="CC3" s="22"/>
      <c r="CD3" s="22"/>
      <c r="CE3" s="22"/>
      <c r="CF3" s="22"/>
      <c r="CG3" s="22"/>
      <c r="CH3" s="22"/>
      <c r="CI3" s="22"/>
      <c r="CJ3" s="22"/>
      <c r="CK3" s="22"/>
      <c r="CL3" s="22"/>
      <c r="CM3" s="22"/>
      <c r="CN3" s="22"/>
      <c r="CO3" s="22"/>
      <c r="CP3" s="22"/>
      <c r="CQ3" s="22"/>
      <c r="CR3" s="22"/>
      <c r="CS3" s="22"/>
      <c r="CT3" s="22"/>
      <c r="CU3" s="22"/>
      <c r="CV3" s="22"/>
      <c r="CW3" s="22"/>
      <c r="CX3" s="22"/>
      <c r="CY3" s="22"/>
      <c r="CZ3" s="22"/>
      <c r="DA3" s="22"/>
      <c r="DB3" s="22"/>
      <c r="DC3" s="22"/>
      <c r="DD3" s="22"/>
      <c r="DE3" s="22"/>
      <c r="DF3" s="22"/>
      <c r="DG3" s="22"/>
      <c r="DH3" s="22"/>
      <c r="DI3" s="22"/>
      <c r="DJ3" s="22"/>
      <c r="DK3" s="22"/>
      <c r="DL3" s="22"/>
      <c r="DM3" s="22"/>
      <c r="DN3" s="22"/>
      <c r="DO3" s="22"/>
      <c r="DP3" s="22"/>
      <c r="DQ3" s="22"/>
      <c r="DR3" s="22"/>
      <c r="DS3" s="22"/>
      <c r="DT3" s="22"/>
      <c r="DU3" s="22"/>
      <c r="DV3" s="22"/>
      <c r="DW3" s="22"/>
      <c r="DX3" s="22"/>
      <c r="DY3" s="22"/>
      <c r="DZ3" s="22"/>
      <c r="EA3" s="22"/>
      <c r="EB3" s="22"/>
      <c r="EC3" s="22"/>
      <c r="ED3" s="22"/>
      <c r="EE3" s="22"/>
      <c r="EF3" s="22"/>
      <c r="EG3" s="22"/>
      <c r="EH3" s="22"/>
      <c r="EI3" s="22"/>
      <c r="EJ3" s="22"/>
      <c r="EK3" s="22"/>
      <c r="EL3" s="22"/>
      <c r="EM3" s="22"/>
      <c r="EN3" s="22"/>
      <c r="EO3" s="22"/>
      <c r="EP3" s="22"/>
      <c r="EQ3" s="22"/>
      <c r="ER3" s="22"/>
      <c r="ES3" s="22"/>
      <c r="ET3" s="22"/>
      <c r="EU3" s="22"/>
      <c r="EV3" s="22"/>
      <c r="EW3" s="22"/>
      <c r="EX3" s="22"/>
      <c r="EY3" s="22"/>
      <c r="EZ3" s="22"/>
      <c r="FA3" s="22"/>
      <c r="FB3" s="22"/>
      <c r="FC3" s="22"/>
      <c r="FD3" s="22"/>
      <c r="FE3" s="22"/>
      <c r="FF3" s="22"/>
      <c r="FG3" s="22"/>
      <c r="FH3" s="22"/>
      <c r="FI3" s="22"/>
      <c r="FJ3" s="22"/>
      <c r="FK3" s="22"/>
      <c r="FL3" s="22"/>
      <c r="FM3" s="22"/>
      <c r="FN3" s="22"/>
      <c r="FO3" s="22"/>
      <c r="FP3" s="22"/>
      <c r="FQ3" s="22"/>
      <c r="FR3" s="22"/>
      <c r="FS3" s="22"/>
      <c r="FT3" s="22"/>
      <c r="FU3" s="22"/>
      <c r="FV3" s="22"/>
      <c r="FW3" s="22"/>
      <c r="FX3" s="22"/>
      <c r="FY3" s="22"/>
      <c r="FZ3" s="22"/>
      <c r="GA3" s="22"/>
      <c r="GB3" s="22"/>
      <c r="GC3" s="22"/>
      <c r="GD3" s="22"/>
      <c r="GE3" s="22"/>
      <c r="GF3" s="22"/>
      <c r="GG3" s="22"/>
      <c r="GH3" s="22"/>
      <c r="GI3" s="22"/>
      <c r="GJ3" s="22"/>
      <c r="GK3" s="22"/>
      <c r="GL3" s="22"/>
      <c r="GM3" s="22"/>
      <c r="GN3" s="22"/>
      <c r="GO3" s="22"/>
      <c r="GP3" s="22"/>
      <c r="GQ3" s="22"/>
      <c r="GR3" s="22"/>
      <c r="GS3" s="22"/>
      <c r="GT3" s="22"/>
      <c r="GU3" s="22"/>
      <c r="GV3" s="22"/>
      <c r="GW3" s="22"/>
      <c r="GX3" s="22"/>
      <c r="GY3" s="22"/>
      <c r="GZ3" s="22"/>
      <c r="HA3" s="22"/>
      <c r="HB3" s="22"/>
      <c r="HC3" s="22"/>
      <c r="HD3" s="22"/>
      <c r="HE3" s="22"/>
      <c r="HF3" s="22"/>
      <c r="HG3" s="22"/>
      <c r="HH3" s="22"/>
      <c r="HI3" s="22"/>
      <c r="HJ3" s="22"/>
      <c r="HK3" s="22"/>
      <c r="HL3" s="22"/>
      <c r="HM3" s="22"/>
      <c r="HN3" s="22"/>
      <c r="HO3" s="22"/>
      <c r="HP3" s="22"/>
      <c r="HQ3" s="22"/>
      <c r="HR3" s="22"/>
      <c r="HS3" s="22"/>
      <c r="HT3" s="22"/>
      <c r="HU3" s="22"/>
      <c r="HV3" s="22"/>
      <c r="HW3" s="22"/>
      <c r="HX3" s="22"/>
      <c r="HY3" s="22"/>
      <c r="HZ3" s="22"/>
      <c r="IA3" s="22"/>
      <c r="IB3" s="22"/>
      <c r="IC3" s="22"/>
      <c r="ID3" s="22"/>
      <c r="IE3" s="22"/>
      <c r="IF3" s="22"/>
      <c r="IG3" s="22"/>
      <c r="IH3" s="22"/>
      <c r="II3" s="22"/>
      <c r="IJ3" s="22"/>
      <c r="IK3" s="22"/>
      <c r="IL3" s="22"/>
      <c r="IM3" s="22"/>
      <c r="IN3" s="22"/>
      <c r="IO3" s="22"/>
      <c r="IP3" s="22"/>
      <c r="IQ3" s="22"/>
      <c r="IR3" s="22"/>
      <c r="IS3" s="22"/>
      <c r="IT3" s="22"/>
      <c r="IU3" s="22"/>
      <c r="IV3" s="22"/>
      <c r="IW3" s="22"/>
      <c r="IX3" s="22"/>
      <c r="IY3" s="22"/>
      <c r="IZ3" s="22"/>
      <c r="JA3" s="22"/>
      <c r="JB3" s="22"/>
      <c r="JC3" s="22"/>
      <c r="JD3" s="22"/>
      <c r="JE3" s="22"/>
      <c r="JF3" s="22"/>
      <c r="JG3" s="22"/>
      <c r="JH3" s="22"/>
      <c r="JI3" s="22"/>
      <c r="JJ3" s="22"/>
      <c r="JK3" s="22"/>
      <c r="JL3" s="22"/>
      <c r="JM3" s="22"/>
      <c r="JN3" s="22"/>
      <c r="JO3" s="22"/>
      <c r="JP3" s="22"/>
      <c r="JQ3" s="22"/>
      <c r="JR3" s="22"/>
      <c r="JS3" s="22"/>
      <c r="JT3" s="22"/>
      <c r="JU3" s="22"/>
      <c r="JV3" s="22"/>
      <c r="JW3" s="22"/>
      <c r="JX3" s="22"/>
      <c r="JY3" s="22"/>
      <c r="JZ3" s="22"/>
      <c r="KA3" s="22"/>
      <c r="KB3" s="22"/>
      <c r="KC3" s="22"/>
      <c r="KD3" s="22"/>
      <c r="KE3" s="22"/>
      <c r="KF3" s="22"/>
      <c r="KG3" s="22"/>
      <c r="KH3" s="22"/>
      <c r="KI3" s="22"/>
      <c r="KJ3" s="22"/>
      <c r="KK3" s="22"/>
      <c r="KL3" s="22"/>
      <c r="KM3" s="22"/>
      <c r="KN3" s="22"/>
      <c r="KO3" s="22"/>
      <c r="KP3" s="22"/>
      <c r="KQ3" s="22"/>
      <c r="KR3" s="22"/>
      <c r="KS3" s="22"/>
      <c r="KT3" s="22"/>
      <c r="KU3" s="22"/>
      <c r="KV3" s="22"/>
      <c r="KW3" s="22"/>
      <c r="KX3" s="22"/>
      <c r="KY3" s="22"/>
      <c r="KZ3" s="22"/>
      <c r="LA3" s="22"/>
      <c r="LB3" s="22"/>
      <c r="LC3" s="22"/>
      <c r="LD3" s="22"/>
      <c r="LE3" s="22"/>
      <c r="LF3" s="22"/>
      <c r="LG3" s="22"/>
      <c r="LH3" s="22"/>
      <c r="LI3" s="22"/>
      <c r="LJ3" s="22"/>
      <c r="LK3" s="22"/>
      <c r="LL3" s="22"/>
      <c r="LM3" s="22"/>
      <c r="LN3" s="22"/>
      <c r="LO3" s="22"/>
      <c r="LP3" s="22"/>
      <c r="LQ3" s="22"/>
      <c r="LR3" s="22"/>
      <c r="LS3" s="22"/>
      <c r="LT3" s="22"/>
      <c r="LU3" s="22"/>
    </row>
    <row r="4" spans="1:334" s="23" customFormat="1" ht="36" x14ac:dyDescent="0.25">
      <c r="A4" s="18">
        <v>5</v>
      </c>
      <c r="B4" s="19" t="str">
        <f>VLOOKUP($A4,'Indicadores Financeiros'!$A$114:$J$217,2,FALSE)</f>
        <v>São Paulo - Fórum Criminal - Complexo Judiciário Ministro Mário Guimarães</v>
      </c>
      <c r="C4" s="201">
        <v>551189</v>
      </c>
      <c r="D4" s="5" t="str">
        <f>VLOOKUP($C4,'Tabela de Códigos e Valores'!$A:$J,2,FALSE)</f>
        <v>Técnico mecânico especializado em Refrigeração</v>
      </c>
      <c r="E4" s="2" t="str">
        <f>VLOOKUP($C4,'Tabela de Códigos e Valores'!$A:$J,5,FALSE)</f>
        <v>Posto</v>
      </c>
      <c r="F4" s="2">
        <f>VLOOKUP($A4,'Indicadores Financeiros'!$A$114:$J$1120,10,FALSE)</f>
        <v>1</v>
      </c>
      <c r="G4" s="2" t="str">
        <f>VLOOKUP($C4,'Tabela de Códigos e Valores'!$A:$J,6,FALSE)</f>
        <v>Mensal</v>
      </c>
      <c r="H4" s="235">
        <f>VLOOKUP($C4,'Tabela de Códigos e Valores'!$A:$AE,7,FALSE)</f>
        <v>1</v>
      </c>
      <c r="I4" s="113">
        <f>VLOOKUP($C4,'Tabela de Códigos e Valores'!$A:$AE,8,FALSE)</f>
        <v>20.75</v>
      </c>
      <c r="J4" s="239">
        <v>2</v>
      </c>
      <c r="K4" s="113">
        <f>VLOOKUP($C4,'Tabela de Códigos e Valores'!$A:$AE,12,FALSE)</f>
        <v>0</v>
      </c>
      <c r="L4" s="113">
        <f>VLOOKUP($C4,'Tabela de Códigos e Valores'!$A:$AE,13,FALSE)</f>
        <v>0</v>
      </c>
      <c r="M4" s="113">
        <f>VLOOKUP($C4,'Tabela de Códigos e Valores'!$A:$AE,25,FALSE)</f>
        <v>0</v>
      </c>
      <c r="N4" s="113">
        <f>IF(E4&lt;&gt;"posto",VLOOKUP($C4,'Tabela de Códigos e Valores'!$A:$AA,26,FALSE),IF(ROUND((VLOOKUP($B4,'Indicadores Financeiros'!$B$114:$J$119,8,FALSE)*I4)-(VLOOKUP($C4,'Tabela de Códigos e Valores'!A:I,9,FALSE)*6%),2)&lt;0,0,ROUND((VLOOKUP($B4,'Indicadores Financeiros'!$B$114:$J$119,8,FALSE)*I4)-(VLOOKUP($C4,'Tabela de Códigos e Valores'!A:I,9,FALSE)*6%),2)))</f>
        <v>0</v>
      </c>
      <c r="O4" s="113">
        <f>VLOOKUP($C4,'Tabela de Códigos e Valores'!$A:$AE,27,FALSE)</f>
        <v>0</v>
      </c>
      <c r="P4" s="21">
        <f t="shared" ref="P4:P20" si="1">ROUND(SUM(K4:O4),2)</f>
        <v>0</v>
      </c>
      <c r="Q4" s="114">
        <f>VLOOKUP($A4,'Indicadores Financeiros'!$A$114:$J$119,8,FALSE)</f>
        <v>5.2600000000000001E-2</v>
      </c>
      <c r="R4" s="21">
        <f t="shared" ref="R4:R20" si="2">ROUND(P4*(1+Q4),2)</f>
        <v>0</v>
      </c>
      <c r="S4" s="29">
        <f t="shared" ref="S4:S20" si="3">ROUND(R4*J4,2)</f>
        <v>0</v>
      </c>
      <c r="T4" s="59">
        <f>ROUND(S4*ROUND(('Indicadores Financeiros'!$F$14-F4+1),2),2)</f>
        <v>0</v>
      </c>
      <c r="U4" s="69"/>
      <c r="V4" s="59">
        <f t="shared" ref="V4:V20" si="4">IF(E4="Posto",ROUND(J4*K4,2),0)</f>
        <v>0</v>
      </c>
      <c r="W4" s="59">
        <f>ROUND('Indicadores Financeiros'!$J$72*$V4,2)</f>
        <v>0</v>
      </c>
      <c r="X4" s="22"/>
      <c r="Y4" s="20">
        <f t="shared" si="0"/>
        <v>0</v>
      </c>
      <c r="Z4" s="20">
        <f>IF(J4=0,0,IF(E4="Posto",ROUND(ROUND(ROUND((VLOOKUP($C4,'Tabela de Códigos e Valores'!$A:$AE,23,FALSE)/'Relatório Custo'!I4),2)+ROUND(VLOOKUP($C4,'Tabela de Códigos e Valores'!$A:$AE,26,FALSE)/'Relatório Custo'!I4,2)+ROUND((('Indicadores Financeiros'!$J$62*'Relatório Custo'!K4)/'Relatório Custo'!I4),2),2)*(1+Q4),2),0))</f>
        <v>0</v>
      </c>
      <c r="AA4" s="22"/>
      <c r="AB4" s="22"/>
      <c r="AC4" s="22"/>
      <c r="AD4" s="22"/>
      <c r="AE4" s="22"/>
      <c r="AF4" s="22"/>
      <c r="AG4" s="22"/>
      <c r="AH4" s="22"/>
      <c r="AI4" s="22"/>
      <c r="AJ4" s="22"/>
      <c r="AK4" s="22"/>
      <c r="AL4" s="22"/>
      <c r="AM4" s="22"/>
      <c r="AN4" s="22"/>
      <c r="AO4" s="22"/>
      <c r="AP4" s="22"/>
      <c r="AQ4" s="22"/>
      <c r="AR4" s="22"/>
      <c r="AS4" s="22"/>
      <c r="AT4" s="22"/>
      <c r="AU4" s="22"/>
      <c r="AV4" s="22"/>
      <c r="AW4" s="22"/>
      <c r="AX4" s="22"/>
      <c r="AY4" s="22"/>
      <c r="AZ4" s="22"/>
      <c r="BA4" s="22"/>
      <c r="BB4" s="22"/>
      <c r="BC4" s="22"/>
      <c r="BD4" s="22"/>
      <c r="BE4" s="22"/>
      <c r="BF4" s="22"/>
      <c r="BG4" s="22"/>
      <c r="BH4" s="22"/>
      <c r="BI4" s="22"/>
      <c r="BJ4" s="22"/>
      <c r="BK4" s="22"/>
      <c r="BL4" s="22"/>
      <c r="BM4" s="22"/>
      <c r="BN4" s="22"/>
      <c r="BO4" s="22"/>
      <c r="BP4" s="22"/>
      <c r="BQ4" s="22"/>
      <c r="BR4" s="22"/>
      <c r="BS4" s="22"/>
      <c r="BT4" s="22"/>
      <c r="BU4" s="22"/>
      <c r="BV4" s="22"/>
      <c r="BW4" s="22"/>
      <c r="BX4" s="22"/>
      <c r="BY4" s="22"/>
      <c r="BZ4" s="22"/>
      <c r="CA4" s="22"/>
      <c r="CB4" s="22"/>
      <c r="CC4" s="22"/>
      <c r="CD4" s="22"/>
      <c r="CE4" s="22"/>
      <c r="CF4" s="22"/>
      <c r="CG4" s="22"/>
      <c r="CH4" s="22"/>
      <c r="CI4" s="22"/>
      <c r="CJ4" s="22"/>
      <c r="CK4" s="22"/>
      <c r="CL4" s="22"/>
      <c r="CM4" s="22"/>
      <c r="CN4" s="22"/>
      <c r="CO4" s="22"/>
      <c r="CP4" s="22"/>
      <c r="CQ4" s="22"/>
      <c r="CR4" s="22"/>
      <c r="CS4" s="22"/>
      <c r="CT4" s="22"/>
      <c r="CU4" s="22"/>
      <c r="CV4" s="22"/>
      <c r="CW4" s="22"/>
      <c r="CX4" s="22"/>
      <c r="CY4" s="22"/>
      <c r="CZ4" s="22"/>
      <c r="DA4" s="22"/>
      <c r="DB4" s="22"/>
      <c r="DC4" s="22"/>
      <c r="DD4" s="22"/>
      <c r="DE4" s="22"/>
      <c r="DF4" s="22"/>
      <c r="DG4" s="22"/>
      <c r="DH4" s="22"/>
      <c r="DI4" s="22"/>
      <c r="DJ4" s="22"/>
      <c r="DK4" s="22"/>
      <c r="DL4" s="22"/>
      <c r="DM4" s="22"/>
      <c r="DN4" s="22"/>
      <c r="DO4" s="22"/>
      <c r="DP4" s="22"/>
      <c r="DQ4" s="22"/>
      <c r="DR4" s="22"/>
      <c r="DS4" s="22"/>
      <c r="DT4" s="22"/>
      <c r="DU4" s="22"/>
      <c r="DV4" s="22"/>
      <c r="DW4" s="22"/>
      <c r="DX4" s="22"/>
      <c r="DY4" s="22"/>
      <c r="DZ4" s="22"/>
      <c r="EA4" s="22"/>
      <c r="EB4" s="22"/>
      <c r="EC4" s="22"/>
      <c r="ED4" s="22"/>
      <c r="EE4" s="22"/>
      <c r="EF4" s="22"/>
      <c r="EG4" s="22"/>
      <c r="EH4" s="22"/>
      <c r="EI4" s="22"/>
      <c r="EJ4" s="22"/>
      <c r="EK4" s="22"/>
      <c r="EL4" s="22"/>
      <c r="EM4" s="22"/>
      <c r="EN4" s="22"/>
      <c r="EO4" s="22"/>
      <c r="EP4" s="22"/>
      <c r="EQ4" s="22"/>
      <c r="ER4" s="22"/>
      <c r="ES4" s="22"/>
      <c r="ET4" s="22"/>
      <c r="EU4" s="22"/>
      <c r="EV4" s="22"/>
      <c r="EW4" s="22"/>
      <c r="EX4" s="22"/>
      <c r="EY4" s="22"/>
      <c r="EZ4" s="22"/>
      <c r="FA4" s="22"/>
      <c r="FB4" s="22"/>
      <c r="FC4" s="22"/>
      <c r="FD4" s="22"/>
      <c r="FE4" s="22"/>
      <c r="FF4" s="22"/>
      <c r="FG4" s="22"/>
      <c r="FH4" s="22"/>
      <c r="FI4" s="22"/>
      <c r="FJ4" s="22"/>
      <c r="FK4" s="22"/>
      <c r="FL4" s="22"/>
      <c r="FM4" s="22"/>
      <c r="FN4" s="22"/>
      <c r="FO4" s="22"/>
      <c r="FP4" s="22"/>
      <c r="FQ4" s="22"/>
      <c r="FR4" s="22"/>
      <c r="FS4" s="22"/>
      <c r="FT4" s="22"/>
      <c r="FU4" s="22"/>
      <c r="FV4" s="22"/>
      <c r="FW4" s="22"/>
      <c r="FX4" s="22"/>
      <c r="FY4" s="22"/>
      <c r="FZ4" s="22"/>
      <c r="GA4" s="22"/>
      <c r="GB4" s="22"/>
      <c r="GC4" s="22"/>
      <c r="GD4" s="22"/>
      <c r="GE4" s="22"/>
      <c r="GF4" s="22"/>
      <c r="GG4" s="22"/>
      <c r="GH4" s="22"/>
      <c r="GI4" s="22"/>
      <c r="GJ4" s="22"/>
      <c r="GK4" s="22"/>
      <c r="GL4" s="22"/>
      <c r="GM4" s="22"/>
      <c r="GN4" s="22"/>
      <c r="GO4" s="22"/>
      <c r="GP4" s="22"/>
      <c r="GQ4" s="22"/>
      <c r="GR4" s="22"/>
      <c r="GS4" s="22"/>
      <c r="GT4" s="22"/>
      <c r="GU4" s="22"/>
      <c r="GV4" s="22"/>
      <c r="GW4" s="22"/>
      <c r="GX4" s="22"/>
      <c r="GY4" s="22"/>
      <c r="GZ4" s="22"/>
      <c r="HA4" s="22"/>
      <c r="HB4" s="22"/>
      <c r="HC4" s="22"/>
      <c r="HD4" s="22"/>
      <c r="HE4" s="22"/>
      <c r="HF4" s="22"/>
      <c r="HG4" s="22"/>
      <c r="HH4" s="22"/>
      <c r="HI4" s="22"/>
      <c r="HJ4" s="22"/>
      <c r="HK4" s="22"/>
      <c r="HL4" s="22"/>
      <c r="HM4" s="22"/>
      <c r="HN4" s="22"/>
      <c r="HO4" s="22"/>
      <c r="HP4" s="22"/>
      <c r="HQ4" s="22"/>
      <c r="HR4" s="22"/>
      <c r="HS4" s="22"/>
      <c r="HT4" s="22"/>
      <c r="HU4" s="22"/>
      <c r="HV4" s="22"/>
      <c r="HW4" s="22"/>
      <c r="HX4" s="22"/>
      <c r="HY4" s="22"/>
      <c r="HZ4" s="22"/>
      <c r="IA4" s="22"/>
      <c r="IB4" s="22"/>
      <c r="IC4" s="22"/>
      <c r="ID4" s="22"/>
      <c r="IE4" s="22"/>
      <c r="IF4" s="22"/>
      <c r="IG4" s="22"/>
      <c r="IH4" s="22"/>
      <c r="II4" s="22"/>
      <c r="IJ4" s="22"/>
      <c r="IK4" s="22"/>
      <c r="IL4" s="22"/>
      <c r="IM4" s="22"/>
      <c r="IN4" s="22"/>
      <c r="IO4" s="22"/>
      <c r="IP4" s="22"/>
      <c r="IQ4" s="22"/>
      <c r="IR4" s="22"/>
      <c r="IS4" s="22"/>
      <c r="IT4" s="22"/>
      <c r="IU4" s="22"/>
      <c r="IV4" s="22"/>
      <c r="IW4" s="22"/>
      <c r="IX4" s="22"/>
      <c r="IY4" s="22"/>
      <c r="IZ4" s="22"/>
      <c r="JA4" s="22"/>
      <c r="JB4" s="22"/>
      <c r="JC4" s="22"/>
      <c r="JD4" s="22"/>
      <c r="JE4" s="22"/>
      <c r="JF4" s="22"/>
      <c r="JG4" s="22"/>
      <c r="JH4" s="22"/>
      <c r="JI4" s="22"/>
      <c r="JJ4" s="22"/>
      <c r="JK4" s="22"/>
      <c r="JL4" s="22"/>
      <c r="JM4" s="22"/>
      <c r="JN4" s="22"/>
      <c r="JO4" s="22"/>
      <c r="JP4" s="22"/>
      <c r="JQ4" s="22"/>
      <c r="JR4" s="22"/>
      <c r="JS4" s="22"/>
      <c r="JT4" s="22"/>
      <c r="JU4" s="22"/>
      <c r="JV4" s="22"/>
      <c r="JW4" s="22"/>
      <c r="JX4" s="22"/>
      <c r="JY4" s="22"/>
      <c r="JZ4" s="22"/>
      <c r="KA4" s="22"/>
      <c r="KB4" s="22"/>
      <c r="KC4" s="22"/>
      <c r="KD4" s="22"/>
      <c r="KE4" s="22"/>
      <c r="KF4" s="22"/>
      <c r="KG4" s="22"/>
      <c r="KH4" s="22"/>
      <c r="KI4" s="22"/>
      <c r="KJ4" s="22"/>
      <c r="KK4" s="22"/>
      <c r="KL4" s="22"/>
      <c r="KM4" s="22"/>
      <c r="KN4" s="22"/>
      <c r="KO4" s="22"/>
      <c r="KP4" s="22"/>
      <c r="KQ4" s="22"/>
      <c r="KR4" s="22"/>
      <c r="KS4" s="22"/>
      <c r="KT4" s="22"/>
      <c r="KU4" s="22"/>
      <c r="KV4" s="22"/>
      <c r="KW4" s="22"/>
      <c r="KX4" s="22"/>
      <c r="KY4" s="22"/>
      <c r="KZ4" s="22"/>
      <c r="LA4" s="22"/>
      <c r="LB4" s="22"/>
      <c r="LC4" s="22"/>
      <c r="LD4" s="22"/>
      <c r="LE4" s="22"/>
      <c r="LF4" s="22"/>
      <c r="LG4" s="22"/>
      <c r="LH4" s="22"/>
      <c r="LI4" s="22"/>
      <c r="LJ4" s="22"/>
      <c r="LK4" s="22"/>
      <c r="LL4" s="22"/>
      <c r="LM4" s="22"/>
      <c r="LN4" s="22"/>
      <c r="LO4" s="22"/>
      <c r="LP4" s="22"/>
      <c r="LQ4" s="22"/>
      <c r="LR4" s="22"/>
      <c r="LS4" s="22"/>
      <c r="LT4" s="22"/>
      <c r="LU4" s="22"/>
    </row>
    <row r="5" spans="1:334" s="23" customFormat="1" ht="36" x14ac:dyDescent="0.25">
      <c r="A5" s="18">
        <v>5</v>
      </c>
      <c r="B5" s="19" t="str">
        <f>VLOOKUP($A5,'Indicadores Financeiros'!$A$114:$J$217,2,FALSE)</f>
        <v>São Paulo - Fórum Criminal - Complexo Judiciário Ministro Mário Guimarães</v>
      </c>
      <c r="C5" s="201">
        <v>551190</v>
      </c>
      <c r="D5" s="5" t="str">
        <f>VLOOKUP($C5,'Tabela de Códigos e Valores'!$A:$J,2,FALSE)</f>
        <v>Operador</v>
      </c>
      <c r="E5" s="2" t="str">
        <f>VLOOKUP($C5,'Tabela de Códigos e Valores'!$A:$J,5,FALSE)</f>
        <v>Posto</v>
      </c>
      <c r="F5" s="2">
        <f>VLOOKUP($A5,'Indicadores Financeiros'!$A$114:$J$1120,10,FALSE)</f>
        <v>1</v>
      </c>
      <c r="G5" s="2" t="str">
        <f>VLOOKUP($C5,'Tabela de Códigos e Valores'!$A:$J,6,FALSE)</f>
        <v>Mensal</v>
      </c>
      <c r="H5" s="235">
        <f>VLOOKUP($C5,'Tabela de Códigos e Valores'!$A:$AE,7,FALSE)</f>
        <v>1</v>
      </c>
      <c r="I5" s="113">
        <f>VLOOKUP($C5,'Tabela de Códigos e Valores'!$A:$AE,8,FALSE)</f>
        <v>20.75</v>
      </c>
      <c r="J5" s="239">
        <v>2</v>
      </c>
      <c r="K5" s="113">
        <f>VLOOKUP($C5,'Tabela de Códigos e Valores'!$A:$AE,12,FALSE)</f>
        <v>0</v>
      </c>
      <c r="L5" s="113">
        <f>VLOOKUP($C5,'Tabela de Códigos e Valores'!$A:$AE,13,FALSE)</f>
        <v>0</v>
      </c>
      <c r="M5" s="113">
        <f>VLOOKUP($C5,'Tabela de Códigos e Valores'!$A:$AE,25,FALSE)</f>
        <v>0</v>
      </c>
      <c r="N5" s="113">
        <f>IF(E5&lt;&gt;"posto",VLOOKUP($C5,'Tabela de Códigos e Valores'!$A:$AA,26,FALSE),IF(ROUND((VLOOKUP($B5,'Indicadores Financeiros'!$B$114:$J$119,8,FALSE)*I5)-(VLOOKUP($C5,'Tabela de Códigos e Valores'!A:I,9,FALSE)*6%),2)&lt;0,0,ROUND((VLOOKUP($B5,'Indicadores Financeiros'!$B$114:$J$119,8,FALSE)*I5)-(VLOOKUP($C5,'Tabela de Códigos e Valores'!A:I,9,FALSE)*6%),2)))</f>
        <v>0</v>
      </c>
      <c r="O5" s="113">
        <f>VLOOKUP($C5,'Tabela de Códigos e Valores'!$A:$AE,27,FALSE)</f>
        <v>0</v>
      </c>
      <c r="P5" s="21">
        <f>ROUND(SUM(K5:O5),2)</f>
        <v>0</v>
      </c>
      <c r="Q5" s="114">
        <f>VLOOKUP($A5,'Indicadores Financeiros'!$A$114:$J$119,8,FALSE)</f>
        <v>5.2600000000000001E-2</v>
      </c>
      <c r="R5" s="21">
        <f>ROUND(P5*(1+Q5),2)</f>
        <v>0</v>
      </c>
      <c r="S5" s="29">
        <f>ROUND(R5*J5,2)</f>
        <v>0</v>
      </c>
      <c r="T5" s="59">
        <f>ROUND(S5*ROUND(('Indicadores Financeiros'!$F$14-F5+1),2),2)</f>
        <v>0</v>
      </c>
      <c r="U5" s="69"/>
      <c r="V5" s="59">
        <f>IF(E5="Posto",ROUND(J5*K5,2),0)</f>
        <v>0</v>
      </c>
      <c r="W5" s="59">
        <f>ROUND('Indicadores Financeiros'!$J$72*$V5,2)</f>
        <v>0</v>
      </c>
      <c r="X5" s="22"/>
      <c r="Y5" s="20">
        <f>IF(J5=0,0,IF(E5="Posto",ROUND($R5/$I5,2),0))</f>
        <v>0</v>
      </c>
      <c r="Z5" s="20">
        <f>IF(J5=0,0,IF(E5="Posto",ROUND(ROUND(ROUND((VLOOKUP($C5,'Tabela de Códigos e Valores'!$A:$AE,23,FALSE)/'Relatório Custo'!I5),2)+ROUND(VLOOKUP($C5,'Tabela de Códigos e Valores'!$A:$AE,26,FALSE)/'Relatório Custo'!I5,2)+ROUND((('Indicadores Financeiros'!$J$62*'Relatório Custo'!K5)/'Relatório Custo'!I5),2),2)*(1+Q5),2),0))</f>
        <v>0</v>
      </c>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c r="BM5" s="22"/>
      <c r="BN5" s="22"/>
      <c r="BO5" s="22"/>
      <c r="BP5" s="22"/>
      <c r="BQ5" s="22"/>
      <c r="BR5" s="22"/>
      <c r="BS5" s="22"/>
      <c r="BT5" s="22"/>
      <c r="BU5" s="22"/>
      <c r="BV5" s="22"/>
      <c r="BW5" s="22"/>
      <c r="BX5" s="22"/>
      <c r="BY5" s="22"/>
      <c r="BZ5" s="22"/>
      <c r="CA5" s="22"/>
      <c r="CB5" s="22"/>
      <c r="CC5" s="22"/>
      <c r="CD5" s="22"/>
      <c r="CE5" s="22"/>
      <c r="CF5" s="22"/>
      <c r="CG5" s="22"/>
      <c r="CH5" s="22"/>
      <c r="CI5" s="22"/>
      <c r="CJ5" s="22"/>
      <c r="CK5" s="22"/>
      <c r="CL5" s="22"/>
      <c r="CM5" s="22"/>
      <c r="CN5" s="22"/>
      <c r="CO5" s="22"/>
      <c r="CP5" s="22"/>
      <c r="CQ5" s="22"/>
      <c r="CR5" s="22"/>
      <c r="CS5" s="22"/>
      <c r="CT5" s="22"/>
      <c r="CU5" s="22"/>
      <c r="CV5" s="22"/>
      <c r="CW5" s="22"/>
      <c r="CX5" s="22"/>
      <c r="CY5" s="22"/>
      <c r="CZ5" s="22"/>
      <c r="DA5" s="22"/>
      <c r="DB5" s="22"/>
      <c r="DC5" s="22"/>
      <c r="DD5" s="22"/>
      <c r="DE5" s="22"/>
      <c r="DF5" s="22"/>
      <c r="DG5" s="22"/>
      <c r="DH5" s="22"/>
      <c r="DI5" s="22"/>
      <c r="DJ5" s="22"/>
      <c r="DK5" s="22"/>
      <c r="DL5" s="22"/>
      <c r="DM5" s="22"/>
      <c r="DN5" s="22"/>
      <c r="DO5" s="22"/>
      <c r="DP5" s="22"/>
      <c r="DQ5" s="22"/>
      <c r="DR5" s="22"/>
      <c r="DS5" s="22"/>
      <c r="DT5" s="22"/>
      <c r="DU5" s="22"/>
      <c r="DV5" s="22"/>
      <c r="DW5" s="22"/>
      <c r="DX5" s="22"/>
      <c r="DY5" s="22"/>
      <c r="DZ5" s="22"/>
      <c r="EA5" s="22"/>
      <c r="EB5" s="22"/>
      <c r="EC5" s="22"/>
      <c r="ED5" s="22"/>
      <c r="EE5" s="22"/>
      <c r="EF5" s="22"/>
      <c r="EG5" s="22"/>
      <c r="EH5" s="22"/>
      <c r="EI5" s="22"/>
      <c r="EJ5" s="22"/>
      <c r="EK5" s="22"/>
      <c r="EL5" s="22"/>
      <c r="EM5" s="22"/>
      <c r="EN5" s="22"/>
      <c r="EO5" s="22"/>
      <c r="EP5" s="22"/>
      <c r="EQ5" s="22"/>
      <c r="ER5" s="22"/>
      <c r="ES5" s="22"/>
      <c r="ET5" s="22"/>
      <c r="EU5" s="22"/>
      <c r="EV5" s="22"/>
      <c r="EW5" s="22"/>
      <c r="EX5" s="22"/>
      <c r="EY5" s="22"/>
      <c r="EZ5" s="22"/>
      <c r="FA5" s="22"/>
      <c r="FB5" s="22"/>
      <c r="FC5" s="22"/>
      <c r="FD5" s="22"/>
      <c r="FE5" s="22"/>
      <c r="FF5" s="22"/>
      <c r="FG5" s="22"/>
      <c r="FH5" s="22"/>
      <c r="FI5" s="22"/>
      <c r="FJ5" s="22"/>
      <c r="FK5" s="22"/>
      <c r="FL5" s="22"/>
      <c r="FM5" s="22"/>
      <c r="FN5" s="22"/>
      <c r="FO5" s="22"/>
      <c r="FP5" s="22"/>
      <c r="FQ5" s="22"/>
      <c r="FR5" s="22"/>
      <c r="FS5" s="22"/>
      <c r="FT5" s="22"/>
      <c r="FU5" s="22"/>
      <c r="FV5" s="22"/>
      <c r="FW5" s="22"/>
      <c r="FX5" s="22"/>
      <c r="FY5" s="22"/>
      <c r="FZ5" s="22"/>
      <c r="GA5" s="22"/>
      <c r="GB5" s="22"/>
      <c r="GC5" s="22"/>
      <c r="GD5" s="22"/>
      <c r="GE5" s="22"/>
      <c r="GF5" s="22"/>
      <c r="GG5" s="22"/>
      <c r="GH5" s="22"/>
      <c r="GI5" s="22"/>
      <c r="GJ5" s="22"/>
      <c r="GK5" s="22"/>
      <c r="GL5" s="22"/>
      <c r="GM5" s="22"/>
      <c r="GN5" s="22"/>
      <c r="GO5" s="22"/>
      <c r="GP5" s="22"/>
      <c r="GQ5" s="22"/>
      <c r="GR5" s="22"/>
      <c r="GS5" s="22"/>
      <c r="GT5" s="22"/>
      <c r="GU5" s="22"/>
      <c r="GV5" s="22"/>
      <c r="GW5" s="22"/>
      <c r="GX5" s="22"/>
      <c r="GY5" s="22"/>
      <c r="GZ5" s="22"/>
      <c r="HA5" s="22"/>
      <c r="HB5" s="22"/>
      <c r="HC5" s="22"/>
      <c r="HD5" s="22"/>
      <c r="HE5" s="22"/>
      <c r="HF5" s="22"/>
      <c r="HG5" s="22"/>
      <c r="HH5" s="22"/>
      <c r="HI5" s="22"/>
      <c r="HJ5" s="22"/>
      <c r="HK5" s="22"/>
      <c r="HL5" s="22"/>
      <c r="HM5" s="22"/>
      <c r="HN5" s="22"/>
      <c r="HO5" s="22"/>
      <c r="HP5" s="22"/>
      <c r="HQ5" s="22"/>
      <c r="HR5" s="22"/>
      <c r="HS5" s="22"/>
      <c r="HT5" s="22"/>
      <c r="HU5" s="22"/>
      <c r="HV5" s="22"/>
      <c r="HW5" s="22"/>
      <c r="HX5" s="22"/>
      <c r="HY5" s="22"/>
      <c r="HZ5" s="22"/>
      <c r="IA5" s="22"/>
      <c r="IB5" s="22"/>
      <c r="IC5" s="22"/>
      <c r="ID5" s="22"/>
      <c r="IE5" s="22"/>
      <c r="IF5" s="22"/>
      <c r="IG5" s="22"/>
      <c r="IH5" s="22"/>
      <c r="II5" s="22"/>
      <c r="IJ5" s="22"/>
      <c r="IK5" s="22"/>
      <c r="IL5" s="22"/>
      <c r="IM5" s="22"/>
      <c r="IN5" s="22"/>
      <c r="IO5" s="22"/>
      <c r="IP5" s="22"/>
      <c r="IQ5" s="22"/>
      <c r="IR5" s="22"/>
      <c r="IS5" s="22"/>
      <c r="IT5" s="22"/>
      <c r="IU5" s="22"/>
      <c r="IV5" s="22"/>
      <c r="IW5" s="22"/>
      <c r="IX5" s="22"/>
      <c r="IY5" s="22"/>
      <c r="IZ5" s="22"/>
      <c r="JA5" s="22"/>
      <c r="JB5" s="22"/>
      <c r="JC5" s="22"/>
      <c r="JD5" s="22"/>
      <c r="JE5" s="22"/>
      <c r="JF5" s="22"/>
      <c r="JG5" s="22"/>
      <c r="JH5" s="22"/>
      <c r="JI5" s="22"/>
      <c r="JJ5" s="22"/>
      <c r="JK5" s="22"/>
      <c r="JL5" s="22"/>
      <c r="JM5" s="22"/>
      <c r="JN5" s="22"/>
      <c r="JO5" s="22"/>
      <c r="JP5" s="22"/>
      <c r="JQ5" s="22"/>
      <c r="JR5" s="22"/>
      <c r="JS5" s="22"/>
      <c r="JT5" s="22"/>
      <c r="JU5" s="22"/>
      <c r="JV5" s="22"/>
      <c r="JW5" s="22"/>
      <c r="JX5" s="22"/>
      <c r="JY5" s="22"/>
      <c r="JZ5" s="22"/>
      <c r="KA5" s="22"/>
      <c r="KB5" s="22"/>
      <c r="KC5" s="22"/>
      <c r="KD5" s="22"/>
      <c r="KE5" s="22"/>
      <c r="KF5" s="22"/>
      <c r="KG5" s="22"/>
      <c r="KH5" s="22"/>
      <c r="KI5" s="22"/>
      <c r="KJ5" s="22"/>
      <c r="KK5" s="22"/>
      <c r="KL5" s="22"/>
      <c r="KM5" s="22"/>
      <c r="KN5" s="22"/>
      <c r="KO5" s="22"/>
      <c r="KP5" s="22"/>
      <c r="KQ5" s="22"/>
      <c r="KR5" s="22"/>
      <c r="KS5" s="22"/>
      <c r="KT5" s="22"/>
      <c r="KU5" s="22"/>
      <c r="KV5" s="22"/>
      <c r="KW5" s="22"/>
      <c r="KX5" s="22"/>
      <c r="KY5" s="22"/>
      <c r="KZ5" s="22"/>
      <c r="LA5" s="22"/>
      <c r="LB5" s="22"/>
      <c r="LC5" s="22"/>
      <c r="LD5" s="22"/>
      <c r="LE5" s="22"/>
      <c r="LF5" s="22"/>
      <c r="LG5" s="22"/>
      <c r="LH5" s="22"/>
      <c r="LI5" s="22"/>
      <c r="LJ5" s="22"/>
      <c r="LK5" s="22"/>
      <c r="LL5" s="22"/>
      <c r="LM5" s="22"/>
      <c r="LN5" s="22"/>
      <c r="LO5" s="22"/>
      <c r="LP5" s="22"/>
      <c r="LQ5" s="22"/>
      <c r="LR5" s="22"/>
      <c r="LS5" s="22"/>
      <c r="LT5" s="22"/>
      <c r="LU5" s="22"/>
    </row>
    <row r="6" spans="1:334" s="23" customFormat="1" ht="36" x14ac:dyDescent="0.25">
      <c r="A6" s="18">
        <v>5</v>
      </c>
      <c r="B6" s="19" t="str">
        <f>VLOOKUP($A6,'Indicadores Financeiros'!$A$114:$J$217,2,FALSE)</f>
        <v>São Paulo - Fórum Criminal - Complexo Judiciário Ministro Mário Guimarães</v>
      </c>
      <c r="C6" s="201">
        <v>551191</v>
      </c>
      <c r="D6" s="5" t="str">
        <f>VLOOKUP($C6,'Tabela de Códigos e Valores'!$A:$J,2,FALSE)</f>
        <v>Auxiliar Técnico especializado em Refrigeração</v>
      </c>
      <c r="E6" s="2" t="str">
        <f>VLOOKUP($C6,'Tabela de Códigos e Valores'!$A:$J,5,FALSE)</f>
        <v>Posto</v>
      </c>
      <c r="F6" s="2">
        <f>VLOOKUP($A6,'Indicadores Financeiros'!$A$114:$J$1120,10,FALSE)</f>
        <v>1</v>
      </c>
      <c r="G6" s="2" t="str">
        <f>VLOOKUP($C6,'Tabela de Códigos e Valores'!$A:$J,6,FALSE)</f>
        <v>Mensal</v>
      </c>
      <c r="H6" s="235">
        <f>VLOOKUP($C6,'Tabela de Códigos e Valores'!$A:$AE,7,FALSE)</f>
        <v>1</v>
      </c>
      <c r="I6" s="113">
        <f>VLOOKUP($C6,'Tabela de Códigos e Valores'!$A:$AE,8,FALSE)</f>
        <v>20.75</v>
      </c>
      <c r="J6" s="239">
        <v>2</v>
      </c>
      <c r="K6" s="113">
        <f>VLOOKUP($C6,'Tabela de Códigos e Valores'!$A:$AE,12,FALSE)</f>
        <v>0</v>
      </c>
      <c r="L6" s="113">
        <f>VLOOKUP($C6,'Tabela de Códigos e Valores'!$A:$AE,13,FALSE)</f>
        <v>0</v>
      </c>
      <c r="M6" s="113">
        <f>VLOOKUP($C6,'Tabela de Códigos e Valores'!$A:$AE,25,FALSE)</f>
        <v>0</v>
      </c>
      <c r="N6" s="113">
        <f>IF(E6&lt;&gt;"posto",VLOOKUP($C6,'Tabela de Códigos e Valores'!$A:$AA,26,FALSE),IF(ROUND((VLOOKUP($B6,'Indicadores Financeiros'!$B$114:$J$119,8,FALSE)*I6)-(VLOOKUP($C6,'Tabela de Códigos e Valores'!A:I,9,FALSE)*6%),2)&lt;0,0,ROUND((VLOOKUP($B6,'Indicadores Financeiros'!$B$114:$J$119,8,FALSE)*I6)-(VLOOKUP($C6,'Tabela de Códigos e Valores'!A:I,9,FALSE)*6%),2)))</f>
        <v>0</v>
      </c>
      <c r="O6" s="113">
        <f>VLOOKUP($C6,'Tabela de Códigos e Valores'!$A:$AE,27,FALSE)</f>
        <v>0</v>
      </c>
      <c r="P6" s="21">
        <f>ROUND(SUM(K6:O6),2)</f>
        <v>0</v>
      </c>
      <c r="Q6" s="114">
        <f>VLOOKUP($A6,'Indicadores Financeiros'!$A$114:$J$119,8,FALSE)</f>
        <v>5.2600000000000001E-2</v>
      </c>
      <c r="R6" s="21">
        <f>ROUND(P6*(1+Q6),2)</f>
        <v>0</v>
      </c>
      <c r="S6" s="29">
        <f>ROUND(R6*J6,2)</f>
        <v>0</v>
      </c>
      <c r="T6" s="59">
        <f>ROUND(S6*ROUND(('Indicadores Financeiros'!$F$14-F6+1),2),2)</f>
        <v>0</v>
      </c>
      <c r="U6" s="69"/>
      <c r="V6" s="59">
        <f>IF(E6="Posto",ROUND(J6*K6,2),0)</f>
        <v>0</v>
      </c>
      <c r="W6" s="59">
        <f>ROUND('Indicadores Financeiros'!$J$72*$V6,2)</f>
        <v>0</v>
      </c>
      <c r="X6" s="22"/>
      <c r="Y6" s="20">
        <f>IF(J6=0,0,IF(E6="Posto",ROUND($R6/$I6,2),0))</f>
        <v>0</v>
      </c>
      <c r="Z6" s="20">
        <f>IF(J6=0,0,IF(E6="Posto",ROUND(ROUND(ROUND((VLOOKUP($C6,'Tabela de Códigos e Valores'!$A:$AE,23,FALSE)/'Relatório Custo'!I6),2)+ROUND(VLOOKUP($C6,'Tabela de Códigos e Valores'!$A:$AE,26,FALSE)/'Relatório Custo'!I6,2)+ROUND((('Indicadores Financeiros'!$J$62*'Relatório Custo'!K6)/'Relatório Custo'!I6),2),2)*(1+Q6),2),0))</f>
        <v>0</v>
      </c>
      <c r="AA6" s="22"/>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22"/>
      <c r="BH6" s="22"/>
      <c r="BI6" s="22"/>
      <c r="BJ6" s="22"/>
      <c r="BK6" s="22"/>
      <c r="BL6" s="22"/>
      <c r="BM6" s="22"/>
      <c r="BN6" s="22"/>
      <c r="BO6" s="22"/>
      <c r="BP6" s="22"/>
      <c r="BQ6" s="22"/>
      <c r="BR6" s="22"/>
      <c r="BS6" s="22"/>
      <c r="BT6" s="22"/>
      <c r="BU6" s="22"/>
      <c r="BV6" s="22"/>
      <c r="BW6" s="22"/>
      <c r="BX6" s="22"/>
      <c r="BY6" s="22"/>
      <c r="BZ6" s="22"/>
      <c r="CA6" s="22"/>
      <c r="CB6" s="22"/>
      <c r="CC6" s="22"/>
      <c r="CD6" s="22"/>
      <c r="CE6" s="22"/>
      <c r="CF6" s="22"/>
      <c r="CG6" s="22"/>
      <c r="CH6" s="22"/>
      <c r="CI6" s="22"/>
      <c r="CJ6" s="22"/>
      <c r="CK6" s="22"/>
      <c r="CL6" s="22"/>
      <c r="CM6" s="22"/>
      <c r="CN6" s="22"/>
      <c r="CO6" s="22"/>
      <c r="CP6" s="22"/>
      <c r="CQ6" s="22"/>
      <c r="CR6" s="22"/>
      <c r="CS6" s="22"/>
      <c r="CT6" s="22"/>
      <c r="CU6" s="22"/>
      <c r="CV6" s="22"/>
      <c r="CW6" s="22"/>
      <c r="CX6" s="22"/>
      <c r="CY6" s="22"/>
      <c r="CZ6" s="22"/>
      <c r="DA6" s="22"/>
      <c r="DB6" s="22"/>
      <c r="DC6" s="22"/>
      <c r="DD6" s="22"/>
      <c r="DE6" s="22"/>
      <c r="DF6" s="22"/>
      <c r="DG6" s="22"/>
      <c r="DH6" s="22"/>
      <c r="DI6" s="22"/>
      <c r="DJ6" s="22"/>
      <c r="DK6" s="22"/>
      <c r="DL6" s="22"/>
      <c r="DM6" s="22"/>
      <c r="DN6" s="22"/>
      <c r="DO6" s="22"/>
      <c r="DP6" s="22"/>
      <c r="DQ6" s="22"/>
      <c r="DR6" s="22"/>
      <c r="DS6" s="22"/>
      <c r="DT6" s="22"/>
      <c r="DU6" s="22"/>
      <c r="DV6" s="22"/>
      <c r="DW6" s="22"/>
      <c r="DX6" s="22"/>
      <c r="DY6" s="22"/>
      <c r="DZ6" s="22"/>
      <c r="EA6" s="22"/>
      <c r="EB6" s="22"/>
      <c r="EC6" s="22"/>
      <c r="ED6" s="22"/>
      <c r="EE6" s="22"/>
      <c r="EF6" s="22"/>
      <c r="EG6" s="22"/>
      <c r="EH6" s="22"/>
      <c r="EI6" s="22"/>
      <c r="EJ6" s="22"/>
      <c r="EK6" s="22"/>
      <c r="EL6" s="22"/>
      <c r="EM6" s="22"/>
      <c r="EN6" s="22"/>
      <c r="EO6" s="22"/>
      <c r="EP6" s="22"/>
      <c r="EQ6" s="22"/>
      <c r="ER6" s="22"/>
      <c r="ES6" s="22"/>
      <c r="ET6" s="22"/>
      <c r="EU6" s="22"/>
      <c r="EV6" s="22"/>
      <c r="EW6" s="22"/>
      <c r="EX6" s="22"/>
      <c r="EY6" s="22"/>
      <c r="EZ6" s="22"/>
      <c r="FA6" s="22"/>
      <c r="FB6" s="22"/>
      <c r="FC6" s="22"/>
      <c r="FD6" s="22"/>
      <c r="FE6" s="22"/>
      <c r="FF6" s="22"/>
      <c r="FG6" s="22"/>
      <c r="FH6" s="22"/>
      <c r="FI6" s="22"/>
      <c r="FJ6" s="22"/>
      <c r="FK6" s="22"/>
      <c r="FL6" s="22"/>
      <c r="FM6" s="22"/>
      <c r="FN6" s="22"/>
      <c r="FO6" s="22"/>
      <c r="FP6" s="22"/>
      <c r="FQ6" s="22"/>
      <c r="FR6" s="22"/>
      <c r="FS6" s="22"/>
      <c r="FT6" s="22"/>
      <c r="FU6" s="22"/>
      <c r="FV6" s="22"/>
      <c r="FW6" s="22"/>
      <c r="FX6" s="22"/>
      <c r="FY6" s="22"/>
      <c r="FZ6" s="22"/>
      <c r="GA6" s="22"/>
      <c r="GB6" s="22"/>
      <c r="GC6" s="22"/>
      <c r="GD6" s="22"/>
      <c r="GE6" s="22"/>
      <c r="GF6" s="22"/>
      <c r="GG6" s="22"/>
      <c r="GH6" s="22"/>
      <c r="GI6" s="22"/>
      <c r="GJ6" s="22"/>
      <c r="GK6" s="22"/>
      <c r="GL6" s="22"/>
      <c r="GM6" s="22"/>
      <c r="GN6" s="22"/>
      <c r="GO6" s="22"/>
      <c r="GP6" s="22"/>
      <c r="GQ6" s="22"/>
      <c r="GR6" s="22"/>
      <c r="GS6" s="22"/>
      <c r="GT6" s="22"/>
      <c r="GU6" s="22"/>
      <c r="GV6" s="22"/>
      <c r="GW6" s="22"/>
      <c r="GX6" s="22"/>
      <c r="GY6" s="22"/>
      <c r="GZ6" s="22"/>
      <c r="HA6" s="22"/>
      <c r="HB6" s="22"/>
      <c r="HC6" s="22"/>
      <c r="HD6" s="22"/>
      <c r="HE6" s="22"/>
      <c r="HF6" s="22"/>
      <c r="HG6" s="22"/>
      <c r="HH6" s="22"/>
      <c r="HI6" s="22"/>
      <c r="HJ6" s="22"/>
      <c r="HK6" s="22"/>
      <c r="HL6" s="22"/>
      <c r="HM6" s="22"/>
      <c r="HN6" s="22"/>
      <c r="HO6" s="22"/>
      <c r="HP6" s="22"/>
      <c r="HQ6" s="22"/>
      <c r="HR6" s="22"/>
      <c r="HS6" s="22"/>
      <c r="HT6" s="22"/>
      <c r="HU6" s="22"/>
      <c r="HV6" s="22"/>
      <c r="HW6" s="22"/>
      <c r="HX6" s="22"/>
      <c r="HY6" s="22"/>
      <c r="HZ6" s="22"/>
      <c r="IA6" s="22"/>
      <c r="IB6" s="22"/>
      <c r="IC6" s="22"/>
      <c r="ID6" s="22"/>
      <c r="IE6" s="22"/>
      <c r="IF6" s="22"/>
      <c r="IG6" s="22"/>
      <c r="IH6" s="22"/>
      <c r="II6" s="22"/>
      <c r="IJ6" s="22"/>
      <c r="IK6" s="22"/>
      <c r="IL6" s="22"/>
      <c r="IM6" s="22"/>
      <c r="IN6" s="22"/>
      <c r="IO6" s="22"/>
      <c r="IP6" s="22"/>
      <c r="IQ6" s="22"/>
      <c r="IR6" s="22"/>
      <c r="IS6" s="22"/>
      <c r="IT6" s="22"/>
      <c r="IU6" s="22"/>
      <c r="IV6" s="22"/>
      <c r="IW6" s="22"/>
      <c r="IX6" s="22"/>
      <c r="IY6" s="22"/>
      <c r="IZ6" s="22"/>
      <c r="JA6" s="22"/>
      <c r="JB6" s="22"/>
      <c r="JC6" s="22"/>
      <c r="JD6" s="22"/>
      <c r="JE6" s="22"/>
      <c r="JF6" s="22"/>
      <c r="JG6" s="22"/>
      <c r="JH6" s="22"/>
      <c r="JI6" s="22"/>
      <c r="JJ6" s="22"/>
      <c r="JK6" s="22"/>
      <c r="JL6" s="22"/>
      <c r="JM6" s="22"/>
      <c r="JN6" s="22"/>
      <c r="JO6" s="22"/>
      <c r="JP6" s="22"/>
      <c r="JQ6" s="22"/>
      <c r="JR6" s="22"/>
      <c r="JS6" s="22"/>
      <c r="JT6" s="22"/>
      <c r="JU6" s="22"/>
      <c r="JV6" s="22"/>
      <c r="JW6" s="22"/>
      <c r="JX6" s="22"/>
      <c r="JY6" s="22"/>
      <c r="JZ6" s="22"/>
      <c r="KA6" s="22"/>
      <c r="KB6" s="22"/>
      <c r="KC6" s="22"/>
      <c r="KD6" s="22"/>
      <c r="KE6" s="22"/>
      <c r="KF6" s="22"/>
      <c r="KG6" s="22"/>
      <c r="KH6" s="22"/>
      <c r="KI6" s="22"/>
      <c r="KJ6" s="22"/>
      <c r="KK6" s="22"/>
      <c r="KL6" s="22"/>
      <c r="KM6" s="22"/>
      <c r="KN6" s="22"/>
      <c r="KO6" s="22"/>
      <c r="KP6" s="22"/>
      <c r="KQ6" s="22"/>
      <c r="KR6" s="22"/>
      <c r="KS6" s="22"/>
      <c r="KT6" s="22"/>
      <c r="KU6" s="22"/>
      <c r="KV6" s="22"/>
      <c r="KW6" s="22"/>
      <c r="KX6" s="22"/>
      <c r="KY6" s="22"/>
      <c r="KZ6" s="22"/>
      <c r="LA6" s="22"/>
      <c r="LB6" s="22"/>
      <c r="LC6" s="22"/>
      <c r="LD6" s="22"/>
      <c r="LE6" s="22"/>
      <c r="LF6" s="22"/>
      <c r="LG6" s="22"/>
      <c r="LH6" s="22"/>
      <c r="LI6" s="22"/>
      <c r="LJ6" s="22"/>
      <c r="LK6" s="22"/>
      <c r="LL6" s="22"/>
      <c r="LM6" s="22"/>
      <c r="LN6" s="22"/>
      <c r="LO6" s="22"/>
      <c r="LP6" s="22"/>
      <c r="LQ6" s="22"/>
      <c r="LR6" s="22"/>
      <c r="LS6" s="22"/>
      <c r="LT6" s="22"/>
      <c r="LU6" s="22"/>
    </row>
    <row r="7" spans="1:334" s="23" customFormat="1" ht="36" x14ac:dyDescent="0.25">
      <c r="A7" s="18">
        <v>5</v>
      </c>
      <c r="B7" s="19" t="str">
        <f>VLOOKUP($A7,'Indicadores Financeiros'!$A$114:$J$217,2,FALSE)</f>
        <v>São Paulo - Fórum Criminal - Complexo Judiciário Ministro Mário Guimarães</v>
      </c>
      <c r="C7" s="201">
        <v>551192</v>
      </c>
      <c r="D7" s="5" t="str">
        <f>VLOOKUP($C7,'Tabela de Códigos e Valores'!$A:$J,2,FALSE)</f>
        <v xml:space="preserve">Técnico Elétrico/ Eletrônico/ Eletrotécnico, especializado em refrigeração </v>
      </c>
      <c r="E7" s="2" t="str">
        <f>VLOOKUP($C7,'Tabela de Códigos e Valores'!$A:$J,5,FALSE)</f>
        <v>Posto</v>
      </c>
      <c r="F7" s="2">
        <f>VLOOKUP($A7,'Indicadores Financeiros'!$A$114:$J$1120,10,FALSE)</f>
        <v>1</v>
      </c>
      <c r="G7" s="2" t="str">
        <f>VLOOKUP($C7,'Tabela de Códigos e Valores'!$A:$J,6,FALSE)</f>
        <v>Mensal</v>
      </c>
      <c r="H7" s="235">
        <f>VLOOKUP($C7,'Tabela de Códigos e Valores'!$A:$AE,7,FALSE)</f>
        <v>1</v>
      </c>
      <c r="I7" s="113">
        <f>VLOOKUP($C7,'Tabela de Códigos e Valores'!$A:$AE,8,FALSE)</f>
        <v>20.75</v>
      </c>
      <c r="J7" s="239">
        <v>2</v>
      </c>
      <c r="K7" s="113">
        <f>VLOOKUP($C7,'Tabela de Códigos e Valores'!$A:$AE,12,FALSE)</f>
        <v>0</v>
      </c>
      <c r="L7" s="113">
        <f>VLOOKUP($C7,'Tabela de Códigos e Valores'!$A:$AE,13,FALSE)</f>
        <v>0</v>
      </c>
      <c r="M7" s="113">
        <f>VLOOKUP($C7,'Tabela de Códigos e Valores'!$A:$AE,25,FALSE)</f>
        <v>0</v>
      </c>
      <c r="N7" s="113">
        <f>IF(E7&lt;&gt;"posto",VLOOKUP($C7,'Tabela de Códigos e Valores'!$A:$AA,26,FALSE),IF(ROUND((VLOOKUP($B7,'Indicadores Financeiros'!$B$114:$J$119,8,FALSE)*I7)-(VLOOKUP($C7,'Tabela de Códigos e Valores'!A:I,9,FALSE)*6%),2)&lt;0,0,ROUND((VLOOKUP($B7,'Indicadores Financeiros'!$B$114:$J$119,8,FALSE)*I7)-(VLOOKUP($C7,'Tabela de Códigos e Valores'!A:I,9,FALSE)*6%),2)))</f>
        <v>0</v>
      </c>
      <c r="O7" s="113">
        <f>VLOOKUP($C7,'Tabela de Códigos e Valores'!$A:$AE,27,FALSE)</f>
        <v>0</v>
      </c>
      <c r="P7" s="21">
        <f t="shared" si="1"/>
        <v>0</v>
      </c>
      <c r="Q7" s="114">
        <f>VLOOKUP($A7,'Indicadores Financeiros'!$A$114:$J$119,8,FALSE)</f>
        <v>5.2600000000000001E-2</v>
      </c>
      <c r="R7" s="21">
        <f t="shared" si="2"/>
        <v>0</v>
      </c>
      <c r="S7" s="29">
        <f t="shared" si="3"/>
        <v>0</v>
      </c>
      <c r="T7" s="59">
        <f>ROUND(S7*ROUND(('Indicadores Financeiros'!$F$14-F7+1),2),2)</f>
        <v>0</v>
      </c>
      <c r="U7" s="69"/>
      <c r="V7" s="59">
        <f t="shared" si="4"/>
        <v>0</v>
      </c>
      <c r="W7" s="59">
        <f>ROUND('Indicadores Financeiros'!$J$72*$V7,2)</f>
        <v>0</v>
      </c>
      <c r="X7" s="22"/>
      <c r="Y7" s="20">
        <f t="shared" si="0"/>
        <v>0</v>
      </c>
      <c r="Z7" s="20">
        <f>IF(J7=0,0,IF(E7="Posto",ROUND(ROUND(ROUND((VLOOKUP($C7,'Tabela de Códigos e Valores'!$A:$AE,23,FALSE)/'Relatório Custo'!I7),2)+ROUND(VLOOKUP($C7,'Tabela de Códigos e Valores'!$A:$AE,26,FALSE)/'Relatório Custo'!I7,2)+ROUND((('Indicadores Financeiros'!$J$62*'Relatório Custo'!K7)/'Relatório Custo'!I7),2),2)*(1+Q7),2),0))</f>
        <v>0</v>
      </c>
      <c r="AA7" s="22"/>
      <c r="AB7" s="22"/>
      <c r="AC7" s="22"/>
      <c r="AD7" s="22"/>
      <c r="AE7" s="22"/>
      <c r="AF7" s="22"/>
      <c r="AG7" s="22"/>
      <c r="AH7" s="22"/>
      <c r="AI7" s="22"/>
      <c r="AJ7" s="22"/>
      <c r="AK7" s="22"/>
      <c r="AL7" s="22"/>
      <c r="AM7" s="22"/>
      <c r="AN7" s="22"/>
      <c r="AO7" s="22"/>
      <c r="AP7" s="22"/>
      <c r="AQ7" s="22"/>
      <c r="AR7" s="22"/>
      <c r="AS7" s="22"/>
      <c r="AT7" s="22"/>
      <c r="AU7" s="22"/>
      <c r="AV7" s="22"/>
      <c r="AW7" s="22"/>
      <c r="AX7" s="22"/>
      <c r="AY7" s="22"/>
      <c r="AZ7" s="22"/>
      <c r="BA7" s="22"/>
      <c r="BB7" s="22"/>
      <c r="BC7" s="22"/>
      <c r="BD7" s="22"/>
      <c r="BE7" s="22"/>
      <c r="BF7" s="22"/>
      <c r="BG7" s="22"/>
      <c r="BH7" s="22"/>
      <c r="BI7" s="22"/>
      <c r="BJ7" s="22"/>
      <c r="BK7" s="22"/>
      <c r="BL7" s="22"/>
      <c r="BM7" s="22"/>
      <c r="BN7" s="22"/>
      <c r="BO7" s="22"/>
      <c r="BP7" s="22"/>
      <c r="BQ7" s="22"/>
      <c r="BR7" s="22"/>
      <c r="BS7" s="22"/>
      <c r="BT7" s="22"/>
      <c r="BU7" s="22"/>
      <c r="BV7" s="22"/>
      <c r="BW7" s="22"/>
      <c r="BX7" s="22"/>
      <c r="BY7" s="22"/>
      <c r="BZ7" s="22"/>
      <c r="CA7" s="22"/>
      <c r="CB7" s="22"/>
      <c r="CC7" s="22"/>
      <c r="CD7" s="22"/>
      <c r="CE7" s="22"/>
      <c r="CF7" s="22"/>
      <c r="CG7" s="22"/>
      <c r="CH7" s="22"/>
      <c r="CI7" s="22"/>
      <c r="CJ7" s="22"/>
      <c r="CK7" s="22"/>
      <c r="CL7" s="22"/>
      <c r="CM7" s="22"/>
      <c r="CN7" s="22"/>
      <c r="CO7" s="22"/>
      <c r="CP7" s="22"/>
      <c r="CQ7" s="22"/>
      <c r="CR7" s="22"/>
      <c r="CS7" s="22"/>
      <c r="CT7" s="22"/>
      <c r="CU7" s="22"/>
      <c r="CV7" s="22"/>
      <c r="CW7" s="22"/>
      <c r="CX7" s="22"/>
      <c r="CY7" s="22"/>
      <c r="CZ7" s="22"/>
      <c r="DA7" s="22"/>
      <c r="DB7" s="22"/>
      <c r="DC7" s="22"/>
      <c r="DD7" s="22"/>
      <c r="DE7" s="22"/>
      <c r="DF7" s="22"/>
      <c r="DG7" s="22"/>
      <c r="DH7" s="22"/>
      <c r="DI7" s="22"/>
      <c r="DJ7" s="22"/>
      <c r="DK7" s="22"/>
      <c r="DL7" s="22"/>
      <c r="DM7" s="22"/>
      <c r="DN7" s="22"/>
      <c r="DO7" s="22"/>
      <c r="DP7" s="22"/>
      <c r="DQ7" s="22"/>
      <c r="DR7" s="22"/>
      <c r="DS7" s="22"/>
      <c r="DT7" s="22"/>
      <c r="DU7" s="22"/>
      <c r="DV7" s="22"/>
      <c r="DW7" s="22"/>
      <c r="DX7" s="22"/>
      <c r="DY7" s="22"/>
      <c r="DZ7" s="22"/>
      <c r="EA7" s="22"/>
      <c r="EB7" s="22"/>
      <c r="EC7" s="22"/>
      <c r="ED7" s="22"/>
      <c r="EE7" s="22"/>
      <c r="EF7" s="22"/>
      <c r="EG7" s="22"/>
      <c r="EH7" s="22"/>
      <c r="EI7" s="22"/>
      <c r="EJ7" s="22"/>
      <c r="EK7" s="22"/>
      <c r="EL7" s="22"/>
      <c r="EM7" s="22"/>
      <c r="EN7" s="22"/>
      <c r="EO7" s="22"/>
      <c r="EP7" s="22"/>
      <c r="EQ7" s="22"/>
      <c r="ER7" s="22"/>
      <c r="ES7" s="22"/>
      <c r="ET7" s="22"/>
      <c r="EU7" s="22"/>
      <c r="EV7" s="22"/>
      <c r="EW7" s="22"/>
      <c r="EX7" s="22"/>
      <c r="EY7" s="22"/>
      <c r="EZ7" s="22"/>
      <c r="FA7" s="22"/>
      <c r="FB7" s="22"/>
      <c r="FC7" s="22"/>
      <c r="FD7" s="22"/>
      <c r="FE7" s="22"/>
      <c r="FF7" s="22"/>
      <c r="FG7" s="22"/>
      <c r="FH7" s="22"/>
      <c r="FI7" s="22"/>
      <c r="FJ7" s="22"/>
      <c r="FK7" s="22"/>
      <c r="FL7" s="22"/>
      <c r="FM7" s="22"/>
      <c r="FN7" s="22"/>
      <c r="FO7" s="22"/>
      <c r="FP7" s="22"/>
      <c r="FQ7" s="22"/>
      <c r="FR7" s="22"/>
      <c r="FS7" s="22"/>
      <c r="FT7" s="22"/>
      <c r="FU7" s="22"/>
      <c r="FV7" s="22"/>
      <c r="FW7" s="22"/>
      <c r="FX7" s="22"/>
      <c r="FY7" s="22"/>
      <c r="FZ7" s="22"/>
      <c r="GA7" s="22"/>
      <c r="GB7" s="22"/>
      <c r="GC7" s="22"/>
      <c r="GD7" s="22"/>
      <c r="GE7" s="22"/>
      <c r="GF7" s="22"/>
      <c r="GG7" s="22"/>
      <c r="GH7" s="22"/>
      <c r="GI7" s="22"/>
      <c r="GJ7" s="22"/>
      <c r="GK7" s="22"/>
      <c r="GL7" s="22"/>
      <c r="GM7" s="22"/>
      <c r="GN7" s="22"/>
      <c r="GO7" s="22"/>
      <c r="GP7" s="22"/>
      <c r="GQ7" s="22"/>
      <c r="GR7" s="22"/>
      <c r="GS7" s="22"/>
      <c r="GT7" s="22"/>
      <c r="GU7" s="22"/>
      <c r="GV7" s="22"/>
      <c r="GW7" s="22"/>
      <c r="GX7" s="22"/>
      <c r="GY7" s="22"/>
      <c r="GZ7" s="22"/>
      <c r="HA7" s="22"/>
      <c r="HB7" s="22"/>
      <c r="HC7" s="22"/>
      <c r="HD7" s="22"/>
      <c r="HE7" s="22"/>
      <c r="HF7" s="22"/>
      <c r="HG7" s="22"/>
      <c r="HH7" s="22"/>
      <c r="HI7" s="22"/>
      <c r="HJ7" s="22"/>
      <c r="HK7" s="22"/>
      <c r="HL7" s="22"/>
      <c r="HM7" s="22"/>
      <c r="HN7" s="22"/>
      <c r="HO7" s="22"/>
      <c r="HP7" s="22"/>
      <c r="HQ7" s="22"/>
      <c r="HR7" s="22"/>
      <c r="HS7" s="22"/>
      <c r="HT7" s="22"/>
      <c r="HU7" s="22"/>
      <c r="HV7" s="22"/>
      <c r="HW7" s="22"/>
      <c r="HX7" s="22"/>
      <c r="HY7" s="22"/>
      <c r="HZ7" s="22"/>
      <c r="IA7" s="22"/>
      <c r="IB7" s="22"/>
      <c r="IC7" s="22"/>
      <c r="ID7" s="22"/>
      <c r="IE7" s="22"/>
      <c r="IF7" s="22"/>
      <c r="IG7" s="22"/>
      <c r="IH7" s="22"/>
      <c r="II7" s="22"/>
      <c r="IJ7" s="22"/>
      <c r="IK7" s="22"/>
      <c r="IL7" s="22"/>
      <c r="IM7" s="22"/>
      <c r="IN7" s="22"/>
      <c r="IO7" s="22"/>
      <c r="IP7" s="22"/>
      <c r="IQ7" s="22"/>
      <c r="IR7" s="22"/>
      <c r="IS7" s="22"/>
      <c r="IT7" s="22"/>
      <c r="IU7" s="22"/>
      <c r="IV7" s="22"/>
      <c r="IW7" s="22"/>
      <c r="IX7" s="22"/>
      <c r="IY7" s="22"/>
      <c r="IZ7" s="22"/>
      <c r="JA7" s="22"/>
      <c r="JB7" s="22"/>
      <c r="JC7" s="22"/>
      <c r="JD7" s="22"/>
      <c r="JE7" s="22"/>
      <c r="JF7" s="22"/>
      <c r="JG7" s="22"/>
      <c r="JH7" s="22"/>
      <c r="JI7" s="22"/>
      <c r="JJ7" s="22"/>
      <c r="JK7" s="22"/>
      <c r="JL7" s="22"/>
      <c r="JM7" s="22"/>
      <c r="JN7" s="22"/>
      <c r="JO7" s="22"/>
      <c r="JP7" s="22"/>
      <c r="JQ7" s="22"/>
      <c r="JR7" s="22"/>
      <c r="JS7" s="22"/>
      <c r="JT7" s="22"/>
      <c r="JU7" s="22"/>
      <c r="JV7" s="22"/>
      <c r="JW7" s="22"/>
      <c r="JX7" s="22"/>
      <c r="JY7" s="22"/>
      <c r="JZ7" s="22"/>
      <c r="KA7" s="22"/>
      <c r="KB7" s="22"/>
      <c r="KC7" s="22"/>
      <c r="KD7" s="22"/>
      <c r="KE7" s="22"/>
      <c r="KF7" s="22"/>
      <c r="KG7" s="22"/>
      <c r="KH7" s="22"/>
      <c r="KI7" s="22"/>
      <c r="KJ7" s="22"/>
      <c r="KK7" s="22"/>
      <c r="KL7" s="22"/>
      <c r="KM7" s="22"/>
      <c r="KN7" s="22"/>
      <c r="KO7" s="22"/>
      <c r="KP7" s="22"/>
      <c r="KQ7" s="22"/>
      <c r="KR7" s="22"/>
      <c r="KS7" s="22"/>
      <c r="KT7" s="22"/>
      <c r="KU7" s="22"/>
      <c r="KV7" s="22"/>
      <c r="KW7" s="22"/>
      <c r="KX7" s="22"/>
      <c r="KY7" s="22"/>
      <c r="KZ7" s="22"/>
      <c r="LA7" s="22"/>
      <c r="LB7" s="22"/>
      <c r="LC7" s="22"/>
      <c r="LD7" s="22"/>
      <c r="LE7" s="22"/>
      <c r="LF7" s="22"/>
      <c r="LG7" s="22"/>
      <c r="LH7" s="22"/>
      <c r="LI7" s="22"/>
      <c r="LJ7" s="22"/>
      <c r="LK7" s="22"/>
      <c r="LL7" s="22"/>
      <c r="LM7" s="22"/>
      <c r="LN7" s="22"/>
      <c r="LO7" s="22"/>
      <c r="LP7" s="22"/>
      <c r="LQ7" s="22"/>
      <c r="LR7" s="22"/>
      <c r="LS7" s="22"/>
      <c r="LT7" s="22"/>
      <c r="LU7" s="22"/>
    </row>
    <row r="8" spans="1:334" s="23" customFormat="1" ht="36" x14ac:dyDescent="0.25">
      <c r="A8" s="291">
        <v>5</v>
      </c>
      <c r="B8" s="292" t="str">
        <f>VLOOKUP($A8,'Indicadores Financeiros'!$A$114:$J$217,2,FALSE)</f>
        <v>São Paulo - Fórum Criminal - Complexo Judiciário Ministro Mário Guimarães</v>
      </c>
      <c r="C8" s="293">
        <v>551195</v>
      </c>
      <c r="D8" s="294" t="str">
        <f>VLOOKUP($C8,'Tabela de Códigos e Valores'!$A:$J,2,FALSE)</f>
        <v>Técnico em Refrigeração Mecânico - Hora Extra Noturna</v>
      </c>
      <c r="E8" s="295" t="str">
        <f>VLOOKUP($C8,'Tabela de Códigos e Valores'!$A:$J,5,FALSE)</f>
        <v>Hora Extra</v>
      </c>
      <c r="F8" s="295">
        <f>VLOOKUP($A8,'Indicadores Financeiros'!$A$114:$J$1120,10,FALSE)</f>
        <v>1</v>
      </c>
      <c r="G8" s="295" t="str">
        <f>VLOOKUP($C8,'Tabela de Códigos e Valores'!$A:$J,6,FALSE)</f>
        <v>Mensal</v>
      </c>
      <c r="H8" s="296">
        <f>VLOOKUP($C8,'Tabela de Códigos e Valores'!$A:$AE,7,FALSE)</f>
        <v>1</v>
      </c>
      <c r="I8" s="297">
        <f>VLOOKUP($C8,'Tabela de Códigos e Valores'!$A:$AE,8,FALSE)</f>
        <v>20.75</v>
      </c>
      <c r="J8" s="298">
        <v>20</v>
      </c>
      <c r="K8" s="297">
        <f>VLOOKUP($C8,'Tabela de Códigos e Valores'!$A:$AE,12,FALSE)</f>
        <v>0</v>
      </c>
      <c r="L8" s="297">
        <f>VLOOKUP($C8,'Tabela de Códigos e Valores'!$A:$AE,13,FALSE)</f>
        <v>0</v>
      </c>
      <c r="M8" s="297">
        <f>VLOOKUP($C8,'Tabela de Códigos e Valores'!$A:$AE,25,FALSE)</f>
        <v>0</v>
      </c>
      <c r="N8" s="297">
        <f>IF(E8&lt;&gt;"posto",VLOOKUP($C8,'Tabela de Códigos e Valores'!$A:$AA,26,FALSE),IF(ROUND((VLOOKUP($B8,'Indicadores Financeiros'!$B$114:$J$119,8,FALSE)*I8)-(VLOOKUP($C8,'Tabela de Códigos e Valores'!A:I,9,FALSE)*6%),2)&lt;0,0,ROUND((VLOOKUP($B8,'Indicadores Financeiros'!$B$114:$J$119,8,FALSE)*I8)-(VLOOKUP($C8,'Tabela de Códigos e Valores'!A:I,9,FALSE)*6%),2)))</f>
        <v>0</v>
      </c>
      <c r="O8" s="297">
        <f>VLOOKUP($C8,'Tabela de Códigos e Valores'!$A:$AE,27,FALSE)</f>
        <v>0</v>
      </c>
      <c r="P8" s="299">
        <f t="shared" si="1"/>
        <v>0</v>
      </c>
      <c r="Q8" s="300">
        <f>VLOOKUP($A8,'Indicadores Financeiros'!$A$114:$J$119,8,FALSE)</f>
        <v>5.2600000000000001E-2</v>
      </c>
      <c r="R8" s="299">
        <f t="shared" si="2"/>
        <v>0</v>
      </c>
      <c r="S8" s="29">
        <f t="shared" si="3"/>
        <v>0</v>
      </c>
      <c r="T8" s="59">
        <f>ROUND(S8*ROUND(('Indicadores Financeiros'!$F$14-F8+1),2),2)</f>
        <v>0</v>
      </c>
      <c r="U8" s="69"/>
      <c r="V8" s="59">
        <f t="shared" si="4"/>
        <v>0</v>
      </c>
      <c r="W8" s="59">
        <f>ROUND('Indicadores Financeiros'!$J$72*$V8,2)</f>
        <v>0</v>
      </c>
      <c r="X8" s="22"/>
      <c r="Y8" s="20">
        <f t="shared" si="0"/>
        <v>0</v>
      </c>
      <c r="Z8" s="20">
        <f>IF(J8=0,0,IF(E8="Posto",ROUND(ROUND(ROUND((VLOOKUP($C8,'Tabela de Códigos e Valores'!$A:$AE,23,FALSE)/'Relatório Custo'!I8),2)+ROUND(VLOOKUP($C8,'Tabela de Códigos e Valores'!$A:$AE,26,FALSE)/'Relatório Custo'!I8,2)+ROUND((('Indicadores Financeiros'!$J$62*'Relatório Custo'!K8)/'Relatório Custo'!I8),2),2)*(1+Q8),2),0))</f>
        <v>0</v>
      </c>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c r="DA8" s="22"/>
      <c r="DB8" s="22"/>
      <c r="DC8" s="22"/>
      <c r="DD8" s="22"/>
      <c r="DE8" s="22"/>
      <c r="DF8" s="22"/>
      <c r="DG8" s="22"/>
      <c r="DH8" s="22"/>
      <c r="DI8" s="22"/>
      <c r="DJ8" s="22"/>
      <c r="DK8" s="22"/>
      <c r="DL8" s="22"/>
      <c r="DM8" s="22"/>
      <c r="DN8" s="22"/>
      <c r="DO8" s="22"/>
      <c r="DP8" s="22"/>
      <c r="DQ8" s="22"/>
      <c r="DR8" s="22"/>
      <c r="DS8" s="22"/>
      <c r="DT8" s="22"/>
      <c r="DU8" s="22"/>
      <c r="DV8" s="22"/>
      <c r="DW8" s="22"/>
      <c r="DX8" s="22"/>
      <c r="DY8" s="22"/>
      <c r="DZ8" s="22"/>
      <c r="EA8" s="22"/>
      <c r="EB8" s="22"/>
      <c r="EC8" s="22"/>
      <c r="ED8" s="22"/>
      <c r="EE8" s="22"/>
      <c r="EF8" s="22"/>
      <c r="EG8" s="22"/>
      <c r="EH8" s="22"/>
      <c r="EI8" s="22"/>
      <c r="EJ8" s="22"/>
      <c r="EK8" s="22"/>
      <c r="EL8" s="22"/>
      <c r="EM8" s="22"/>
      <c r="EN8" s="22"/>
      <c r="EO8" s="22"/>
      <c r="EP8" s="22"/>
      <c r="EQ8" s="22"/>
      <c r="ER8" s="22"/>
      <c r="ES8" s="22"/>
      <c r="ET8" s="22"/>
      <c r="EU8" s="22"/>
      <c r="EV8" s="22"/>
      <c r="EW8" s="22"/>
      <c r="EX8" s="22"/>
      <c r="EY8" s="22"/>
      <c r="EZ8" s="22"/>
      <c r="FA8" s="22"/>
      <c r="FB8" s="22"/>
      <c r="FC8" s="22"/>
      <c r="FD8" s="22"/>
      <c r="FE8" s="22"/>
      <c r="FF8" s="22"/>
      <c r="FG8" s="22"/>
      <c r="FH8" s="22"/>
      <c r="FI8" s="22"/>
      <c r="FJ8" s="22"/>
      <c r="FK8" s="22"/>
      <c r="FL8" s="22"/>
      <c r="FM8" s="22"/>
      <c r="FN8" s="22"/>
      <c r="FO8" s="22"/>
      <c r="FP8" s="22"/>
      <c r="FQ8" s="22"/>
      <c r="FR8" s="22"/>
      <c r="FS8" s="22"/>
      <c r="FT8" s="22"/>
      <c r="FU8" s="22"/>
      <c r="FV8" s="22"/>
      <c r="FW8" s="22"/>
      <c r="FX8" s="22"/>
      <c r="FY8" s="22"/>
      <c r="FZ8" s="22"/>
      <c r="GA8" s="22"/>
      <c r="GB8" s="22"/>
      <c r="GC8" s="22"/>
      <c r="GD8" s="22"/>
      <c r="GE8" s="22"/>
      <c r="GF8" s="22"/>
      <c r="GG8" s="22"/>
      <c r="GH8" s="22"/>
      <c r="GI8" s="22"/>
      <c r="GJ8" s="22"/>
      <c r="GK8" s="22"/>
      <c r="GL8" s="22"/>
      <c r="GM8" s="22"/>
      <c r="GN8" s="22"/>
      <c r="GO8" s="22"/>
      <c r="GP8" s="22"/>
      <c r="GQ8" s="22"/>
      <c r="GR8" s="22"/>
      <c r="GS8" s="22"/>
      <c r="GT8" s="22"/>
      <c r="GU8" s="22"/>
      <c r="GV8" s="22"/>
      <c r="GW8" s="22"/>
      <c r="GX8" s="22"/>
      <c r="GY8" s="22"/>
      <c r="GZ8" s="22"/>
      <c r="HA8" s="22"/>
      <c r="HB8" s="22"/>
      <c r="HC8" s="22"/>
      <c r="HD8" s="22"/>
      <c r="HE8" s="22"/>
      <c r="HF8" s="22"/>
      <c r="HG8" s="22"/>
      <c r="HH8" s="22"/>
      <c r="HI8" s="22"/>
      <c r="HJ8" s="22"/>
      <c r="HK8" s="22"/>
      <c r="HL8" s="22"/>
      <c r="HM8" s="22"/>
      <c r="HN8" s="22"/>
      <c r="HO8" s="22"/>
      <c r="HP8" s="22"/>
      <c r="HQ8" s="22"/>
      <c r="HR8" s="22"/>
      <c r="HS8" s="22"/>
      <c r="HT8" s="22"/>
      <c r="HU8" s="22"/>
      <c r="HV8" s="22"/>
      <c r="HW8" s="22"/>
      <c r="HX8" s="22"/>
      <c r="HY8" s="22"/>
      <c r="HZ8" s="22"/>
      <c r="IA8" s="22"/>
      <c r="IB8" s="22"/>
      <c r="IC8" s="22"/>
      <c r="ID8" s="22"/>
      <c r="IE8" s="22"/>
      <c r="IF8" s="22"/>
      <c r="IG8" s="22"/>
      <c r="IH8" s="22"/>
      <c r="II8" s="22"/>
      <c r="IJ8" s="22"/>
      <c r="IK8" s="22"/>
      <c r="IL8" s="22"/>
      <c r="IM8" s="22"/>
      <c r="IN8" s="22"/>
      <c r="IO8" s="22"/>
      <c r="IP8" s="22"/>
      <c r="IQ8" s="22"/>
      <c r="IR8" s="22"/>
      <c r="IS8" s="22"/>
      <c r="IT8" s="22"/>
      <c r="IU8" s="22"/>
      <c r="IV8" s="22"/>
      <c r="IW8" s="22"/>
      <c r="IX8" s="22"/>
      <c r="IY8" s="22"/>
      <c r="IZ8" s="22"/>
      <c r="JA8" s="22"/>
      <c r="JB8" s="22"/>
      <c r="JC8" s="22"/>
      <c r="JD8" s="22"/>
      <c r="JE8" s="22"/>
      <c r="JF8" s="22"/>
      <c r="JG8" s="22"/>
      <c r="JH8" s="22"/>
      <c r="JI8" s="22"/>
      <c r="JJ8" s="22"/>
      <c r="JK8" s="22"/>
      <c r="JL8" s="22"/>
      <c r="JM8" s="22"/>
      <c r="JN8" s="22"/>
      <c r="JO8" s="22"/>
      <c r="JP8" s="22"/>
      <c r="JQ8" s="22"/>
      <c r="JR8" s="22"/>
      <c r="JS8" s="22"/>
      <c r="JT8" s="22"/>
      <c r="JU8" s="22"/>
      <c r="JV8" s="22"/>
      <c r="JW8" s="22"/>
      <c r="JX8" s="22"/>
      <c r="JY8" s="22"/>
      <c r="JZ8" s="22"/>
      <c r="KA8" s="22"/>
      <c r="KB8" s="22"/>
      <c r="KC8" s="22"/>
      <c r="KD8" s="22"/>
      <c r="KE8" s="22"/>
      <c r="KF8" s="22"/>
      <c r="KG8" s="22"/>
      <c r="KH8" s="22"/>
      <c r="KI8" s="22"/>
      <c r="KJ8" s="22"/>
      <c r="KK8" s="22"/>
      <c r="KL8" s="22"/>
      <c r="KM8" s="22"/>
      <c r="KN8" s="22"/>
      <c r="KO8" s="22"/>
      <c r="KP8" s="22"/>
      <c r="KQ8" s="22"/>
      <c r="KR8" s="22"/>
      <c r="KS8" s="22"/>
      <c r="KT8" s="22"/>
      <c r="KU8" s="22"/>
      <c r="KV8" s="22"/>
      <c r="KW8" s="22"/>
      <c r="KX8" s="22"/>
      <c r="KY8" s="22"/>
      <c r="KZ8" s="22"/>
      <c r="LA8" s="22"/>
      <c r="LB8" s="22"/>
      <c r="LC8" s="22"/>
      <c r="LD8" s="22"/>
      <c r="LE8" s="22"/>
      <c r="LF8" s="22"/>
      <c r="LG8" s="22"/>
      <c r="LH8" s="22"/>
      <c r="LI8" s="22"/>
      <c r="LJ8" s="22"/>
      <c r="LK8" s="22"/>
      <c r="LL8" s="22"/>
      <c r="LM8" s="22"/>
      <c r="LN8" s="22"/>
      <c r="LO8" s="22"/>
      <c r="LP8" s="22"/>
      <c r="LQ8" s="22"/>
      <c r="LR8" s="22"/>
      <c r="LS8" s="22"/>
      <c r="LT8" s="22"/>
      <c r="LU8" s="22"/>
    </row>
    <row r="9" spans="1:334" s="23" customFormat="1" ht="36" x14ac:dyDescent="0.25">
      <c r="A9" s="291">
        <v>5</v>
      </c>
      <c r="B9" s="292" t="str">
        <f>VLOOKUP($A9,'Indicadores Financeiros'!$A$114:$J$217,2,FALSE)</f>
        <v>São Paulo - Fórum Criminal - Complexo Judiciário Ministro Mário Guimarães</v>
      </c>
      <c r="C9" s="293">
        <v>551196</v>
      </c>
      <c r="D9" s="294" t="str">
        <f>VLOOKUP($C9,'Tabela de Códigos e Valores'!$A:$J,2,FALSE)</f>
        <v>Técnico em Refrigeração Mecânico - Hora Extra Sábado</v>
      </c>
      <c r="E9" s="295" t="str">
        <f>VLOOKUP($C9,'Tabela de Códigos e Valores'!$A:$J,5,FALSE)</f>
        <v>Hora Extra</v>
      </c>
      <c r="F9" s="295">
        <f>VLOOKUP($A9,'Indicadores Financeiros'!$A$114:$J$1120,10,FALSE)</f>
        <v>1</v>
      </c>
      <c r="G9" s="295" t="str">
        <f>VLOOKUP($C9,'Tabela de Códigos e Valores'!$A:$J,6,FALSE)</f>
        <v>Mensal</v>
      </c>
      <c r="H9" s="296">
        <f>VLOOKUP($C9,'Tabela de Códigos e Valores'!$A:$AE,7,FALSE)</f>
        <v>1</v>
      </c>
      <c r="I9" s="297">
        <f>VLOOKUP($C9,'Tabela de Códigos e Valores'!$A:$AE,8,FALSE)</f>
        <v>20.75</v>
      </c>
      <c r="J9" s="298">
        <v>8</v>
      </c>
      <c r="K9" s="297">
        <f>VLOOKUP($C9,'Tabela de Códigos e Valores'!$A:$AE,12,FALSE)</f>
        <v>0</v>
      </c>
      <c r="L9" s="297">
        <f>VLOOKUP($C9,'Tabela de Códigos e Valores'!$A:$AE,13,FALSE)</f>
        <v>0</v>
      </c>
      <c r="M9" s="297">
        <f>VLOOKUP($C9,'Tabela de Códigos e Valores'!$A:$AE,25,FALSE)</f>
        <v>0</v>
      </c>
      <c r="N9" s="297">
        <f>IF(E9&lt;&gt;"posto",VLOOKUP($C9,'Tabela de Códigos e Valores'!$A:$AA,26,FALSE),IF(ROUND((VLOOKUP($B9,'Indicadores Financeiros'!$B$114:$J$119,8,FALSE)*I9)-(VLOOKUP($C9,'Tabela de Códigos e Valores'!A:I,9,FALSE)*6%),2)&lt;0,0,ROUND((VLOOKUP($B9,'Indicadores Financeiros'!$B$114:$J$119,8,FALSE)*I9)-(VLOOKUP($C9,'Tabela de Códigos e Valores'!A:I,9,FALSE)*6%),2)))</f>
        <v>0</v>
      </c>
      <c r="O9" s="297">
        <f>VLOOKUP($C9,'Tabela de Códigos e Valores'!$A:$AE,27,FALSE)</f>
        <v>0</v>
      </c>
      <c r="P9" s="299">
        <f t="shared" si="1"/>
        <v>0</v>
      </c>
      <c r="Q9" s="300">
        <f>VLOOKUP($A9,'Indicadores Financeiros'!$A$114:$J$119,8,FALSE)</f>
        <v>5.2600000000000001E-2</v>
      </c>
      <c r="R9" s="299">
        <f t="shared" si="2"/>
        <v>0</v>
      </c>
      <c r="S9" s="29">
        <f t="shared" si="3"/>
        <v>0</v>
      </c>
      <c r="T9" s="59">
        <f>ROUND(S9*ROUND(('Indicadores Financeiros'!$F$14-F9+1),2),2)</f>
        <v>0</v>
      </c>
      <c r="U9" s="69"/>
      <c r="V9" s="59">
        <f t="shared" si="4"/>
        <v>0</v>
      </c>
      <c r="W9" s="59">
        <f>ROUND('Indicadores Financeiros'!$J$72*$V9,2)</f>
        <v>0</v>
      </c>
      <c r="X9" s="22"/>
      <c r="Y9" s="20">
        <f t="shared" si="0"/>
        <v>0</v>
      </c>
      <c r="Z9" s="20">
        <f>IF(J9=0,0,IF(E9="Posto",ROUND(ROUND(ROUND((VLOOKUP($C9,'Tabela de Códigos e Valores'!$A:$AE,23,FALSE)/'Relatório Custo'!I9),2)+ROUND(VLOOKUP($C9,'Tabela de Códigos e Valores'!$A:$AE,26,FALSE)/'Relatório Custo'!I9,2)+ROUND((('Indicadores Financeiros'!$J$62*'Relatório Custo'!K9)/'Relatório Custo'!I9),2),2)*(1+Q9),2),0))</f>
        <v>0</v>
      </c>
      <c r="AA9" s="22"/>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2"/>
      <c r="BK9" s="22"/>
      <c r="BL9" s="22"/>
      <c r="BM9" s="22"/>
      <c r="BN9" s="22"/>
      <c r="BO9" s="22"/>
      <c r="BP9" s="22"/>
      <c r="BQ9" s="22"/>
      <c r="BR9" s="22"/>
      <c r="BS9" s="22"/>
      <c r="BT9" s="22"/>
      <c r="BU9" s="22"/>
      <c r="BV9" s="22"/>
      <c r="BW9" s="22"/>
      <c r="BX9" s="22"/>
      <c r="BY9" s="22"/>
      <c r="BZ9" s="22"/>
      <c r="CA9" s="22"/>
      <c r="CB9" s="22"/>
      <c r="CC9" s="22"/>
      <c r="CD9" s="22"/>
      <c r="CE9" s="22"/>
      <c r="CF9" s="22"/>
      <c r="CG9" s="22"/>
      <c r="CH9" s="22"/>
      <c r="CI9" s="22"/>
      <c r="CJ9" s="22"/>
      <c r="CK9" s="22"/>
      <c r="CL9" s="22"/>
      <c r="CM9" s="22"/>
      <c r="CN9" s="22"/>
      <c r="CO9" s="22"/>
      <c r="CP9" s="22"/>
      <c r="CQ9" s="22"/>
      <c r="CR9" s="22"/>
      <c r="CS9" s="22"/>
      <c r="CT9" s="22"/>
      <c r="CU9" s="22"/>
      <c r="CV9" s="22"/>
      <c r="CW9" s="22"/>
      <c r="CX9" s="22"/>
      <c r="CY9" s="22"/>
      <c r="CZ9" s="22"/>
      <c r="DA9" s="22"/>
      <c r="DB9" s="22"/>
      <c r="DC9" s="22"/>
      <c r="DD9" s="22"/>
      <c r="DE9" s="22"/>
      <c r="DF9" s="22"/>
      <c r="DG9" s="22"/>
      <c r="DH9" s="22"/>
      <c r="DI9" s="22"/>
      <c r="DJ9" s="22"/>
      <c r="DK9" s="22"/>
      <c r="DL9" s="22"/>
      <c r="DM9" s="22"/>
      <c r="DN9" s="22"/>
      <c r="DO9" s="22"/>
      <c r="DP9" s="22"/>
      <c r="DQ9" s="22"/>
      <c r="DR9" s="22"/>
      <c r="DS9" s="22"/>
      <c r="DT9" s="22"/>
      <c r="DU9" s="22"/>
      <c r="DV9" s="22"/>
      <c r="DW9" s="22"/>
      <c r="DX9" s="22"/>
      <c r="DY9" s="22"/>
      <c r="DZ9" s="22"/>
      <c r="EA9" s="22"/>
      <c r="EB9" s="22"/>
      <c r="EC9" s="22"/>
      <c r="ED9" s="22"/>
      <c r="EE9" s="22"/>
      <c r="EF9" s="22"/>
      <c r="EG9" s="22"/>
      <c r="EH9" s="22"/>
      <c r="EI9" s="22"/>
      <c r="EJ9" s="22"/>
      <c r="EK9" s="22"/>
      <c r="EL9" s="22"/>
      <c r="EM9" s="22"/>
      <c r="EN9" s="22"/>
      <c r="EO9" s="22"/>
      <c r="EP9" s="22"/>
      <c r="EQ9" s="22"/>
      <c r="ER9" s="22"/>
      <c r="ES9" s="22"/>
      <c r="ET9" s="22"/>
      <c r="EU9" s="22"/>
      <c r="EV9" s="22"/>
      <c r="EW9" s="22"/>
      <c r="EX9" s="22"/>
      <c r="EY9" s="22"/>
      <c r="EZ9" s="22"/>
      <c r="FA9" s="22"/>
      <c r="FB9" s="22"/>
      <c r="FC9" s="22"/>
      <c r="FD9" s="22"/>
      <c r="FE9" s="22"/>
      <c r="FF9" s="22"/>
      <c r="FG9" s="22"/>
      <c r="FH9" s="22"/>
      <c r="FI9" s="22"/>
      <c r="FJ9" s="22"/>
      <c r="FK9" s="22"/>
      <c r="FL9" s="22"/>
      <c r="FM9" s="22"/>
      <c r="FN9" s="22"/>
      <c r="FO9" s="22"/>
      <c r="FP9" s="22"/>
      <c r="FQ9" s="22"/>
      <c r="FR9" s="22"/>
      <c r="FS9" s="22"/>
      <c r="FT9" s="22"/>
      <c r="FU9" s="22"/>
      <c r="FV9" s="22"/>
      <c r="FW9" s="22"/>
      <c r="FX9" s="22"/>
      <c r="FY9" s="22"/>
      <c r="FZ9" s="22"/>
      <c r="GA9" s="22"/>
      <c r="GB9" s="22"/>
      <c r="GC9" s="22"/>
      <c r="GD9" s="22"/>
      <c r="GE9" s="22"/>
      <c r="GF9" s="22"/>
      <c r="GG9" s="22"/>
      <c r="GH9" s="22"/>
      <c r="GI9" s="22"/>
      <c r="GJ9" s="22"/>
      <c r="GK9" s="22"/>
      <c r="GL9" s="22"/>
      <c r="GM9" s="22"/>
      <c r="GN9" s="22"/>
      <c r="GO9" s="22"/>
      <c r="GP9" s="22"/>
      <c r="GQ9" s="22"/>
      <c r="GR9" s="22"/>
      <c r="GS9" s="22"/>
      <c r="GT9" s="22"/>
      <c r="GU9" s="22"/>
      <c r="GV9" s="22"/>
      <c r="GW9" s="22"/>
      <c r="GX9" s="22"/>
      <c r="GY9" s="22"/>
      <c r="GZ9" s="22"/>
      <c r="HA9" s="22"/>
      <c r="HB9" s="22"/>
      <c r="HC9" s="22"/>
      <c r="HD9" s="22"/>
      <c r="HE9" s="22"/>
      <c r="HF9" s="22"/>
      <c r="HG9" s="22"/>
      <c r="HH9" s="22"/>
      <c r="HI9" s="22"/>
      <c r="HJ9" s="22"/>
      <c r="HK9" s="22"/>
      <c r="HL9" s="22"/>
      <c r="HM9" s="22"/>
      <c r="HN9" s="22"/>
      <c r="HO9" s="22"/>
      <c r="HP9" s="22"/>
      <c r="HQ9" s="22"/>
      <c r="HR9" s="22"/>
      <c r="HS9" s="22"/>
      <c r="HT9" s="22"/>
      <c r="HU9" s="22"/>
      <c r="HV9" s="22"/>
      <c r="HW9" s="22"/>
      <c r="HX9" s="22"/>
      <c r="HY9" s="22"/>
      <c r="HZ9" s="22"/>
      <c r="IA9" s="22"/>
      <c r="IB9" s="22"/>
      <c r="IC9" s="22"/>
      <c r="ID9" s="22"/>
      <c r="IE9" s="22"/>
      <c r="IF9" s="22"/>
      <c r="IG9" s="22"/>
      <c r="IH9" s="22"/>
      <c r="II9" s="22"/>
      <c r="IJ9" s="22"/>
      <c r="IK9" s="22"/>
      <c r="IL9" s="22"/>
      <c r="IM9" s="22"/>
      <c r="IN9" s="22"/>
      <c r="IO9" s="22"/>
      <c r="IP9" s="22"/>
      <c r="IQ9" s="22"/>
      <c r="IR9" s="22"/>
      <c r="IS9" s="22"/>
      <c r="IT9" s="22"/>
      <c r="IU9" s="22"/>
      <c r="IV9" s="22"/>
      <c r="IW9" s="22"/>
      <c r="IX9" s="22"/>
      <c r="IY9" s="22"/>
      <c r="IZ9" s="22"/>
      <c r="JA9" s="22"/>
      <c r="JB9" s="22"/>
      <c r="JC9" s="22"/>
      <c r="JD9" s="22"/>
      <c r="JE9" s="22"/>
      <c r="JF9" s="22"/>
      <c r="JG9" s="22"/>
      <c r="JH9" s="22"/>
      <c r="JI9" s="22"/>
      <c r="JJ9" s="22"/>
      <c r="JK9" s="22"/>
      <c r="JL9" s="22"/>
      <c r="JM9" s="22"/>
      <c r="JN9" s="22"/>
      <c r="JO9" s="22"/>
      <c r="JP9" s="22"/>
      <c r="JQ9" s="22"/>
      <c r="JR9" s="22"/>
      <c r="JS9" s="22"/>
      <c r="JT9" s="22"/>
      <c r="JU9" s="22"/>
      <c r="JV9" s="22"/>
      <c r="JW9" s="22"/>
      <c r="JX9" s="22"/>
      <c r="JY9" s="22"/>
      <c r="JZ9" s="22"/>
      <c r="KA9" s="22"/>
      <c r="KB9" s="22"/>
      <c r="KC9" s="22"/>
      <c r="KD9" s="22"/>
      <c r="KE9" s="22"/>
      <c r="KF9" s="22"/>
      <c r="KG9" s="22"/>
      <c r="KH9" s="22"/>
      <c r="KI9" s="22"/>
      <c r="KJ9" s="22"/>
      <c r="KK9" s="22"/>
      <c r="KL9" s="22"/>
      <c r="KM9" s="22"/>
      <c r="KN9" s="22"/>
      <c r="KO9" s="22"/>
      <c r="KP9" s="22"/>
      <c r="KQ9" s="22"/>
      <c r="KR9" s="22"/>
      <c r="KS9" s="22"/>
      <c r="KT9" s="22"/>
      <c r="KU9" s="22"/>
      <c r="KV9" s="22"/>
      <c r="KW9" s="22"/>
      <c r="KX9" s="22"/>
      <c r="KY9" s="22"/>
      <c r="KZ9" s="22"/>
      <c r="LA9" s="22"/>
      <c r="LB9" s="22"/>
      <c r="LC9" s="22"/>
      <c r="LD9" s="22"/>
      <c r="LE9" s="22"/>
      <c r="LF9" s="22"/>
      <c r="LG9" s="22"/>
      <c r="LH9" s="22"/>
      <c r="LI9" s="22"/>
      <c r="LJ9" s="22"/>
      <c r="LK9" s="22"/>
      <c r="LL9" s="22"/>
      <c r="LM9" s="22"/>
      <c r="LN9" s="22"/>
      <c r="LO9" s="22"/>
      <c r="LP9" s="22"/>
      <c r="LQ9" s="22"/>
      <c r="LR9" s="22"/>
      <c r="LS9" s="22"/>
      <c r="LT9" s="22"/>
      <c r="LU9" s="22"/>
    </row>
    <row r="10" spans="1:334" s="23" customFormat="1" ht="36" x14ac:dyDescent="0.25">
      <c r="A10" s="291">
        <v>5</v>
      </c>
      <c r="B10" s="292" t="str">
        <f>VLOOKUP($A10,'Indicadores Financeiros'!$A$114:$J$217,2,FALSE)</f>
        <v>São Paulo - Fórum Criminal - Complexo Judiciário Ministro Mário Guimarães</v>
      </c>
      <c r="C10" s="293">
        <v>551197</v>
      </c>
      <c r="D10" s="294" t="str">
        <f>VLOOKUP($C10,'Tabela de Códigos e Valores'!$A:$J,2,FALSE)</f>
        <v>Técnico em Refrigeração Mecânico - Hora Extra Domingo e Feriado</v>
      </c>
      <c r="E10" s="295" t="str">
        <f>VLOOKUP($C10,'Tabela de Códigos e Valores'!$A:$J,5,FALSE)</f>
        <v>Hora Extra</v>
      </c>
      <c r="F10" s="295">
        <f>VLOOKUP($A10,'Indicadores Financeiros'!$A$114:$J$1120,10,FALSE)</f>
        <v>1</v>
      </c>
      <c r="G10" s="295" t="str">
        <f>VLOOKUP($C10,'Tabela de Códigos e Valores'!$A:$J,6,FALSE)</f>
        <v>Mensal</v>
      </c>
      <c r="H10" s="296">
        <f>VLOOKUP($C10,'Tabela de Códigos e Valores'!$A:$AE,7,FALSE)</f>
        <v>1</v>
      </c>
      <c r="I10" s="297">
        <f>VLOOKUP($C10,'Tabela de Códigos e Valores'!$A:$AE,8,FALSE)</f>
        <v>20.75</v>
      </c>
      <c r="J10" s="298">
        <v>8</v>
      </c>
      <c r="K10" s="297">
        <f>VLOOKUP($C10,'Tabela de Códigos e Valores'!$A:$AE,12,FALSE)</f>
        <v>0</v>
      </c>
      <c r="L10" s="297">
        <f>VLOOKUP($C10,'Tabela de Códigos e Valores'!$A:$AE,13,FALSE)</f>
        <v>0</v>
      </c>
      <c r="M10" s="297">
        <f>VLOOKUP($C10,'Tabela de Códigos e Valores'!$A:$AE,25,FALSE)</f>
        <v>0</v>
      </c>
      <c r="N10" s="297">
        <f>IF(E10&lt;&gt;"posto",VLOOKUP($C10,'Tabela de Códigos e Valores'!$A:$AA,26,FALSE),IF(ROUND((VLOOKUP($B10,'Indicadores Financeiros'!$B$114:$J$119,8,FALSE)*I10)-(VLOOKUP($C10,'Tabela de Códigos e Valores'!A:I,9,FALSE)*6%),2)&lt;0,0,ROUND((VLOOKUP($B10,'Indicadores Financeiros'!$B$114:$J$119,8,FALSE)*I10)-(VLOOKUP($C10,'Tabela de Códigos e Valores'!A:I,9,FALSE)*6%),2)))</f>
        <v>0</v>
      </c>
      <c r="O10" s="297">
        <f>VLOOKUP($C10,'Tabela de Códigos e Valores'!$A:$AE,27,FALSE)</f>
        <v>0</v>
      </c>
      <c r="P10" s="299">
        <f t="shared" si="1"/>
        <v>0</v>
      </c>
      <c r="Q10" s="300">
        <f>VLOOKUP($A10,'Indicadores Financeiros'!$A$114:$J$119,8,FALSE)</f>
        <v>5.2600000000000001E-2</v>
      </c>
      <c r="R10" s="299">
        <f t="shared" si="2"/>
        <v>0</v>
      </c>
      <c r="S10" s="29">
        <f t="shared" si="3"/>
        <v>0</v>
      </c>
      <c r="T10" s="59">
        <f>ROUND(S10*ROUND(('Indicadores Financeiros'!$F$14-F10+1),2),2)</f>
        <v>0</v>
      </c>
      <c r="U10" s="69"/>
      <c r="V10" s="59">
        <f t="shared" si="4"/>
        <v>0</v>
      </c>
      <c r="W10" s="59">
        <f>ROUND('Indicadores Financeiros'!$J$72*$V10,2)</f>
        <v>0</v>
      </c>
      <c r="X10" s="22"/>
      <c r="Y10" s="20">
        <f t="shared" si="0"/>
        <v>0</v>
      </c>
      <c r="Z10" s="20">
        <f>IF(J10=0,0,IF(E10="Posto",ROUND(ROUND(ROUND((VLOOKUP($C10,'Tabela de Códigos e Valores'!$A:$AE,23,FALSE)/'Relatório Custo'!I10),2)+ROUND(VLOOKUP($C10,'Tabela de Códigos e Valores'!$A:$AE,26,FALSE)/'Relatório Custo'!I10,2)+ROUND((('Indicadores Financeiros'!$J$62*'Relatório Custo'!K10)/'Relatório Custo'!I10),2),2)*(1+Q10),2),0))</f>
        <v>0</v>
      </c>
      <c r="AA10" s="22"/>
      <c r="AB10" s="22"/>
      <c r="AC10" s="22"/>
      <c r="AD10" s="22"/>
      <c r="AE10" s="22"/>
      <c r="AF10" s="22"/>
      <c r="AG10" s="22"/>
      <c r="AH10" s="22"/>
      <c r="AI10" s="22"/>
      <c r="AJ10" s="22"/>
      <c r="AK10" s="22"/>
      <c r="AL10" s="22"/>
      <c r="AM10" s="22"/>
      <c r="AN10" s="22"/>
      <c r="AO10" s="22"/>
      <c r="AP10" s="22"/>
      <c r="AQ10" s="22"/>
      <c r="AR10" s="22"/>
      <c r="AS10" s="22"/>
      <c r="AT10" s="22"/>
      <c r="AU10" s="22"/>
      <c r="AV10" s="22"/>
      <c r="AW10" s="22"/>
      <c r="AX10" s="22"/>
      <c r="AY10" s="22"/>
      <c r="AZ10" s="22"/>
      <c r="BA10" s="22"/>
      <c r="BB10" s="22"/>
      <c r="BC10" s="22"/>
      <c r="BD10" s="22"/>
      <c r="BE10" s="22"/>
      <c r="BF10" s="22"/>
      <c r="BG10" s="22"/>
      <c r="BH10" s="22"/>
      <c r="BI10" s="22"/>
      <c r="BJ10" s="22"/>
      <c r="BK10" s="22"/>
      <c r="BL10" s="22"/>
      <c r="BM10" s="22"/>
      <c r="BN10" s="22"/>
      <c r="BO10" s="22"/>
      <c r="BP10" s="22"/>
      <c r="BQ10" s="22"/>
      <c r="BR10" s="22"/>
      <c r="BS10" s="22"/>
      <c r="BT10" s="22"/>
      <c r="BU10" s="22"/>
      <c r="BV10" s="22"/>
      <c r="BW10" s="22"/>
      <c r="BX10" s="22"/>
      <c r="BY10" s="22"/>
      <c r="BZ10" s="22"/>
      <c r="CA10" s="22"/>
      <c r="CB10" s="22"/>
      <c r="CC10" s="22"/>
      <c r="CD10" s="22"/>
      <c r="CE10" s="22"/>
      <c r="CF10" s="22"/>
      <c r="CG10" s="22"/>
      <c r="CH10" s="22"/>
      <c r="CI10" s="22"/>
      <c r="CJ10" s="22"/>
      <c r="CK10" s="22"/>
      <c r="CL10" s="22"/>
      <c r="CM10" s="22"/>
      <c r="CN10" s="22"/>
      <c r="CO10" s="22"/>
      <c r="CP10" s="22"/>
      <c r="CQ10" s="22"/>
      <c r="CR10" s="22"/>
      <c r="CS10" s="22"/>
      <c r="CT10" s="22"/>
      <c r="CU10" s="22"/>
      <c r="CV10" s="22"/>
      <c r="CW10" s="22"/>
      <c r="CX10" s="22"/>
      <c r="CY10" s="22"/>
      <c r="CZ10" s="22"/>
      <c r="DA10" s="22"/>
      <c r="DB10" s="22"/>
      <c r="DC10" s="22"/>
      <c r="DD10" s="22"/>
      <c r="DE10" s="22"/>
      <c r="DF10" s="22"/>
      <c r="DG10" s="22"/>
      <c r="DH10" s="22"/>
      <c r="DI10" s="22"/>
      <c r="DJ10" s="22"/>
      <c r="DK10" s="22"/>
      <c r="DL10" s="22"/>
      <c r="DM10" s="22"/>
      <c r="DN10" s="22"/>
      <c r="DO10" s="22"/>
      <c r="DP10" s="22"/>
      <c r="DQ10" s="22"/>
      <c r="DR10" s="22"/>
      <c r="DS10" s="22"/>
      <c r="DT10" s="22"/>
      <c r="DU10" s="22"/>
      <c r="DV10" s="22"/>
      <c r="DW10" s="22"/>
      <c r="DX10" s="22"/>
      <c r="DY10" s="22"/>
      <c r="DZ10" s="22"/>
      <c r="EA10" s="22"/>
      <c r="EB10" s="22"/>
      <c r="EC10" s="22"/>
      <c r="ED10" s="22"/>
      <c r="EE10" s="22"/>
      <c r="EF10" s="22"/>
      <c r="EG10" s="22"/>
      <c r="EH10" s="22"/>
      <c r="EI10" s="22"/>
      <c r="EJ10" s="22"/>
      <c r="EK10" s="22"/>
      <c r="EL10" s="22"/>
      <c r="EM10" s="22"/>
      <c r="EN10" s="22"/>
      <c r="EO10" s="22"/>
      <c r="EP10" s="22"/>
      <c r="EQ10" s="22"/>
      <c r="ER10" s="22"/>
      <c r="ES10" s="22"/>
      <c r="ET10" s="22"/>
      <c r="EU10" s="22"/>
      <c r="EV10" s="22"/>
      <c r="EW10" s="22"/>
      <c r="EX10" s="22"/>
      <c r="EY10" s="22"/>
      <c r="EZ10" s="22"/>
      <c r="FA10" s="22"/>
      <c r="FB10" s="22"/>
      <c r="FC10" s="22"/>
      <c r="FD10" s="22"/>
      <c r="FE10" s="22"/>
      <c r="FF10" s="22"/>
      <c r="FG10" s="22"/>
      <c r="FH10" s="22"/>
      <c r="FI10" s="22"/>
      <c r="FJ10" s="22"/>
      <c r="FK10" s="22"/>
      <c r="FL10" s="22"/>
      <c r="FM10" s="22"/>
      <c r="FN10" s="22"/>
      <c r="FO10" s="22"/>
      <c r="FP10" s="22"/>
      <c r="FQ10" s="22"/>
      <c r="FR10" s="22"/>
      <c r="FS10" s="22"/>
      <c r="FT10" s="22"/>
      <c r="FU10" s="22"/>
      <c r="FV10" s="22"/>
      <c r="FW10" s="22"/>
      <c r="FX10" s="22"/>
      <c r="FY10" s="22"/>
      <c r="FZ10" s="22"/>
      <c r="GA10" s="22"/>
      <c r="GB10" s="22"/>
      <c r="GC10" s="22"/>
      <c r="GD10" s="22"/>
      <c r="GE10" s="22"/>
      <c r="GF10" s="22"/>
      <c r="GG10" s="22"/>
      <c r="GH10" s="22"/>
      <c r="GI10" s="22"/>
      <c r="GJ10" s="22"/>
      <c r="GK10" s="22"/>
      <c r="GL10" s="22"/>
      <c r="GM10" s="22"/>
      <c r="GN10" s="22"/>
      <c r="GO10" s="22"/>
      <c r="GP10" s="22"/>
      <c r="GQ10" s="22"/>
      <c r="GR10" s="22"/>
      <c r="GS10" s="22"/>
      <c r="GT10" s="22"/>
      <c r="GU10" s="22"/>
      <c r="GV10" s="22"/>
      <c r="GW10" s="22"/>
      <c r="GX10" s="22"/>
      <c r="GY10" s="22"/>
      <c r="GZ10" s="22"/>
      <c r="HA10" s="22"/>
      <c r="HB10" s="22"/>
      <c r="HC10" s="22"/>
      <c r="HD10" s="22"/>
      <c r="HE10" s="22"/>
      <c r="HF10" s="22"/>
      <c r="HG10" s="22"/>
      <c r="HH10" s="22"/>
      <c r="HI10" s="22"/>
      <c r="HJ10" s="22"/>
      <c r="HK10" s="22"/>
      <c r="HL10" s="22"/>
      <c r="HM10" s="22"/>
      <c r="HN10" s="22"/>
      <c r="HO10" s="22"/>
      <c r="HP10" s="22"/>
      <c r="HQ10" s="22"/>
      <c r="HR10" s="22"/>
      <c r="HS10" s="22"/>
      <c r="HT10" s="22"/>
      <c r="HU10" s="22"/>
      <c r="HV10" s="22"/>
      <c r="HW10" s="22"/>
      <c r="HX10" s="22"/>
      <c r="HY10" s="22"/>
      <c r="HZ10" s="22"/>
      <c r="IA10" s="22"/>
      <c r="IB10" s="22"/>
      <c r="IC10" s="22"/>
      <c r="ID10" s="22"/>
      <c r="IE10" s="22"/>
      <c r="IF10" s="22"/>
      <c r="IG10" s="22"/>
      <c r="IH10" s="22"/>
      <c r="II10" s="22"/>
      <c r="IJ10" s="22"/>
      <c r="IK10" s="22"/>
      <c r="IL10" s="22"/>
      <c r="IM10" s="22"/>
      <c r="IN10" s="22"/>
      <c r="IO10" s="22"/>
      <c r="IP10" s="22"/>
      <c r="IQ10" s="22"/>
      <c r="IR10" s="22"/>
      <c r="IS10" s="22"/>
      <c r="IT10" s="22"/>
      <c r="IU10" s="22"/>
      <c r="IV10" s="22"/>
      <c r="IW10" s="22"/>
      <c r="IX10" s="22"/>
      <c r="IY10" s="22"/>
      <c r="IZ10" s="22"/>
      <c r="JA10" s="22"/>
      <c r="JB10" s="22"/>
      <c r="JC10" s="22"/>
      <c r="JD10" s="22"/>
      <c r="JE10" s="22"/>
      <c r="JF10" s="22"/>
      <c r="JG10" s="22"/>
      <c r="JH10" s="22"/>
      <c r="JI10" s="22"/>
      <c r="JJ10" s="22"/>
      <c r="JK10" s="22"/>
      <c r="JL10" s="22"/>
      <c r="JM10" s="22"/>
      <c r="JN10" s="22"/>
      <c r="JO10" s="22"/>
      <c r="JP10" s="22"/>
      <c r="JQ10" s="22"/>
      <c r="JR10" s="22"/>
      <c r="JS10" s="22"/>
      <c r="JT10" s="22"/>
      <c r="JU10" s="22"/>
      <c r="JV10" s="22"/>
      <c r="JW10" s="22"/>
      <c r="JX10" s="22"/>
      <c r="JY10" s="22"/>
      <c r="JZ10" s="22"/>
      <c r="KA10" s="22"/>
      <c r="KB10" s="22"/>
      <c r="KC10" s="22"/>
      <c r="KD10" s="22"/>
      <c r="KE10" s="22"/>
      <c r="KF10" s="22"/>
      <c r="KG10" s="22"/>
      <c r="KH10" s="22"/>
      <c r="KI10" s="22"/>
      <c r="KJ10" s="22"/>
      <c r="KK10" s="22"/>
      <c r="KL10" s="22"/>
      <c r="KM10" s="22"/>
      <c r="KN10" s="22"/>
      <c r="KO10" s="22"/>
      <c r="KP10" s="22"/>
      <c r="KQ10" s="22"/>
      <c r="KR10" s="22"/>
      <c r="KS10" s="22"/>
      <c r="KT10" s="22"/>
      <c r="KU10" s="22"/>
      <c r="KV10" s="22"/>
      <c r="KW10" s="22"/>
      <c r="KX10" s="22"/>
      <c r="KY10" s="22"/>
      <c r="KZ10" s="22"/>
      <c r="LA10" s="22"/>
      <c r="LB10" s="22"/>
      <c r="LC10" s="22"/>
      <c r="LD10" s="22"/>
      <c r="LE10" s="22"/>
      <c r="LF10" s="22"/>
      <c r="LG10" s="22"/>
      <c r="LH10" s="22"/>
      <c r="LI10" s="22"/>
      <c r="LJ10" s="22"/>
      <c r="LK10" s="22"/>
      <c r="LL10" s="22"/>
      <c r="LM10" s="22"/>
      <c r="LN10" s="22"/>
      <c r="LO10" s="22"/>
      <c r="LP10" s="22"/>
      <c r="LQ10" s="22"/>
      <c r="LR10" s="22"/>
      <c r="LS10" s="22"/>
      <c r="LT10" s="22"/>
      <c r="LU10" s="22"/>
    </row>
    <row r="11" spans="1:334" s="23" customFormat="1" ht="36" x14ac:dyDescent="0.25">
      <c r="A11" s="291">
        <v>5</v>
      </c>
      <c r="B11" s="292" t="str">
        <f>VLOOKUP($A11,'Indicadores Financeiros'!$A$114:$J$217,2,FALSE)</f>
        <v>São Paulo - Fórum Criminal - Complexo Judiciário Ministro Mário Guimarães</v>
      </c>
      <c r="C11" s="293">
        <v>551198</v>
      </c>
      <c r="D11" s="294" t="str">
        <f>VLOOKUP($C11,'Tabela de Códigos e Valores'!$A:$J,2,FALSE)</f>
        <v>Auxiliar Técnico em Refrigeração - Hora Extra Noturna</v>
      </c>
      <c r="E11" s="295" t="str">
        <f>VLOOKUP($C11,'Tabela de Códigos e Valores'!$A:$J,5,FALSE)</f>
        <v>Hora Extra</v>
      </c>
      <c r="F11" s="295">
        <f>VLOOKUP($A11,'Indicadores Financeiros'!$A$114:$J$1120,10,FALSE)</f>
        <v>1</v>
      </c>
      <c r="G11" s="295" t="str">
        <f>VLOOKUP($C11,'Tabela de Códigos e Valores'!$A:$J,6,FALSE)</f>
        <v>Mensal</v>
      </c>
      <c r="H11" s="296">
        <f>VLOOKUP($C11,'Tabela de Códigos e Valores'!$A:$AE,7,FALSE)</f>
        <v>1</v>
      </c>
      <c r="I11" s="297">
        <f>VLOOKUP($C11,'Tabela de Códigos e Valores'!$A:$AE,8,FALSE)</f>
        <v>20.75</v>
      </c>
      <c r="J11" s="298">
        <v>20</v>
      </c>
      <c r="K11" s="297">
        <f>VLOOKUP($C11,'Tabela de Códigos e Valores'!$A:$AE,12,FALSE)</f>
        <v>0</v>
      </c>
      <c r="L11" s="297">
        <f>VLOOKUP($C11,'Tabela de Códigos e Valores'!$A:$AE,13,FALSE)</f>
        <v>0</v>
      </c>
      <c r="M11" s="297">
        <f>VLOOKUP($C11,'Tabela de Códigos e Valores'!$A:$AE,25,FALSE)</f>
        <v>0</v>
      </c>
      <c r="N11" s="297">
        <f>IF(E11&lt;&gt;"posto",VLOOKUP($C11,'Tabela de Códigos e Valores'!$A:$AA,26,FALSE),IF(ROUND((VLOOKUP($B11,'Indicadores Financeiros'!$B$114:$J$119,8,FALSE)*I11)-(VLOOKUP($C11,'Tabela de Códigos e Valores'!A:I,9,FALSE)*6%),2)&lt;0,0,ROUND((VLOOKUP($B11,'Indicadores Financeiros'!$B$114:$J$119,8,FALSE)*I11)-(VLOOKUP($C11,'Tabela de Códigos e Valores'!A:I,9,FALSE)*6%),2)))</f>
        <v>0</v>
      </c>
      <c r="O11" s="297">
        <f>VLOOKUP($C11,'Tabela de Códigos e Valores'!$A:$AE,27,FALSE)</f>
        <v>0</v>
      </c>
      <c r="P11" s="299">
        <f t="shared" si="1"/>
        <v>0</v>
      </c>
      <c r="Q11" s="300">
        <f>VLOOKUP($A11,'Indicadores Financeiros'!$A$114:$J$119,8,FALSE)</f>
        <v>5.2600000000000001E-2</v>
      </c>
      <c r="R11" s="299">
        <f t="shared" si="2"/>
        <v>0</v>
      </c>
      <c r="S11" s="29">
        <f t="shared" si="3"/>
        <v>0</v>
      </c>
      <c r="T11" s="59">
        <f>ROUND(S11*ROUND(('Indicadores Financeiros'!$F$14-F11+1),2),2)</f>
        <v>0</v>
      </c>
      <c r="U11" s="69"/>
      <c r="V11" s="59">
        <f t="shared" si="4"/>
        <v>0</v>
      </c>
      <c r="W11" s="59">
        <f>ROUND('Indicadores Financeiros'!$J$72*$V11,2)</f>
        <v>0</v>
      </c>
      <c r="X11" s="22"/>
      <c r="Y11" s="20">
        <f t="shared" si="0"/>
        <v>0</v>
      </c>
      <c r="Z11" s="20">
        <f>IF(J11=0,0,IF(E11="Posto",ROUND(ROUND(ROUND((VLOOKUP($C11,'Tabela de Códigos e Valores'!$A:$AE,23,FALSE)/'Relatório Custo'!I11),2)+ROUND(VLOOKUP($C11,'Tabela de Códigos e Valores'!$A:$AE,26,FALSE)/'Relatório Custo'!I11,2)+ROUND((('Indicadores Financeiros'!$J$62*'Relatório Custo'!K11)/'Relatório Custo'!I11),2),2)*(1+Q11),2),0))</f>
        <v>0</v>
      </c>
      <c r="AA11" s="22"/>
      <c r="AB11" s="22"/>
      <c r="AC11" s="22"/>
      <c r="AD11" s="22"/>
      <c r="AE11" s="22"/>
      <c r="AF11" s="22"/>
      <c r="AG11" s="22"/>
      <c r="AH11" s="22"/>
      <c r="AI11" s="22"/>
      <c r="AJ11" s="22"/>
      <c r="AK11" s="22"/>
      <c r="AL11" s="22"/>
      <c r="AM11" s="22"/>
      <c r="AN11" s="22"/>
      <c r="AO11" s="22"/>
      <c r="AP11" s="22"/>
      <c r="AQ11" s="22"/>
      <c r="AR11" s="22"/>
      <c r="AS11" s="22"/>
      <c r="AT11" s="22"/>
      <c r="AU11" s="22"/>
      <c r="AV11" s="22"/>
      <c r="AW11" s="22"/>
      <c r="AX11" s="22"/>
      <c r="AY11" s="22"/>
      <c r="AZ11" s="22"/>
      <c r="BA11" s="22"/>
      <c r="BB11" s="22"/>
      <c r="BC11" s="22"/>
      <c r="BD11" s="22"/>
      <c r="BE11" s="22"/>
      <c r="BF11" s="22"/>
      <c r="BG11" s="22"/>
      <c r="BH11" s="22"/>
      <c r="BI11" s="22"/>
      <c r="BJ11" s="22"/>
      <c r="BK11" s="22"/>
      <c r="BL11" s="22"/>
      <c r="BM11" s="22"/>
      <c r="BN11" s="22"/>
      <c r="BO11" s="22"/>
      <c r="BP11" s="22"/>
      <c r="BQ11" s="22"/>
      <c r="BR11" s="22"/>
      <c r="BS11" s="22"/>
      <c r="BT11" s="22"/>
      <c r="BU11" s="22"/>
      <c r="BV11" s="22"/>
      <c r="BW11" s="22"/>
      <c r="BX11" s="22"/>
      <c r="BY11" s="22"/>
      <c r="BZ11" s="22"/>
      <c r="CA11" s="22"/>
      <c r="CB11" s="22"/>
      <c r="CC11" s="22"/>
      <c r="CD11" s="22"/>
      <c r="CE11" s="22"/>
      <c r="CF11" s="22"/>
      <c r="CG11" s="22"/>
      <c r="CH11" s="22"/>
      <c r="CI11" s="22"/>
      <c r="CJ11" s="22"/>
      <c r="CK11" s="22"/>
      <c r="CL11" s="22"/>
      <c r="CM11" s="22"/>
      <c r="CN11" s="22"/>
      <c r="CO11" s="22"/>
      <c r="CP11" s="22"/>
      <c r="CQ11" s="22"/>
      <c r="CR11" s="22"/>
      <c r="CS11" s="22"/>
      <c r="CT11" s="22"/>
      <c r="CU11" s="22"/>
      <c r="CV11" s="22"/>
      <c r="CW11" s="22"/>
      <c r="CX11" s="22"/>
      <c r="CY11" s="22"/>
      <c r="CZ11" s="22"/>
      <c r="DA11" s="22"/>
      <c r="DB11" s="22"/>
      <c r="DC11" s="22"/>
      <c r="DD11" s="22"/>
      <c r="DE11" s="22"/>
      <c r="DF11" s="22"/>
      <c r="DG11" s="22"/>
      <c r="DH11" s="22"/>
      <c r="DI11" s="22"/>
      <c r="DJ11" s="22"/>
      <c r="DK11" s="22"/>
      <c r="DL11" s="22"/>
      <c r="DM11" s="22"/>
      <c r="DN11" s="22"/>
      <c r="DO11" s="22"/>
      <c r="DP11" s="22"/>
      <c r="DQ11" s="22"/>
      <c r="DR11" s="22"/>
      <c r="DS11" s="22"/>
      <c r="DT11" s="22"/>
      <c r="DU11" s="22"/>
      <c r="DV11" s="22"/>
      <c r="DW11" s="22"/>
      <c r="DX11" s="22"/>
      <c r="DY11" s="22"/>
      <c r="DZ11" s="22"/>
      <c r="EA11" s="22"/>
      <c r="EB11" s="22"/>
      <c r="EC11" s="22"/>
      <c r="ED11" s="22"/>
      <c r="EE11" s="22"/>
      <c r="EF11" s="22"/>
      <c r="EG11" s="22"/>
      <c r="EH11" s="22"/>
      <c r="EI11" s="22"/>
      <c r="EJ11" s="22"/>
      <c r="EK11" s="22"/>
      <c r="EL11" s="22"/>
      <c r="EM11" s="22"/>
      <c r="EN11" s="22"/>
      <c r="EO11" s="22"/>
      <c r="EP11" s="22"/>
      <c r="EQ11" s="22"/>
      <c r="ER11" s="22"/>
      <c r="ES11" s="22"/>
      <c r="ET11" s="22"/>
      <c r="EU11" s="22"/>
      <c r="EV11" s="22"/>
      <c r="EW11" s="22"/>
      <c r="EX11" s="22"/>
      <c r="EY11" s="22"/>
      <c r="EZ11" s="22"/>
      <c r="FA11" s="22"/>
      <c r="FB11" s="22"/>
      <c r="FC11" s="22"/>
      <c r="FD11" s="22"/>
      <c r="FE11" s="22"/>
      <c r="FF11" s="22"/>
      <c r="FG11" s="22"/>
      <c r="FH11" s="22"/>
      <c r="FI11" s="22"/>
      <c r="FJ11" s="22"/>
      <c r="FK11" s="22"/>
      <c r="FL11" s="22"/>
      <c r="FM11" s="22"/>
      <c r="FN11" s="22"/>
      <c r="FO11" s="22"/>
      <c r="FP11" s="22"/>
      <c r="FQ11" s="22"/>
      <c r="FR11" s="22"/>
      <c r="FS11" s="22"/>
      <c r="FT11" s="22"/>
      <c r="FU11" s="22"/>
      <c r="FV11" s="22"/>
      <c r="FW11" s="22"/>
      <c r="FX11" s="22"/>
      <c r="FY11" s="22"/>
      <c r="FZ11" s="22"/>
      <c r="GA11" s="22"/>
      <c r="GB11" s="22"/>
      <c r="GC11" s="22"/>
      <c r="GD11" s="22"/>
      <c r="GE11" s="22"/>
      <c r="GF11" s="22"/>
      <c r="GG11" s="22"/>
      <c r="GH11" s="22"/>
      <c r="GI11" s="22"/>
      <c r="GJ11" s="22"/>
      <c r="GK11" s="22"/>
      <c r="GL11" s="22"/>
      <c r="GM11" s="22"/>
      <c r="GN11" s="22"/>
      <c r="GO11" s="22"/>
      <c r="GP11" s="22"/>
      <c r="GQ11" s="22"/>
      <c r="GR11" s="22"/>
      <c r="GS11" s="22"/>
      <c r="GT11" s="22"/>
      <c r="GU11" s="22"/>
      <c r="GV11" s="22"/>
      <c r="GW11" s="22"/>
      <c r="GX11" s="22"/>
      <c r="GY11" s="22"/>
      <c r="GZ11" s="22"/>
      <c r="HA11" s="22"/>
      <c r="HB11" s="22"/>
      <c r="HC11" s="22"/>
      <c r="HD11" s="22"/>
      <c r="HE11" s="22"/>
      <c r="HF11" s="22"/>
      <c r="HG11" s="22"/>
      <c r="HH11" s="22"/>
      <c r="HI11" s="22"/>
      <c r="HJ11" s="22"/>
      <c r="HK11" s="22"/>
      <c r="HL11" s="22"/>
      <c r="HM11" s="22"/>
      <c r="HN11" s="22"/>
      <c r="HO11" s="22"/>
      <c r="HP11" s="22"/>
      <c r="HQ11" s="22"/>
      <c r="HR11" s="22"/>
      <c r="HS11" s="22"/>
      <c r="HT11" s="22"/>
      <c r="HU11" s="22"/>
      <c r="HV11" s="22"/>
      <c r="HW11" s="22"/>
      <c r="HX11" s="22"/>
      <c r="HY11" s="22"/>
      <c r="HZ11" s="22"/>
      <c r="IA11" s="22"/>
      <c r="IB11" s="22"/>
      <c r="IC11" s="22"/>
      <c r="ID11" s="22"/>
      <c r="IE11" s="22"/>
      <c r="IF11" s="22"/>
      <c r="IG11" s="22"/>
      <c r="IH11" s="22"/>
      <c r="II11" s="22"/>
      <c r="IJ11" s="22"/>
      <c r="IK11" s="22"/>
      <c r="IL11" s="22"/>
      <c r="IM11" s="22"/>
      <c r="IN11" s="22"/>
      <c r="IO11" s="22"/>
      <c r="IP11" s="22"/>
      <c r="IQ11" s="22"/>
      <c r="IR11" s="22"/>
      <c r="IS11" s="22"/>
      <c r="IT11" s="22"/>
      <c r="IU11" s="22"/>
      <c r="IV11" s="22"/>
      <c r="IW11" s="22"/>
      <c r="IX11" s="22"/>
      <c r="IY11" s="22"/>
      <c r="IZ11" s="22"/>
      <c r="JA11" s="22"/>
      <c r="JB11" s="22"/>
      <c r="JC11" s="22"/>
      <c r="JD11" s="22"/>
      <c r="JE11" s="22"/>
      <c r="JF11" s="22"/>
      <c r="JG11" s="22"/>
      <c r="JH11" s="22"/>
      <c r="JI11" s="22"/>
      <c r="JJ11" s="22"/>
      <c r="JK11" s="22"/>
      <c r="JL11" s="22"/>
      <c r="JM11" s="22"/>
      <c r="JN11" s="22"/>
      <c r="JO11" s="22"/>
      <c r="JP11" s="22"/>
      <c r="JQ11" s="22"/>
      <c r="JR11" s="22"/>
      <c r="JS11" s="22"/>
      <c r="JT11" s="22"/>
      <c r="JU11" s="22"/>
      <c r="JV11" s="22"/>
      <c r="JW11" s="22"/>
      <c r="JX11" s="22"/>
      <c r="JY11" s="22"/>
      <c r="JZ11" s="22"/>
      <c r="KA11" s="22"/>
      <c r="KB11" s="22"/>
      <c r="KC11" s="22"/>
      <c r="KD11" s="22"/>
      <c r="KE11" s="22"/>
      <c r="KF11" s="22"/>
      <c r="KG11" s="22"/>
      <c r="KH11" s="22"/>
      <c r="KI11" s="22"/>
      <c r="KJ11" s="22"/>
      <c r="KK11" s="22"/>
      <c r="KL11" s="22"/>
      <c r="KM11" s="22"/>
      <c r="KN11" s="22"/>
      <c r="KO11" s="22"/>
      <c r="KP11" s="22"/>
      <c r="KQ11" s="22"/>
      <c r="KR11" s="22"/>
      <c r="KS11" s="22"/>
      <c r="KT11" s="22"/>
      <c r="KU11" s="22"/>
      <c r="KV11" s="22"/>
      <c r="KW11" s="22"/>
      <c r="KX11" s="22"/>
      <c r="KY11" s="22"/>
      <c r="KZ11" s="22"/>
      <c r="LA11" s="22"/>
      <c r="LB11" s="22"/>
      <c r="LC11" s="22"/>
      <c r="LD11" s="22"/>
      <c r="LE11" s="22"/>
      <c r="LF11" s="22"/>
      <c r="LG11" s="22"/>
      <c r="LH11" s="22"/>
      <c r="LI11" s="22"/>
      <c r="LJ11" s="22"/>
      <c r="LK11" s="22"/>
      <c r="LL11" s="22"/>
      <c r="LM11" s="22"/>
      <c r="LN11" s="22"/>
      <c r="LO11" s="22"/>
      <c r="LP11" s="22"/>
      <c r="LQ11" s="22"/>
      <c r="LR11" s="22"/>
      <c r="LS11" s="22"/>
      <c r="LT11" s="22"/>
      <c r="LU11" s="22"/>
    </row>
    <row r="12" spans="1:334" s="23" customFormat="1" ht="36" x14ac:dyDescent="0.25">
      <c r="A12" s="291">
        <v>5</v>
      </c>
      <c r="B12" s="292" t="str">
        <f>VLOOKUP($A12,'Indicadores Financeiros'!$A$114:$J$217,2,FALSE)</f>
        <v>São Paulo - Fórum Criminal - Complexo Judiciário Ministro Mário Guimarães</v>
      </c>
      <c r="C12" s="293">
        <v>551199</v>
      </c>
      <c r="D12" s="294" t="str">
        <f>VLOOKUP($C12,'Tabela de Códigos e Valores'!$A:$J,2,FALSE)</f>
        <v>Auxiliar Técnico em Refrigeração - Hora Extra Sábado</v>
      </c>
      <c r="E12" s="295" t="str">
        <f>VLOOKUP($C12,'Tabela de Códigos e Valores'!$A:$J,5,FALSE)</f>
        <v>Hora Extra</v>
      </c>
      <c r="F12" s="295">
        <f>VLOOKUP($A12,'Indicadores Financeiros'!$A$114:$J$1120,10,FALSE)</f>
        <v>1</v>
      </c>
      <c r="G12" s="295" t="str">
        <f>VLOOKUP($C12,'Tabela de Códigos e Valores'!$A:$J,6,FALSE)</f>
        <v>Mensal</v>
      </c>
      <c r="H12" s="296">
        <f>VLOOKUP($C12,'Tabela de Códigos e Valores'!$A:$AE,7,FALSE)</f>
        <v>1</v>
      </c>
      <c r="I12" s="297">
        <f>VLOOKUP($C12,'Tabela de Códigos e Valores'!$A:$AE,8,FALSE)</f>
        <v>20.75</v>
      </c>
      <c r="J12" s="298">
        <v>8</v>
      </c>
      <c r="K12" s="297">
        <f>VLOOKUP($C12,'Tabela de Códigos e Valores'!$A:$AE,12,FALSE)</f>
        <v>0</v>
      </c>
      <c r="L12" s="297">
        <f>VLOOKUP($C12,'Tabela de Códigos e Valores'!$A:$AE,13,FALSE)</f>
        <v>0</v>
      </c>
      <c r="M12" s="297">
        <f>VLOOKUP($C12,'Tabela de Códigos e Valores'!$A:$AE,25,FALSE)</f>
        <v>0</v>
      </c>
      <c r="N12" s="297">
        <f>IF(E12&lt;&gt;"posto",VLOOKUP($C12,'Tabela de Códigos e Valores'!$A:$AA,26,FALSE),IF(ROUND((VLOOKUP($B12,'Indicadores Financeiros'!$B$114:$J$119,8,FALSE)*I12)-(VLOOKUP($C12,'Tabela de Códigos e Valores'!A:I,9,FALSE)*6%),2)&lt;0,0,ROUND((VLOOKUP($B12,'Indicadores Financeiros'!$B$114:$J$119,8,FALSE)*I12)-(VLOOKUP($C12,'Tabela de Códigos e Valores'!A:I,9,FALSE)*6%),2)))</f>
        <v>0</v>
      </c>
      <c r="O12" s="297">
        <f>VLOOKUP($C12,'Tabela de Códigos e Valores'!$A:$AE,27,FALSE)</f>
        <v>0</v>
      </c>
      <c r="P12" s="299">
        <f t="shared" si="1"/>
        <v>0</v>
      </c>
      <c r="Q12" s="300">
        <f>VLOOKUP($A12,'Indicadores Financeiros'!$A$114:$J$119,8,FALSE)</f>
        <v>5.2600000000000001E-2</v>
      </c>
      <c r="R12" s="299">
        <f t="shared" si="2"/>
        <v>0</v>
      </c>
      <c r="S12" s="29">
        <f t="shared" si="3"/>
        <v>0</v>
      </c>
      <c r="T12" s="59">
        <f>ROUND(S12*ROUND(('Indicadores Financeiros'!$F$14-F12+1),2),2)</f>
        <v>0</v>
      </c>
      <c r="U12" s="69"/>
      <c r="V12" s="59">
        <f t="shared" si="4"/>
        <v>0</v>
      </c>
      <c r="W12" s="59">
        <f>ROUND('Indicadores Financeiros'!$J$72*$V12,2)</f>
        <v>0</v>
      </c>
      <c r="X12" s="22"/>
      <c r="Y12" s="20">
        <f t="shared" ref="Y12:Y18" si="5">IF(J12=0,0,IF(E12="Posto",ROUND($R12/$I12,2),0))</f>
        <v>0</v>
      </c>
      <c r="Z12" s="20">
        <f>IF(J12=0,0,IF(E12="Posto",ROUND(ROUND(ROUND((VLOOKUP($C12,'Tabela de Códigos e Valores'!$A:$AE,23,FALSE)/'Relatório Custo'!I12),2)+ROUND(VLOOKUP($C12,'Tabela de Códigos e Valores'!$A:$AE,26,FALSE)/'Relatório Custo'!I12,2)+ROUND((('Indicadores Financeiros'!$J$62*'Relatório Custo'!K12)/'Relatório Custo'!I12),2),2)*(1+Q12),2),0))</f>
        <v>0</v>
      </c>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c r="BP12" s="22"/>
      <c r="BQ12" s="22"/>
      <c r="BR12" s="22"/>
      <c r="BS12" s="22"/>
      <c r="BT12" s="22"/>
      <c r="BU12" s="22"/>
      <c r="BV12" s="22"/>
      <c r="BW12" s="22"/>
      <c r="BX12" s="22"/>
      <c r="BY12" s="22"/>
      <c r="BZ12" s="22"/>
      <c r="CA12" s="22"/>
      <c r="CB12" s="22"/>
      <c r="CC12" s="22"/>
      <c r="CD12" s="22"/>
      <c r="CE12" s="22"/>
      <c r="CF12" s="22"/>
      <c r="CG12" s="22"/>
      <c r="CH12" s="22"/>
      <c r="CI12" s="22"/>
      <c r="CJ12" s="22"/>
      <c r="CK12" s="22"/>
      <c r="CL12" s="22"/>
      <c r="CM12" s="22"/>
      <c r="CN12" s="22"/>
      <c r="CO12" s="22"/>
      <c r="CP12" s="22"/>
      <c r="CQ12" s="22"/>
      <c r="CR12" s="22"/>
      <c r="CS12" s="22"/>
      <c r="CT12" s="22"/>
      <c r="CU12" s="22"/>
      <c r="CV12" s="22"/>
      <c r="CW12" s="22"/>
      <c r="CX12" s="22"/>
      <c r="CY12" s="22"/>
      <c r="CZ12" s="22"/>
      <c r="DA12" s="22"/>
      <c r="DB12" s="22"/>
      <c r="DC12" s="22"/>
      <c r="DD12" s="22"/>
      <c r="DE12" s="22"/>
      <c r="DF12" s="22"/>
      <c r="DG12" s="22"/>
      <c r="DH12" s="22"/>
      <c r="DI12" s="22"/>
      <c r="DJ12" s="22"/>
      <c r="DK12" s="22"/>
      <c r="DL12" s="22"/>
      <c r="DM12" s="22"/>
      <c r="DN12" s="22"/>
      <c r="DO12" s="22"/>
      <c r="DP12" s="22"/>
      <c r="DQ12" s="22"/>
      <c r="DR12" s="22"/>
      <c r="DS12" s="22"/>
      <c r="DT12" s="22"/>
      <c r="DU12" s="22"/>
      <c r="DV12" s="22"/>
      <c r="DW12" s="22"/>
      <c r="DX12" s="22"/>
      <c r="DY12" s="22"/>
      <c r="DZ12" s="22"/>
      <c r="EA12" s="22"/>
      <c r="EB12" s="22"/>
      <c r="EC12" s="22"/>
      <c r="ED12" s="22"/>
      <c r="EE12" s="22"/>
      <c r="EF12" s="22"/>
      <c r="EG12" s="22"/>
      <c r="EH12" s="22"/>
      <c r="EI12" s="22"/>
      <c r="EJ12" s="22"/>
      <c r="EK12" s="22"/>
      <c r="EL12" s="22"/>
      <c r="EM12" s="22"/>
      <c r="EN12" s="22"/>
      <c r="EO12" s="22"/>
      <c r="EP12" s="22"/>
      <c r="EQ12" s="22"/>
      <c r="ER12" s="22"/>
      <c r="ES12" s="22"/>
      <c r="ET12" s="22"/>
      <c r="EU12" s="22"/>
      <c r="EV12" s="22"/>
      <c r="EW12" s="22"/>
      <c r="EX12" s="22"/>
      <c r="EY12" s="22"/>
      <c r="EZ12" s="22"/>
      <c r="FA12" s="22"/>
      <c r="FB12" s="22"/>
      <c r="FC12" s="22"/>
      <c r="FD12" s="22"/>
      <c r="FE12" s="22"/>
      <c r="FF12" s="22"/>
      <c r="FG12" s="22"/>
      <c r="FH12" s="22"/>
      <c r="FI12" s="22"/>
      <c r="FJ12" s="22"/>
      <c r="FK12" s="22"/>
      <c r="FL12" s="22"/>
      <c r="FM12" s="22"/>
      <c r="FN12" s="22"/>
      <c r="FO12" s="22"/>
      <c r="FP12" s="22"/>
      <c r="FQ12" s="22"/>
      <c r="FR12" s="22"/>
      <c r="FS12" s="22"/>
      <c r="FT12" s="22"/>
      <c r="FU12" s="22"/>
      <c r="FV12" s="22"/>
      <c r="FW12" s="22"/>
      <c r="FX12" s="22"/>
      <c r="FY12" s="22"/>
      <c r="FZ12" s="22"/>
      <c r="GA12" s="22"/>
      <c r="GB12" s="22"/>
      <c r="GC12" s="22"/>
      <c r="GD12" s="22"/>
      <c r="GE12" s="22"/>
      <c r="GF12" s="22"/>
      <c r="GG12" s="22"/>
      <c r="GH12" s="22"/>
      <c r="GI12" s="22"/>
      <c r="GJ12" s="22"/>
      <c r="GK12" s="22"/>
      <c r="GL12" s="22"/>
      <c r="GM12" s="22"/>
      <c r="GN12" s="22"/>
      <c r="GO12" s="22"/>
      <c r="GP12" s="22"/>
      <c r="GQ12" s="22"/>
      <c r="GR12" s="22"/>
      <c r="GS12" s="22"/>
      <c r="GT12" s="22"/>
      <c r="GU12" s="22"/>
      <c r="GV12" s="22"/>
      <c r="GW12" s="22"/>
      <c r="GX12" s="22"/>
      <c r="GY12" s="22"/>
      <c r="GZ12" s="22"/>
      <c r="HA12" s="22"/>
      <c r="HB12" s="22"/>
      <c r="HC12" s="22"/>
      <c r="HD12" s="22"/>
      <c r="HE12" s="22"/>
      <c r="HF12" s="22"/>
      <c r="HG12" s="22"/>
      <c r="HH12" s="22"/>
      <c r="HI12" s="22"/>
      <c r="HJ12" s="22"/>
      <c r="HK12" s="22"/>
      <c r="HL12" s="22"/>
      <c r="HM12" s="22"/>
      <c r="HN12" s="22"/>
      <c r="HO12" s="22"/>
      <c r="HP12" s="22"/>
      <c r="HQ12" s="22"/>
      <c r="HR12" s="22"/>
      <c r="HS12" s="22"/>
      <c r="HT12" s="22"/>
      <c r="HU12" s="22"/>
      <c r="HV12" s="22"/>
      <c r="HW12" s="22"/>
      <c r="HX12" s="22"/>
      <c r="HY12" s="22"/>
      <c r="HZ12" s="22"/>
      <c r="IA12" s="22"/>
      <c r="IB12" s="22"/>
      <c r="IC12" s="22"/>
      <c r="ID12" s="22"/>
      <c r="IE12" s="22"/>
      <c r="IF12" s="22"/>
      <c r="IG12" s="22"/>
      <c r="IH12" s="22"/>
      <c r="II12" s="22"/>
      <c r="IJ12" s="22"/>
      <c r="IK12" s="22"/>
      <c r="IL12" s="22"/>
      <c r="IM12" s="22"/>
      <c r="IN12" s="22"/>
      <c r="IO12" s="22"/>
      <c r="IP12" s="22"/>
      <c r="IQ12" s="22"/>
      <c r="IR12" s="22"/>
      <c r="IS12" s="22"/>
      <c r="IT12" s="22"/>
      <c r="IU12" s="22"/>
      <c r="IV12" s="22"/>
      <c r="IW12" s="22"/>
      <c r="IX12" s="22"/>
      <c r="IY12" s="22"/>
      <c r="IZ12" s="22"/>
      <c r="JA12" s="22"/>
      <c r="JB12" s="22"/>
      <c r="JC12" s="22"/>
      <c r="JD12" s="22"/>
      <c r="JE12" s="22"/>
      <c r="JF12" s="22"/>
      <c r="JG12" s="22"/>
      <c r="JH12" s="22"/>
      <c r="JI12" s="22"/>
      <c r="JJ12" s="22"/>
      <c r="JK12" s="22"/>
      <c r="JL12" s="22"/>
      <c r="JM12" s="22"/>
      <c r="JN12" s="22"/>
      <c r="JO12" s="22"/>
      <c r="JP12" s="22"/>
      <c r="JQ12" s="22"/>
      <c r="JR12" s="22"/>
      <c r="JS12" s="22"/>
      <c r="JT12" s="22"/>
      <c r="JU12" s="22"/>
      <c r="JV12" s="22"/>
      <c r="JW12" s="22"/>
      <c r="JX12" s="22"/>
      <c r="JY12" s="22"/>
      <c r="JZ12" s="22"/>
      <c r="KA12" s="22"/>
      <c r="KB12" s="22"/>
      <c r="KC12" s="22"/>
      <c r="KD12" s="22"/>
      <c r="KE12" s="22"/>
      <c r="KF12" s="22"/>
      <c r="KG12" s="22"/>
      <c r="KH12" s="22"/>
      <c r="KI12" s="22"/>
      <c r="KJ12" s="22"/>
      <c r="KK12" s="22"/>
      <c r="KL12" s="22"/>
      <c r="KM12" s="22"/>
      <c r="KN12" s="22"/>
      <c r="KO12" s="22"/>
      <c r="KP12" s="22"/>
      <c r="KQ12" s="22"/>
      <c r="KR12" s="22"/>
      <c r="KS12" s="22"/>
      <c r="KT12" s="22"/>
      <c r="KU12" s="22"/>
      <c r="KV12" s="22"/>
      <c r="KW12" s="22"/>
      <c r="KX12" s="22"/>
      <c r="KY12" s="22"/>
      <c r="KZ12" s="22"/>
      <c r="LA12" s="22"/>
      <c r="LB12" s="22"/>
      <c r="LC12" s="22"/>
      <c r="LD12" s="22"/>
      <c r="LE12" s="22"/>
      <c r="LF12" s="22"/>
      <c r="LG12" s="22"/>
      <c r="LH12" s="22"/>
      <c r="LI12" s="22"/>
      <c r="LJ12" s="22"/>
      <c r="LK12" s="22"/>
      <c r="LL12" s="22"/>
      <c r="LM12" s="22"/>
      <c r="LN12" s="22"/>
      <c r="LO12" s="22"/>
      <c r="LP12" s="22"/>
      <c r="LQ12" s="22"/>
      <c r="LR12" s="22"/>
      <c r="LS12" s="22"/>
      <c r="LT12" s="22"/>
      <c r="LU12" s="22"/>
    </row>
    <row r="13" spans="1:334" s="23" customFormat="1" ht="36" x14ac:dyDescent="0.25">
      <c r="A13" s="291">
        <v>5</v>
      </c>
      <c r="B13" s="292" t="str">
        <f>VLOOKUP($A13,'Indicadores Financeiros'!$A$114:$J$217,2,FALSE)</f>
        <v>São Paulo - Fórum Criminal - Complexo Judiciário Ministro Mário Guimarães</v>
      </c>
      <c r="C13" s="293">
        <v>551200</v>
      </c>
      <c r="D13" s="294" t="str">
        <f>VLOOKUP($C13,'Tabela de Códigos e Valores'!$A:$J,2,FALSE)</f>
        <v>Auxiliar Técnico em Refrigeração - Hora Extra Domingos e Feriados</v>
      </c>
      <c r="E13" s="295" t="str">
        <f>VLOOKUP($C13,'Tabela de Códigos e Valores'!$A:$J,5,FALSE)</f>
        <v>Hora Extra</v>
      </c>
      <c r="F13" s="295">
        <f>VLOOKUP($A13,'Indicadores Financeiros'!$A$114:$J$1120,10,FALSE)</f>
        <v>1</v>
      </c>
      <c r="G13" s="295" t="str">
        <f>VLOOKUP($C13,'Tabela de Códigos e Valores'!$A:$J,6,FALSE)</f>
        <v>Mensal</v>
      </c>
      <c r="H13" s="296">
        <f>VLOOKUP($C13,'Tabela de Códigos e Valores'!$A:$AE,7,FALSE)</f>
        <v>1</v>
      </c>
      <c r="I13" s="297">
        <f>VLOOKUP($C13,'Tabela de Códigos e Valores'!$A:$AE,8,FALSE)</f>
        <v>20.75</v>
      </c>
      <c r="J13" s="298">
        <v>8</v>
      </c>
      <c r="K13" s="297">
        <f>VLOOKUP($C13,'Tabela de Códigos e Valores'!$A:$AE,12,FALSE)</f>
        <v>0</v>
      </c>
      <c r="L13" s="297">
        <f>VLOOKUP($C13,'Tabela de Códigos e Valores'!$A:$AE,13,FALSE)</f>
        <v>0</v>
      </c>
      <c r="M13" s="297">
        <f>VLOOKUP($C13,'Tabela de Códigos e Valores'!$A:$AE,25,FALSE)</f>
        <v>0</v>
      </c>
      <c r="N13" s="297">
        <f>IF(E13&lt;&gt;"posto",VLOOKUP($C13,'Tabela de Códigos e Valores'!$A:$AA,26,FALSE),IF(ROUND((VLOOKUP($B13,'Indicadores Financeiros'!$B$114:$J$119,8,FALSE)*I13)-(VLOOKUP($C13,'Tabela de Códigos e Valores'!A:I,9,FALSE)*6%),2)&lt;0,0,ROUND((VLOOKUP($B13,'Indicadores Financeiros'!$B$114:$J$119,8,FALSE)*I13)-(VLOOKUP($C13,'Tabela de Códigos e Valores'!A:I,9,FALSE)*6%),2)))</f>
        <v>0</v>
      </c>
      <c r="O13" s="297">
        <f>VLOOKUP($C13,'Tabela de Códigos e Valores'!$A:$AE,27,FALSE)</f>
        <v>0</v>
      </c>
      <c r="P13" s="299">
        <f t="shared" si="1"/>
        <v>0</v>
      </c>
      <c r="Q13" s="300">
        <f>VLOOKUP($A13,'Indicadores Financeiros'!$A$114:$J$119,8,FALSE)</f>
        <v>5.2600000000000001E-2</v>
      </c>
      <c r="R13" s="299">
        <f t="shared" si="2"/>
        <v>0</v>
      </c>
      <c r="S13" s="29">
        <f t="shared" si="3"/>
        <v>0</v>
      </c>
      <c r="T13" s="59">
        <f>ROUND(S13*ROUND(('Indicadores Financeiros'!$F$14-F13+1),2),2)</f>
        <v>0</v>
      </c>
      <c r="U13" s="69"/>
      <c r="V13" s="59">
        <f t="shared" si="4"/>
        <v>0</v>
      </c>
      <c r="W13" s="59">
        <f>ROUND('Indicadores Financeiros'!$J$72*$V13,2)</f>
        <v>0</v>
      </c>
      <c r="X13" s="22"/>
      <c r="Y13" s="20">
        <f t="shared" si="0"/>
        <v>0</v>
      </c>
      <c r="Z13" s="20">
        <f>IF(J13=0,0,IF(E13="Posto",ROUND(ROUND(ROUND((VLOOKUP($C13,'Tabela de Códigos e Valores'!$A:$AE,23,FALSE)/'Relatório Custo'!I13),2)+ROUND(VLOOKUP($C13,'Tabela de Códigos e Valores'!$A:$AE,26,FALSE)/'Relatório Custo'!I13,2)+ROUND((('Indicadores Financeiros'!$J$62*'Relatório Custo'!K13)/'Relatório Custo'!I13),2),2)*(1+Q13),2),0))</f>
        <v>0</v>
      </c>
      <c r="AA13" s="22"/>
      <c r="AB13" s="22"/>
      <c r="AC13" s="22"/>
      <c r="AD13" s="22"/>
      <c r="AE13" s="22"/>
      <c r="AF13" s="22"/>
      <c r="AG13" s="22"/>
      <c r="AH13" s="22"/>
      <c r="AI13" s="22"/>
      <c r="AJ13" s="22"/>
      <c r="AK13" s="22"/>
      <c r="AL13" s="22"/>
      <c r="AM13" s="22"/>
      <c r="AN13" s="22"/>
      <c r="AO13" s="22"/>
      <c r="AP13" s="22"/>
      <c r="AQ13" s="22"/>
      <c r="AR13" s="22"/>
      <c r="AS13" s="22"/>
      <c r="AT13" s="22"/>
      <c r="AU13" s="22"/>
      <c r="AV13" s="22"/>
      <c r="AW13" s="22"/>
      <c r="AX13" s="22"/>
      <c r="AY13" s="22"/>
      <c r="AZ13" s="22"/>
      <c r="BA13" s="22"/>
      <c r="BB13" s="22"/>
      <c r="BC13" s="22"/>
      <c r="BD13" s="22"/>
      <c r="BE13" s="22"/>
      <c r="BF13" s="22"/>
      <c r="BG13" s="22"/>
      <c r="BH13" s="22"/>
      <c r="BI13" s="22"/>
      <c r="BJ13" s="22"/>
      <c r="BK13" s="22"/>
      <c r="BL13" s="22"/>
      <c r="BM13" s="22"/>
      <c r="BN13" s="22"/>
      <c r="BO13" s="22"/>
      <c r="BP13" s="22"/>
      <c r="BQ13" s="22"/>
      <c r="BR13" s="22"/>
      <c r="BS13" s="22"/>
      <c r="BT13" s="22"/>
      <c r="BU13" s="22"/>
      <c r="BV13" s="22"/>
      <c r="BW13" s="22"/>
      <c r="BX13" s="22"/>
      <c r="BY13" s="22"/>
      <c r="BZ13" s="22"/>
      <c r="CA13" s="22"/>
      <c r="CB13" s="22"/>
      <c r="CC13" s="22"/>
      <c r="CD13" s="22"/>
      <c r="CE13" s="22"/>
      <c r="CF13" s="22"/>
      <c r="CG13" s="22"/>
      <c r="CH13" s="22"/>
      <c r="CI13" s="22"/>
      <c r="CJ13" s="22"/>
      <c r="CK13" s="22"/>
      <c r="CL13" s="22"/>
      <c r="CM13" s="22"/>
      <c r="CN13" s="22"/>
      <c r="CO13" s="22"/>
      <c r="CP13" s="22"/>
      <c r="CQ13" s="22"/>
      <c r="CR13" s="22"/>
      <c r="CS13" s="22"/>
      <c r="CT13" s="22"/>
      <c r="CU13" s="22"/>
      <c r="CV13" s="22"/>
      <c r="CW13" s="22"/>
      <c r="CX13" s="22"/>
      <c r="CY13" s="22"/>
      <c r="CZ13" s="22"/>
      <c r="DA13" s="22"/>
      <c r="DB13" s="22"/>
      <c r="DC13" s="22"/>
      <c r="DD13" s="22"/>
      <c r="DE13" s="22"/>
      <c r="DF13" s="22"/>
      <c r="DG13" s="22"/>
      <c r="DH13" s="22"/>
      <c r="DI13" s="22"/>
      <c r="DJ13" s="22"/>
      <c r="DK13" s="22"/>
      <c r="DL13" s="22"/>
      <c r="DM13" s="22"/>
      <c r="DN13" s="22"/>
      <c r="DO13" s="22"/>
      <c r="DP13" s="22"/>
      <c r="DQ13" s="22"/>
      <c r="DR13" s="22"/>
      <c r="DS13" s="22"/>
      <c r="DT13" s="22"/>
      <c r="DU13" s="22"/>
      <c r="DV13" s="22"/>
      <c r="DW13" s="22"/>
      <c r="DX13" s="22"/>
      <c r="DY13" s="22"/>
      <c r="DZ13" s="22"/>
      <c r="EA13" s="22"/>
      <c r="EB13" s="22"/>
      <c r="EC13" s="22"/>
      <c r="ED13" s="22"/>
      <c r="EE13" s="22"/>
      <c r="EF13" s="22"/>
      <c r="EG13" s="22"/>
      <c r="EH13" s="22"/>
      <c r="EI13" s="22"/>
      <c r="EJ13" s="22"/>
      <c r="EK13" s="22"/>
      <c r="EL13" s="22"/>
      <c r="EM13" s="22"/>
      <c r="EN13" s="22"/>
      <c r="EO13" s="22"/>
      <c r="EP13" s="22"/>
      <c r="EQ13" s="22"/>
      <c r="ER13" s="22"/>
      <c r="ES13" s="22"/>
      <c r="ET13" s="22"/>
      <c r="EU13" s="22"/>
      <c r="EV13" s="22"/>
      <c r="EW13" s="22"/>
      <c r="EX13" s="22"/>
      <c r="EY13" s="22"/>
      <c r="EZ13" s="22"/>
      <c r="FA13" s="22"/>
      <c r="FB13" s="22"/>
      <c r="FC13" s="22"/>
      <c r="FD13" s="22"/>
      <c r="FE13" s="22"/>
      <c r="FF13" s="22"/>
      <c r="FG13" s="22"/>
      <c r="FH13" s="22"/>
      <c r="FI13" s="22"/>
      <c r="FJ13" s="22"/>
      <c r="FK13" s="22"/>
      <c r="FL13" s="22"/>
      <c r="FM13" s="22"/>
      <c r="FN13" s="22"/>
      <c r="FO13" s="22"/>
      <c r="FP13" s="22"/>
      <c r="FQ13" s="22"/>
      <c r="FR13" s="22"/>
      <c r="FS13" s="22"/>
      <c r="FT13" s="22"/>
      <c r="FU13" s="22"/>
      <c r="FV13" s="22"/>
      <c r="FW13" s="22"/>
      <c r="FX13" s="22"/>
      <c r="FY13" s="22"/>
      <c r="FZ13" s="22"/>
      <c r="GA13" s="22"/>
      <c r="GB13" s="22"/>
      <c r="GC13" s="22"/>
      <c r="GD13" s="22"/>
      <c r="GE13" s="22"/>
      <c r="GF13" s="22"/>
      <c r="GG13" s="22"/>
      <c r="GH13" s="22"/>
      <c r="GI13" s="22"/>
      <c r="GJ13" s="22"/>
      <c r="GK13" s="22"/>
      <c r="GL13" s="22"/>
      <c r="GM13" s="22"/>
      <c r="GN13" s="22"/>
      <c r="GO13" s="22"/>
      <c r="GP13" s="22"/>
      <c r="GQ13" s="22"/>
      <c r="GR13" s="22"/>
      <c r="GS13" s="22"/>
      <c r="GT13" s="22"/>
      <c r="GU13" s="22"/>
      <c r="GV13" s="22"/>
      <c r="GW13" s="22"/>
      <c r="GX13" s="22"/>
      <c r="GY13" s="22"/>
      <c r="GZ13" s="22"/>
      <c r="HA13" s="22"/>
      <c r="HB13" s="22"/>
      <c r="HC13" s="22"/>
      <c r="HD13" s="22"/>
      <c r="HE13" s="22"/>
      <c r="HF13" s="22"/>
      <c r="HG13" s="22"/>
      <c r="HH13" s="22"/>
      <c r="HI13" s="22"/>
      <c r="HJ13" s="22"/>
      <c r="HK13" s="22"/>
      <c r="HL13" s="22"/>
      <c r="HM13" s="22"/>
      <c r="HN13" s="22"/>
      <c r="HO13" s="22"/>
      <c r="HP13" s="22"/>
      <c r="HQ13" s="22"/>
      <c r="HR13" s="22"/>
      <c r="HS13" s="22"/>
      <c r="HT13" s="22"/>
      <c r="HU13" s="22"/>
      <c r="HV13" s="22"/>
      <c r="HW13" s="22"/>
      <c r="HX13" s="22"/>
      <c r="HY13" s="22"/>
      <c r="HZ13" s="22"/>
      <c r="IA13" s="22"/>
      <c r="IB13" s="22"/>
      <c r="IC13" s="22"/>
      <c r="ID13" s="22"/>
      <c r="IE13" s="22"/>
      <c r="IF13" s="22"/>
      <c r="IG13" s="22"/>
      <c r="IH13" s="22"/>
      <c r="II13" s="22"/>
      <c r="IJ13" s="22"/>
      <c r="IK13" s="22"/>
      <c r="IL13" s="22"/>
      <c r="IM13" s="22"/>
      <c r="IN13" s="22"/>
      <c r="IO13" s="22"/>
      <c r="IP13" s="22"/>
      <c r="IQ13" s="22"/>
      <c r="IR13" s="22"/>
      <c r="IS13" s="22"/>
      <c r="IT13" s="22"/>
      <c r="IU13" s="22"/>
      <c r="IV13" s="22"/>
      <c r="IW13" s="22"/>
      <c r="IX13" s="22"/>
      <c r="IY13" s="22"/>
      <c r="IZ13" s="22"/>
      <c r="JA13" s="22"/>
      <c r="JB13" s="22"/>
      <c r="JC13" s="22"/>
      <c r="JD13" s="22"/>
      <c r="JE13" s="22"/>
      <c r="JF13" s="22"/>
      <c r="JG13" s="22"/>
      <c r="JH13" s="22"/>
      <c r="JI13" s="22"/>
      <c r="JJ13" s="22"/>
      <c r="JK13" s="22"/>
      <c r="JL13" s="22"/>
      <c r="JM13" s="22"/>
      <c r="JN13" s="22"/>
      <c r="JO13" s="22"/>
      <c r="JP13" s="22"/>
      <c r="JQ13" s="22"/>
      <c r="JR13" s="22"/>
      <c r="JS13" s="22"/>
      <c r="JT13" s="22"/>
      <c r="JU13" s="22"/>
      <c r="JV13" s="22"/>
      <c r="JW13" s="22"/>
      <c r="JX13" s="22"/>
      <c r="JY13" s="22"/>
      <c r="JZ13" s="22"/>
      <c r="KA13" s="22"/>
      <c r="KB13" s="22"/>
      <c r="KC13" s="22"/>
      <c r="KD13" s="22"/>
      <c r="KE13" s="22"/>
      <c r="KF13" s="22"/>
      <c r="KG13" s="22"/>
      <c r="KH13" s="22"/>
      <c r="KI13" s="22"/>
      <c r="KJ13" s="22"/>
      <c r="KK13" s="22"/>
      <c r="KL13" s="22"/>
      <c r="KM13" s="22"/>
      <c r="KN13" s="22"/>
      <c r="KO13" s="22"/>
      <c r="KP13" s="22"/>
      <c r="KQ13" s="22"/>
      <c r="KR13" s="22"/>
      <c r="KS13" s="22"/>
      <c r="KT13" s="22"/>
      <c r="KU13" s="22"/>
      <c r="KV13" s="22"/>
      <c r="KW13" s="22"/>
      <c r="KX13" s="22"/>
      <c r="KY13" s="22"/>
      <c r="KZ13" s="22"/>
      <c r="LA13" s="22"/>
      <c r="LB13" s="22"/>
      <c r="LC13" s="22"/>
      <c r="LD13" s="22"/>
      <c r="LE13" s="22"/>
      <c r="LF13" s="22"/>
      <c r="LG13" s="22"/>
      <c r="LH13" s="22"/>
      <c r="LI13" s="22"/>
      <c r="LJ13" s="22"/>
      <c r="LK13" s="22"/>
      <c r="LL13" s="22"/>
      <c r="LM13" s="22"/>
      <c r="LN13" s="22"/>
      <c r="LO13" s="22"/>
      <c r="LP13" s="22"/>
      <c r="LQ13" s="22"/>
      <c r="LR13" s="22"/>
      <c r="LS13" s="22"/>
      <c r="LT13" s="22"/>
      <c r="LU13" s="22"/>
    </row>
    <row r="14" spans="1:334" s="23" customFormat="1" ht="24" x14ac:dyDescent="0.25">
      <c r="A14" s="18">
        <v>9</v>
      </c>
      <c r="B14" s="19" t="str">
        <f>VLOOKUP($A14,'Indicadores Financeiros'!$A$114:$J$217,2,FALSE)</f>
        <v>São Paulo - GADE IV - 23 de Maio</v>
      </c>
      <c r="C14" s="211">
        <v>551189</v>
      </c>
      <c r="D14" s="5" t="str">
        <f>VLOOKUP($C14,'Tabela de Códigos e Valores'!$A:$J,2,FALSE)</f>
        <v>Técnico mecânico especializado em Refrigeração</v>
      </c>
      <c r="E14" s="2" t="str">
        <f>VLOOKUP($C14,'Tabela de Códigos e Valores'!$A:$J,5,FALSE)</f>
        <v>Posto</v>
      </c>
      <c r="F14" s="2">
        <f>VLOOKUP($A14,'Indicadores Financeiros'!$A$114:$J$1120,10,FALSE)</f>
        <v>1</v>
      </c>
      <c r="G14" s="2" t="str">
        <f>VLOOKUP($C14,'Tabela de Códigos e Valores'!$A:$J,6,FALSE)</f>
        <v>Mensal</v>
      </c>
      <c r="H14" s="235">
        <f>VLOOKUP($C14,'Tabela de Códigos e Valores'!$A:$AE,7,FALSE)</f>
        <v>1</v>
      </c>
      <c r="I14" s="113">
        <f>VLOOKUP($C14,'Tabela de Códigos e Valores'!$A:$AE,8,FALSE)</f>
        <v>20.75</v>
      </c>
      <c r="J14" s="239">
        <v>2</v>
      </c>
      <c r="K14" s="113">
        <f>VLOOKUP($C14,'Tabela de Códigos e Valores'!$A:$AE,12,FALSE)</f>
        <v>0</v>
      </c>
      <c r="L14" s="113">
        <f>VLOOKUP($C14,'Tabela de Códigos e Valores'!$A:$AE,13,FALSE)</f>
        <v>0</v>
      </c>
      <c r="M14" s="113">
        <f>VLOOKUP($C14,'Tabela de Códigos e Valores'!$A:$AE,25,FALSE)</f>
        <v>0</v>
      </c>
      <c r="N14" s="113">
        <f>IF(E14&lt;&gt;"posto",VLOOKUP($C14,'Tabela de Códigos e Valores'!$A:$AA,26,FALSE),IF(ROUND((VLOOKUP($B14,'Indicadores Financeiros'!$B$114:$J$119,8,FALSE)*I14)-(VLOOKUP($C14,'Tabela de Códigos e Valores'!A:I,9,FALSE)*6%),2)&lt;0,0,ROUND((VLOOKUP($B14,'Indicadores Financeiros'!$B$114:$J$119,8,FALSE)*I14)-(VLOOKUP($C14,'Tabela de Códigos e Valores'!A:I,9,FALSE)*6%),2)))</f>
        <v>0</v>
      </c>
      <c r="O14" s="113">
        <f>VLOOKUP($C14,'Tabela de Códigos e Valores'!$A:$AE,27,FALSE)</f>
        <v>0</v>
      </c>
      <c r="P14" s="21">
        <f t="shared" si="1"/>
        <v>0</v>
      </c>
      <c r="Q14" s="114">
        <f>VLOOKUP($A14,'Indicadores Financeiros'!$A$114:$J$119,8,FALSE)</f>
        <v>5.2600000000000001E-2</v>
      </c>
      <c r="R14" s="21">
        <f t="shared" si="2"/>
        <v>0</v>
      </c>
      <c r="S14" s="29">
        <f t="shared" si="3"/>
        <v>0</v>
      </c>
      <c r="T14" s="59">
        <f>ROUND(S14*ROUND(('Indicadores Financeiros'!$F$14-F14+1),2),2)</f>
        <v>0</v>
      </c>
      <c r="U14" s="69"/>
      <c r="V14" s="59">
        <f t="shared" si="4"/>
        <v>0</v>
      </c>
      <c r="W14" s="59">
        <f>ROUND('Indicadores Financeiros'!$J$72*$V14,2)</f>
        <v>0</v>
      </c>
      <c r="X14" s="22"/>
      <c r="Y14" s="20">
        <f t="shared" si="0"/>
        <v>0</v>
      </c>
      <c r="Z14" s="20">
        <f>IF(J14=0,0,IF(E14="Posto",ROUND(ROUND(ROUND((VLOOKUP($C14,'Tabela de Códigos e Valores'!$A:$AE,23,FALSE)/'Relatório Custo'!I14),2)+ROUND(VLOOKUP($C14,'Tabela de Códigos e Valores'!$A:$AE,26,FALSE)/'Relatório Custo'!I14,2)+ROUND((('Indicadores Financeiros'!$J$62*'Relatório Custo'!K14)/'Relatório Custo'!I14),2),2)*(1+Q14),2),0))</f>
        <v>0</v>
      </c>
      <c r="AA14" s="22"/>
      <c r="AB14" s="22"/>
      <c r="AC14" s="22"/>
      <c r="AD14" s="22"/>
      <c r="AE14" s="22"/>
      <c r="AF14" s="22"/>
      <c r="AG14" s="22"/>
      <c r="AH14" s="22"/>
      <c r="AI14" s="22"/>
      <c r="AJ14" s="22"/>
      <c r="AK14" s="22"/>
      <c r="AL14" s="22"/>
      <c r="AM14" s="22"/>
      <c r="AN14" s="22"/>
      <c r="AO14" s="22"/>
      <c r="AP14" s="22"/>
      <c r="AQ14" s="22"/>
      <c r="AR14" s="22"/>
      <c r="AS14" s="22"/>
      <c r="AT14" s="22"/>
      <c r="AU14" s="22"/>
      <c r="AV14" s="22"/>
      <c r="AW14" s="22"/>
      <c r="AX14" s="22"/>
      <c r="AY14" s="22"/>
      <c r="AZ14" s="22"/>
      <c r="BA14" s="22"/>
      <c r="BB14" s="22"/>
      <c r="BC14" s="22"/>
      <c r="BD14" s="22"/>
      <c r="BE14" s="22"/>
      <c r="BF14" s="22"/>
      <c r="BG14" s="22"/>
      <c r="BH14" s="22"/>
      <c r="BI14" s="22"/>
      <c r="BJ14" s="22"/>
      <c r="BK14" s="22"/>
      <c r="BL14" s="22"/>
      <c r="BM14" s="22"/>
      <c r="BN14" s="22"/>
      <c r="BO14" s="22"/>
      <c r="BP14" s="22"/>
      <c r="BQ14" s="22"/>
      <c r="BR14" s="22"/>
      <c r="BS14" s="22"/>
      <c r="BT14" s="22"/>
      <c r="BU14" s="22"/>
      <c r="BV14" s="22"/>
      <c r="BW14" s="22"/>
      <c r="BX14" s="22"/>
      <c r="BY14" s="22"/>
      <c r="BZ14" s="22"/>
      <c r="CA14" s="22"/>
      <c r="CB14" s="22"/>
      <c r="CC14" s="22"/>
      <c r="CD14" s="22"/>
      <c r="CE14" s="22"/>
      <c r="CF14" s="22"/>
      <c r="CG14" s="22"/>
      <c r="CH14" s="22"/>
      <c r="CI14" s="22"/>
      <c r="CJ14" s="22"/>
      <c r="CK14" s="22"/>
      <c r="CL14" s="22"/>
      <c r="CM14" s="22"/>
      <c r="CN14" s="22"/>
      <c r="CO14" s="22"/>
      <c r="CP14" s="22"/>
      <c r="CQ14" s="22"/>
      <c r="CR14" s="22"/>
      <c r="CS14" s="22"/>
      <c r="CT14" s="22"/>
      <c r="CU14" s="22"/>
      <c r="CV14" s="22"/>
      <c r="CW14" s="22"/>
      <c r="CX14" s="22"/>
      <c r="CY14" s="22"/>
      <c r="CZ14" s="22"/>
      <c r="DA14" s="22"/>
      <c r="DB14" s="22"/>
      <c r="DC14" s="22"/>
      <c r="DD14" s="22"/>
      <c r="DE14" s="22"/>
      <c r="DF14" s="22"/>
      <c r="DG14" s="22"/>
      <c r="DH14" s="22"/>
      <c r="DI14" s="22"/>
      <c r="DJ14" s="22"/>
      <c r="DK14" s="22"/>
      <c r="DL14" s="22"/>
      <c r="DM14" s="22"/>
      <c r="DN14" s="22"/>
      <c r="DO14" s="22"/>
      <c r="DP14" s="22"/>
      <c r="DQ14" s="22"/>
      <c r="DR14" s="22"/>
      <c r="DS14" s="22"/>
      <c r="DT14" s="22"/>
      <c r="DU14" s="22"/>
      <c r="DV14" s="22"/>
      <c r="DW14" s="22"/>
      <c r="DX14" s="22"/>
      <c r="DY14" s="22"/>
      <c r="DZ14" s="22"/>
      <c r="EA14" s="22"/>
      <c r="EB14" s="22"/>
      <c r="EC14" s="22"/>
      <c r="ED14" s="22"/>
      <c r="EE14" s="22"/>
      <c r="EF14" s="22"/>
      <c r="EG14" s="22"/>
      <c r="EH14" s="22"/>
      <c r="EI14" s="22"/>
      <c r="EJ14" s="22"/>
      <c r="EK14" s="22"/>
      <c r="EL14" s="22"/>
      <c r="EM14" s="22"/>
      <c r="EN14" s="22"/>
      <c r="EO14" s="22"/>
      <c r="EP14" s="22"/>
      <c r="EQ14" s="22"/>
      <c r="ER14" s="22"/>
      <c r="ES14" s="22"/>
      <c r="ET14" s="22"/>
      <c r="EU14" s="22"/>
      <c r="EV14" s="22"/>
      <c r="EW14" s="22"/>
      <c r="EX14" s="22"/>
      <c r="EY14" s="22"/>
      <c r="EZ14" s="22"/>
      <c r="FA14" s="22"/>
      <c r="FB14" s="22"/>
      <c r="FC14" s="22"/>
      <c r="FD14" s="22"/>
      <c r="FE14" s="22"/>
      <c r="FF14" s="22"/>
      <c r="FG14" s="22"/>
      <c r="FH14" s="22"/>
      <c r="FI14" s="22"/>
      <c r="FJ14" s="22"/>
      <c r="FK14" s="22"/>
      <c r="FL14" s="22"/>
      <c r="FM14" s="22"/>
      <c r="FN14" s="22"/>
      <c r="FO14" s="22"/>
      <c r="FP14" s="22"/>
      <c r="FQ14" s="22"/>
      <c r="FR14" s="22"/>
      <c r="FS14" s="22"/>
      <c r="FT14" s="22"/>
      <c r="FU14" s="22"/>
      <c r="FV14" s="22"/>
      <c r="FW14" s="22"/>
      <c r="FX14" s="22"/>
      <c r="FY14" s="22"/>
      <c r="FZ14" s="22"/>
      <c r="GA14" s="22"/>
      <c r="GB14" s="22"/>
      <c r="GC14" s="22"/>
      <c r="GD14" s="22"/>
      <c r="GE14" s="22"/>
      <c r="GF14" s="22"/>
      <c r="GG14" s="22"/>
      <c r="GH14" s="22"/>
      <c r="GI14" s="22"/>
      <c r="GJ14" s="22"/>
      <c r="GK14" s="22"/>
      <c r="GL14" s="22"/>
      <c r="GM14" s="22"/>
      <c r="GN14" s="22"/>
      <c r="GO14" s="22"/>
      <c r="GP14" s="22"/>
      <c r="GQ14" s="22"/>
      <c r="GR14" s="22"/>
      <c r="GS14" s="22"/>
      <c r="GT14" s="22"/>
      <c r="GU14" s="22"/>
      <c r="GV14" s="22"/>
      <c r="GW14" s="22"/>
      <c r="GX14" s="22"/>
      <c r="GY14" s="22"/>
      <c r="GZ14" s="22"/>
      <c r="HA14" s="22"/>
      <c r="HB14" s="22"/>
      <c r="HC14" s="22"/>
      <c r="HD14" s="22"/>
      <c r="HE14" s="22"/>
      <c r="HF14" s="22"/>
      <c r="HG14" s="22"/>
      <c r="HH14" s="22"/>
      <c r="HI14" s="22"/>
      <c r="HJ14" s="22"/>
      <c r="HK14" s="22"/>
      <c r="HL14" s="22"/>
      <c r="HM14" s="22"/>
      <c r="HN14" s="22"/>
      <c r="HO14" s="22"/>
      <c r="HP14" s="22"/>
      <c r="HQ14" s="22"/>
      <c r="HR14" s="22"/>
      <c r="HS14" s="22"/>
      <c r="HT14" s="22"/>
      <c r="HU14" s="22"/>
      <c r="HV14" s="22"/>
      <c r="HW14" s="22"/>
      <c r="HX14" s="22"/>
      <c r="HY14" s="22"/>
      <c r="HZ14" s="22"/>
      <c r="IA14" s="22"/>
      <c r="IB14" s="22"/>
      <c r="IC14" s="22"/>
      <c r="ID14" s="22"/>
      <c r="IE14" s="22"/>
      <c r="IF14" s="22"/>
      <c r="IG14" s="22"/>
      <c r="IH14" s="22"/>
      <c r="II14" s="22"/>
      <c r="IJ14" s="22"/>
      <c r="IK14" s="22"/>
      <c r="IL14" s="22"/>
      <c r="IM14" s="22"/>
      <c r="IN14" s="22"/>
      <c r="IO14" s="22"/>
      <c r="IP14" s="22"/>
      <c r="IQ14" s="22"/>
      <c r="IR14" s="22"/>
      <c r="IS14" s="22"/>
      <c r="IT14" s="22"/>
      <c r="IU14" s="22"/>
      <c r="IV14" s="22"/>
      <c r="IW14" s="22"/>
      <c r="IX14" s="22"/>
      <c r="IY14" s="22"/>
      <c r="IZ14" s="22"/>
      <c r="JA14" s="22"/>
      <c r="JB14" s="22"/>
      <c r="JC14" s="22"/>
      <c r="JD14" s="22"/>
      <c r="JE14" s="22"/>
      <c r="JF14" s="22"/>
      <c r="JG14" s="22"/>
      <c r="JH14" s="22"/>
      <c r="JI14" s="22"/>
      <c r="JJ14" s="22"/>
      <c r="JK14" s="22"/>
      <c r="JL14" s="22"/>
      <c r="JM14" s="22"/>
      <c r="JN14" s="22"/>
      <c r="JO14" s="22"/>
      <c r="JP14" s="22"/>
      <c r="JQ14" s="22"/>
      <c r="JR14" s="22"/>
      <c r="JS14" s="22"/>
      <c r="JT14" s="22"/>
      <c r="JU14" s="22"/>
      <c r="JV14" s="22"/>
      <c r="JW14" s="22"/>
      <c r="JX14" s="22"/>
      <c r="JY14" s="22"/>
      <c r="JZ14" s="22"/>
      <c r="KA14" s="22"/>
      <c r="KB14" s="22"/>
      <c r="KC14" s="22"/>
      <c r="KD14" s="22"/>
      <c r="KE14" s="22"/>
      <c r="KF14" s="22"/>
      <c r="KG14" s="22"/>
      <c r="KH14" s="22"/>
      <c r="KI14" s="22"/>
      <c r="KJ14" s="22"/>
      <c r="KK14" s="22"/>
      <c r="KL14" s="22"/>
      <c r="KM14" s="22"/>
      <c r="KN14" s="22"/>
      <c r="KO14" s="22"/>
      <c r="KP14" s="22"/>
      <c r="KQ14" s="22"/>
      <c r="KR14" s="22"/>
      <c r="KS14" s="22"/>
      <c r="KT14" s="22"/>
      <c r="KU14" s="22"/>
      <c r="KV14" s="22"/>
      <c r="KW14" s="22"/>
      <c r="KX14" s="22"/>
      <c r="KY14" s="22"/>
      <c r="KZ14" s="22"/>
      <c r="LA14" s="22"/>
      <c r="LB14" s="22"/>
      <c r="LC14" s="22"/>
      <c r="LD14" s="22"/>
      <c r="LE14" s="22"/>
      <c r="LF14" s="22"/>
      <c r="LG14" s="22"/>
      <c r="LH14" s="22"/>
      <c r="LI14" s="22"/>
      <c r="LJ14" s="22"/>
      <c r="LK14" s="22"/>
      <c r="LL14" s="22"/>
      <c r="LM14" s="22"/>
      <c r="LN14" s="22"/>
      <c r="LO14" s="22"/>
      <c r="LP14" s="22"/>
      <c r="LQ14" s="22"/>
      <c r="LR14" s="22"/>
      <c r="LS14" s="22"/>
      <c r="LT14" s="22"/>
      <c r="LU14" s="22"/>
    </row>
    <row r="15" spans="1:334" s="23" customFormat="1" ht="24" x14ac:dyDescent="0.25">
      <c r="A15" s="18">
        <v>10</v>
      </c>
      <c r="B15" s="19" t="str">
        <f>VLOOKUP($A15,'Indicadores Financeiros'!$A$114:$J$217,2,FALSE)</f>
        <v>São Paulo - GADE V - 9 de Julho</v>
      </c>
      <c r="C15" s="211">
        <v>551189</v>
      </c>
      <c r="D15" s="5" t="str">
        <f>VLOOKUP($C15,'Tabela de Códigos e Valores'!$A:$J,2,FALSE)</f>
        <v>Técnico mecânico especializado em Refrigeração</v>
      </c>
      <c r="E15" s="2" t="str">
        <f>VLOOKUP($C15,'Tabela de Códigos e Valores'!$A:$J,5,FALSE)</f>
        <v>Posto</v>
      </c>
      <c r="F15" s="2">
        <f>VLOOKUP($A15,'Indicadores Financeiros'!$A$114:$J$1120,10,FALSE)</f>
        <v>1</v>
      </c>
      <c r="G15" s="2" t="str">
        <f>VLOOKUP($C15,'Tabela de Códigos e Valores'!$A:$J,6,FALSE)</f>
        <v>Mensal</v>
      </c>
      <c r="H15" s="235">
        <f>VLOOKUP($C15,'Tabela de Códigos e Valores'!$A:$AE,7,FALSE)</f>
        <v>1</v>
      </c>
      <c r="I15" s="113">
        <f>VLOOKUP($C15,'Tabela de Códigos e Valores'!$A:$AE,8,FALSE)</f>
        <v>20.75</v>
      </c>
      <c r="J15" s="239">
        <v>2</v>
      </c>
      <c r="K15" s="113">
        <f>VLOOKUP($C15,'Tabela de Códigos e Valores'!$A:$AE,12,FALSE)</f>
        <v>0</v>
      </c>
      <c r="L15" s="113">
        <f>VLOOKUP($C15,'Tabela de Códigos e Valores'!$A:$AE,13,FALSE)</f>
        <v>0</v>
      </c>
      <c r="M15" s="113">
        <f>VLOOKUP($C15,'Tabela de Códigos e Valores'!$A:$AE,25,FALSE)</f>
        <v>0</v>
      </c>
      <c r="N15" s="113">
        <f>IF(E15&lt;&gt;"posto",VLOOKUP($C15,'Tabela de Códigos e Valores'!$A:$AA,26,FALSE),IF(ROUND((VLOOKUP($B15,'Indicadores Financeiros'!$B$114:$J$119,8,FALSE)*I15)-(VLOOKUP($C15,'Tabela de Códigos e Valores'!A:I,9,FALSE)*6%),2)&lt;0,0,ROUND((VLOOKUP($B15,'Indicadores Financeiros'!$B$114:$J$119,8,FALSE)*I15)-(VLOOKUP($C15,'Tabela de Códigos e Valores'!A:I,9,FALSE)*6%),2)))</f>
        <v>0</v>
      </c>
      <c r="O15" s="113">
        <f>VLOOKUP($C15,'Tabela de Códigos e Valores'!$A:$AE,27,FALSE)</f>
        <v>0</v>
      </c>
      <c r="P15" s="21">
        <f t="shared" si="1"/>
        <v>0</v>
      </c>
      <c r="Q15" s="114">
        <f>VLOOKUP($A15,'Indicadores Financeiros'!$A$114:$J$119,8,FALSE)</f>
        <v>5.2600000000000001E-2</v>
      </c>
      <c r="R15" s="21">
        <f t="shared" si="2"/>
        <v>0</v>
      </c>
      <c r="S15" s="29">
        <f t="shared" si="3"/>
        <v>0</v>
      </c>
      <c r="T15" s="59">
        <f>ROUND(S15*ROUND(('Indicadores Financeiros'!$F$14-F15+1),2),2)</f>
        <v>0</v>
      </c>
      <c r="U15" s="69"/>
      <c r="V15" s="59">
        <f t="shared" si="4"/>
        <v>0</v>
      </c>
      <c r="W15" s="59">
        <f>ROUND('Indicadores Financeiros'!$J$72*$V15,2)</f>
        <v>0</v>
      </c>
      <c r="X15" s="22"/>
      <c r="Y15" s="20">
        <f t="shared" si="0"/>
        <v>0</v>
      </c>
      <c r="Z15" s="20">
        <f>IF(J15=0,0,IF(E15="Posto",ROUND(ROUND(ROUND((VLOOKUP($C15,'Tabela de Códigos e Valores'!$A:$AE,23,FALSE)/'Relatório Custo'!I15),2)+ROUND(VLOOKUP($C15,'Tabela de Códigos e Valores'!$A:$AE,26,FALSE)/'Relatório Custo'!I15,2)+ROUND((('Indicadores Financeiros'!$J$62*'Relatório Custo'!K15)/'Relatório Custo'!I15),2),2)*(1+Q15),2),0))</f>
        <v>0</v>
      </c>
      <c r="AA15" s="22"/>
      <c r="AB15" s="22"/>
      <c r="AC15" s="22"/>
      <c r="AD15" s="22"/>
      <c r="AE15" s="22"/>
      <c r="AF15" s="22"/>
      <c r="AG15" s="22"/>
      <c r="AH15" s="22"/>
      <c r="AI15" s="22"/>
      <c r="AJ15" s="22"/>
      <c r="AK15" s="22"/>
      <c r="AL15" s="22"/>
      <c r="AM15" s="22"/>
      <c r="AN15" s="22"/>
      <c r="AO15" s="22"/>
      <c r="AP15" s="22"/>
      <c r="AQ15" s="22"/>
      <c r="AR15" s="22"/>
      <c r="AS15" s="22"/>
      <c r="AT15" s="22"/>
      <c r="AU15" s="22"/>
      <c r="AV15" s="22"/>
      <c r="AW15" s="22"/>
      <c r="AX15" s="22"/>
      <c r="AY15" s="22"/>
      <c r="AZ15" s="22"/>
      <c r="BA15" s="22"/>
      <c r="BB15" s="22"/>
      <c r="BC15" s="22"/>
      <c r="BD15" s="22"/>
      <c r="BE15" s="22"/>
      <c r="BF15" s="22"/>
      <c r="BG15" s="22"/>
      <c r="BH15" s="22"/>
      <c r="BI15" s="22"/>
      <c r="BJ15" s="22"/>
      <c r="BK15" s="22"/>
      <c r="BL15" s="22"/>
      <c r="BM15" s="22"/>
      <c r="BN15" s="22"/>
      <c r="BO15" s="22"/>
      <c r="BP15" s="22"/>
      <c r="BQ15" s="22"/>
      <c r="BR15" s="22"/>
      <c r="BS15" s="22"/>
      <c r="BT15" s="22"/>
      <c r="BU15" s="22"/>
      <c r="BV15" s="22"/>
      <c r="BW15" s="22"/>
      <c r="BX15" s="22"/>
      <c r="BY15" s="22"/>
      <c r="BZ15" s="22"/>
      <c r="CA15" s="22"/>
      <c r="CB15" s="22"/>
      <c r="CC15" s="22"/>
      <c r="CD15" s="22"/>
      <c r="CE15" s="22"/>
      <c r="CF15" s="22"/>
      <c r="CG15" s="22"/>
      <c r="CH15" s="22"/>
      <c r="CI15" s="22"/>
      <c r="CJ15" s="22"/>
      <c r="CK15" s="22"/>
      <c r="CL15" s="22"/>
      <c r="CM15" s="22"/>
      <c r="CN15" s="22"/>
      <c r="CO15" s="22"/>
      <c r="CP15" s="22"/>
      <c r="CQ15" s="22"/>
      <c r="CR15" s="22"/>
      <c r="CS15" s="22"/>
      <c r="CT15" s="22"/>
      <c r="CU15" s="22"/>
      <c r="CV15" s="22"/>
      <c r="CW15" s="22"/>
      <c r="CX15" s="22"/>
      <c r="CY15" s="22"/>
      <c r="CZ15" s="22"/>
      <c r="DA15" s="22"/>
      <c r="DB15" s="22"/>
      <c r="DC15" s="22"/>
      <c r="DD15" s="22"/>
      <c r="DE15" s="22"/>
      <c r="DF15" s="22"/>
      <c r="DG15" s="22"/>
      <c r="DH15" s="22"/>
      <c r="DI15" s="22"/>
      <c r="DJ15" s="22"/>
      <c r="DK15" s="22"/>
      <c r="DL15" s="22"/>
      <c r="DM15" s="22"/>
      <c r="DN15" s="22"/>
      <c r="DO15" s="22"/>
      <c r="DP15" s="22"/>
      <c r="DQ15" s="22"/>
      <c r="DR15" s="22"/>
      <c r="DS15" s="22"/>
      <c r="DT15" s="22"/>
      <c r="DU15" s="22"/>
      <c r="DV15" s="22"/>
      <c r="DW15" s="22"/>
      <c r="DX15" s="22"/>
      <c r="DY15" s="22"/>
      <c r="DZ15" s="22"/>
      <c r="EA15" s="22"/>
      <c r="EB15" s="22"/>
      <c r="EC15" s="22"/>
      <c r="ED15" s="22"/>
      <c r="EE15" s="22"/>
      <c r="EF15" s="22"/>
      <c r="EG15" s="22"/>
      <c r="EH15" s="22"/>
      <c r="EI15" s="22"/>
      <c r="EJ15" s="22"/>
      <c r="EK15" s="22"/>
      <c r="EL15" s="22"/>
      <c r="EM15" s="22"/>
      <c r="EN15" s="22"/>
      <c r="EO15" s="22"/>
      <c r="EP15" s="22"/>
      <c r="EQ15" s="22"/>
      <c r="ER15" s="22"/>
      <c r="ES15" s="22"/>
      <c r="ET15" s="22"/>
      <c r="EU15" s="22"/>
      <c r="EV15" s="22"/>
      <c r="EW15" s="22"/>
      <c r="EX15" s="22"/>
      <c r="EY15" s="22"/>
      <c r="EZ15" s="22"/>
      <c r="FA15" s="22"/>
      <c r="FB15" s="22"/>
      <c r="FC15" s="22"/>
      <c r="FD15" s="22"/>
      <c r="FE15" s="22"/>
      <c r="FF15" s="22"/>
      <c r="FG15" s="22"/>
      <c r="FH15" s="22"/>
      <c r="FI15" s="22"/>
      <c r="FJ15" s="22"/>
      <c r="FK15" s="22"/>
      <c r="FL15" s="22"/>
      <c r="FM15" s="22"/>
      <c r="FN15" s="22"/>
      <c r="FO15" s="22"/>
      <c r="FP15" s="22"/>
      <c r="FQ15" s="22"/>
      <c r="FR15" s="22"/>
      <c r="FS15" s="22"/>
      <c r="FT15" s="22"/>
      <c r="FU15" s="22"/>
      <c r="FV15" s="22"/>
      <c r="FW15" s="22"/>
      <c r="FX15" s="22"/>
      <c r="FY15" s="22"/>
      <c r="FZ15" s="22"/>
      <c r="GA15" s="22"/>
      <c r="GB15" s="22"/>
      <c r="GC15" s="22"/>
      <c r="GD15" s="22"/>
      <c r="GE15" s="22"/>
      <c r="GF15" s="22"/>
      <c r="GG15" s="22"/>
      <c r="GH15" s="22"/>
      <c r="GI15" s="22"/>
      <c r="GJ15" s="22"/>
      <c r="GK15" s="22"/>
      <c r="GL15" s="22"/>
      <c r="GM15" s="22"/>
      <c r="GN15" s="22"/>
      <c r="GO15" s="22"/>
      <c r="GP15" s="22"/>
      <c r="GQ15" s="22"/>
      <c r="GR15" s="22"/>
      <c r="GS15" s="22"/>
      <c r="GT15" s="22"/>
      <c r="GU15" s="22"/>
      <c r="GV15" s="22"/>
      <c r="GW15" s="22"/>
      <c r="GX15" s="22"/>
      <c r="GY15" s="22"/>
      <c r="GZ15" s="22"/>
      <c r="HA15" s="22"/>
      <c r="HB15" s="22"/>
      <c r="HC15" s="22"/>
      <c r="HD15" s="22"/>
      <c r="HE15" s="22"/>
      <c r="HF15" s="22"/>
      <c r="HG15" s="22"/>
      <c r="HH15" s="22"/>
      <c r="HI15" s="22"/>
      <c r="HJ15" s="22"/>
      <c r="HK15" s="22"/>
      <c r="HL15" s="22"/>
      <c r="HM15" s="22"/>
      <c r="HN15" s="22"/>
      <c r="HO15" s="22"/>
      <c r="HP15" s="22"/>
      <c r="HQ15" s="22"/>
      <c r="HR15" s="22"/>
      <c r="HS15" s="22"/>
      <c r="HT15" s="22"/>
      <c r="HU15" s="22"/>
      <c r="HV15" s="22"/>
      <c r="HW15" s="22"/>
      <c r="HX15" s="22"/>
      <c r="HY15" s="22"/>
      <c r="HZ15" s="22"/>
      <c r="IA15" s="22"/>
      <c r="IB15" s="22"/>
      <c r="IC15" s="22"/>
      <c r="ID15" s="22"/>
      <c r="IE15" s="22"/>
      <c r="IF15" s="22"/>
      <c r="IG15" s="22"/>
      <c r="IH15" s="22"/>
      <c r="II15" s="22"/>
      <c r="IJ15" s="22"/>
      <c r="IK15" s="22"/>
      <c r="IL15" s="22"/>
      <c r="IM15" s="22"/>
      <c r="IN15" s="22"/>
      <c r="IO15" s="22"/>
      <c r="IP15" s="22"/>
      <c r="IQ15" s="22"/>
      <c r="IR15" s="22"/>
      <c r="IS15" s="22"/>
      <c r="IT15" s="22"/>
      <c r="IU15" s="22"/>
      <c r="IV15" s="22"/>
      <c r="IW15" s="22"/>
      <c r="IX15" s="22"/>
      <c r="IY15" s="22"/>
      <c r="IZ15" s="22"/>
      <c r="JA15" s="22"/>
      <c r="JB15" s="22"/>
      <c r="JC15" s="22"/>
      <c r="JD15" s="22"/>
      <c r="JE15" s="22"/>
      <c r="JF15" s="22"/>
      <c r="JG15" s="22"/>
      <c r="JH15" s="22"/>
      <c r="JI15" s="22"/>
      <c r="JJ15" s="22"/>
      <c r="JK15" s="22"/>
      <c r="JL15" s="22"/>
      <c r="JM15" s="22"/>
      <c r="JN15" s="22"/>
      <c r="JO15" s="22"/>
      <c r="JP15" s="22"/>
      <c r="JQ15" s="22"/>
      <c r="JR15" s="22"/>
      <c r="JS15" s="22"/>
      <c r="JT15" s="22"/>
      <c r="JU15" s="22"/>
      <c r="JV15" s="22"/>
      <c r="JW15" s="22"/>
      <c r="JX15" s="22"/>
      <c r="JY15" s="22"/>
      <c r="JZ15" s="22"/>
      <c r="KA15" s="22"/>
      <c r="KB15" s="22"/>
      <c r="KC15" s="22"/>
      <c r="KD15" s="22"/>
      <c r="KE15" s="22"/>
      <c r="KF15" s="22"/>
      <c r="KG15" s="22"/>
      <c r="KH15" s="22"/>
      <c r="KI15" s="22"/>
      <c r="KJ15" s="22"/>
      <c r="KK15" s="22"/>
      <c r="KL15" s="22"/>
      <c r="KM15" s="22"/>
      <c r="KN15" s="22"/>
      <c r="KO15" s="22"/>
      <c r="KP15" s="22"/>
      <c r="KQ15" s="22"/>
      <c r="KR15" s="22"/>
      <c r="KS15" s="22"/>
      <c r="KT15" s="22"/>
      <c r="KU15" s="22"/>
      <c r="KV15" s="22"/>
      <c r="KW15" s="22"/>
      <c r="KX15" s="22"/>
      <c r="KY15" s="22"/>
      <c r="KZ15" s="22"/>
      <c r="LA15" s="22"/>
      <c r="LB15" s="22"/>
      <c r="LC15" s="22"/>
      <c r="LD15" s="22"/>
      <c r="LE15" s="22"/>
      <c r="LF15" s="22"/>
      <c r="LG15" s="22"/>
      <c r="LH15" s="22"/>
      <c r="LI15" s="22"/>
      <c r="LJ15" s="22"/>
      <c r="LK15" s="22"/>
      <c r="LL15" s="22"/>
      <c r="LM15" s="22"/>
      <c r="LN15" s="22"/>
      <c r="LO15" s="22"/>
      <c r="LP15" s="22"/>
      <c r="LQ15" s="22"/>
      <c r="LR15" s="22"/>
      <c r="LS15" s="22"/>
      <c r="LT15" s="22"/>
      <c r="LU15" s="22"/>
    </row>
    <row r="16" spans="1:334" s="23" customFormat="1" ht="36" x14ac:dyDescent="0.25">
      <c r="A16" s="18">
        <v>10</v>
      </c>
      <c r="B16" s="19" t="str">
        <f>VLOOKUP($A16,'Indicadores Financeiros'!$A$114:$J$217,2,FALSE)</f>
        <v>São Paulo - GADE V - 9 de Julho</v>
      </c>
      <c r="C16" s="211">
        <v>551192</v>
      </c>
      <c r="D16" s="5" t="str">
        <f>VLOOKUP($C16,'Tabela de Códigos e Valores'!$A:$J,2,FALSE)</f>
        <v xml:space="preserve">Técnico Elétrico/ Eletrônico/ Eletrotécnico, especializado em refrigeração </v>
      </c>
      <c r="E16" s="2" t="str">
        <f>VLOOKUP($C16,'Tabela de Códigos e Valores'!$A:$J,5,FALSE)</f>
        <v>Posto</v>
      </c>
      <c r="F16" s="2">
        <f>VLOOKUP($A16,'Indicadores Financeiros'!$A$114:$J$1120,10,FALSE)</f>
        <v>1</v>
      </c>
      <c r="G16" s="2" t="str">
        <f>VLOOKUP($C16,'Tabela de Códigos e Valores'!$A:$J,6,FALSE)</f>
        <v>Mensal</v>
      </c>
      <c r="H16" s="235">
        <f>VLOOKUP($C16,'Tabela de Códigos e Valores'!$A:$AE,7,FALSE)</f>
        <v>1</v>
      </c>
      <c r="I16" s="113">
        <f>VLOOKUP($C16,'Tabela de Códigos e Valores'!$A:$AE,8,FALSE)</f>
        <v>20.75</v>
      </c>
      <c r="J16" s="239">
        <v>2</v>
      </c>
      <c r="K16" s="113">
        <f>VLOOKUP($C16,'Tabela de Códigos e Valores'!$A:$AE,12,FALSE)</f>
        <v>0</v>
      </c>
      <c r="L16" s="113">
        <f>VLOOKUP($C16,'Tabela de Códigos e Valores'!$A:$AE,13,FALSE)</f>
        <v>0</v>
      </c>
      <c r="M16" s="113">
        <f>VLOOKUP($C16,'Tabela de Códigos e Valores'!$A:$AE,25,FALSE)</f>
        <v>0</v>
      </c>
      <c r="N16" s="113">
        <f>IF(E16&lt;&gt;"posto",VLOOKUP($C16,'Tabela de Códigos e Valores'!$A:$AA,26,FALSE),IF(ROUND((VLOOKUP($B16,'Indicadores Financeiros'!$B$114:$J$119,8,FALSE)*I16)-(VLOOKUP($C16,'Tabela de Códigos e Valores'!A:I,9,FALSE)*6%),2)&lt;0,0,ROUND((VLOOKUP($B16,'Indicadores Financeiros'!$B$114:$J$119,8,FALSE)*I16)-(VLOOKUP($C16,'Tabela de Códigos e Valores'!A:I,9,FALSE)*6%),2)))</f>
        <v>0</v>
      </c>
      <c r="O16" s="113">
        <f>VLOOKUP($C16,'Tabela de Códigos e Valores'!$A:$AE,27,FALSE)</f>
        <v>0</v>
      </c>
      <c r="P16" s="21">
        <f t="shared" si="1"/>
        <v>0</v>
      </c>
      <c r="Q16" s="114">
        <f>VLOOKUP($A16,'Indicadores Financeiros'!$A$114:$J$119,8,FALSE)</f>
        <v>5.2600000000000001E-2</v>
      </c>
      <c r="R16" s="21">
        <f t="shared" si="2"/>
        <v>0</v>
      </c>
      <c r="S16" s="29">
        <f t="shared" si="3"/>
        <v>0</v>
      </c>
      <c r="T16" s="59">
        <f>ROUND(S16*ROUND(('Indicadores Financeiros'!$F$14-F16+1),2),2)</f>
        <v>0</v>
      </c>
      <c r="U16" s="69"/>
      <c r="V16" s="59">
        <f t="shared" si="4"/>
        <v>0</v>
      </c>
      <c r="W16" s="59">
        <f>ROUND('Indicadores Financeiros'!$J$72*$V16,2)</f>
        <v>0</v>
      </c>
      <c r="X16" s="22"/>
      <c r="Y16" s="20">
        <f t="shared" si="0"/>
        <v>0</v>
      </c>
      <c r="Z16" s="20">
        <f>IF(J16=0,0,IF(E16="Posto",ROUND(ROUND(ROUND((VLOOKUP($C16,'Tabela de Códigos e Valores'!$A:$AE,23,FALSE)/'Relatório Custo'!I16),2)+ROUND(VLOOKUP($C16,'Tabela de Códigos e Valores'!$A:$AE,26,FALSE)/'Relatório Custo'!I16,2)+ROUND((('Indicadores Financeiros'!$J$62*'Relatório Custo'!K16)/'Relatório Custo'!I16),2),2)*(1+Q16),2),0))</f>
        <v>0</v>
      </c>
      <c r="AA16" s="22"/>
      <c r="AB16" s="22"/>
      <c r="AC16" s="22"/>
      <c r="AD16" s="22"/>
      <c r="AE16" s="22"/>
      <c r="AF16" s="22"/>
      <c r="AG16" s="22"/>
      <c r="AH16" s="22"/>
      <c r="AI16" s="22"/>
      <c r="AJ16" s="22"/>
      <c r="AK16" s="22"/>
      <c r="AL16" s="22"/>
      <c r="AM16" s="22"/>
      <c r="AN16" s="22"/>
      <c r="AO16" s="22"/>
      <c r="AP16" s="22"/>
      <c r="AQ16" s="22"/>
      <c r="AR16" s="22"/>
      <c r="AS16" s="22"/>
      <c r="AT16" s="22"/>
      <c r="AU16" s="22"/>
      <c r="AV16" s="22"/>
      <c r="AW16" s="22"/>
      <c r="AX16" s="22"/>
      <c r="AY16" s="22"/>
      <c r="AZ16" s="22"/>
      <c r="BA16" s="22"/>
      <c r="BB16" s="22"/>
      <c r="BC16" s="22"/>
      <c r="BD16" s="22"/>
      <c r="BE16" s="22"/>
      <c r="BF16" s="22"/>
      <c r="BG16" s="22"/>
      <c r="BH16" s="22"/>
      <c r="BI16" s="22"/>
      <c r="BJ16" s="22"/>
      <c r="BK16" s="22"/>
      <c r="BL16" s="22"/>
      <c r="BM16" s="22"/>
      <c r="BN16" s="22"/>
      <c r="BO16" s="22"/>
      <c r="BP16" s="22"/>
      <c r="BQ16" s="22"/>
      <c r="BR16" s="22"/>
      <c r="BS16" s="22"/>
      <c r="BT16" s="22"/>
      <c r="BU16" s="22"/>
      <c r="BV16" s="22"/>
      <c r="BW16" s="22"/>
      <c r="BX16" s="22"/>
      <c r="BY16" s="22"/>
      <c r="BZ16" s="22"/>
      <c r="CA16" s="22"/>
      <c r="CB16" s="22"/>
      <c r="CC16" s="22"/>
      <c r="CD16" s="22"/>
      <c r="CE16" s="22"/>
      <c r="CF16" s="22"/>
      <c r="CG16" s="22"/>
      <c r="CH16" s="22"/>
      <c r="CI16" s="22"/>
      <c r="CJ16" s="22"/>
      <c r="CK16" s="22"/>
      <c r="CL16" s="22"/>
      <c r="CM16" s="22"/>
      <c r="CN16" s="22"/>
      <c r="CO16" s="22"/>
      <c r="CP16" s="22"/>
      <c r="CQ16" s="22"/>
      <c r="CR16" s="22"/>
      <c r="CS16" s="22"/>
      <c r="CT16" s="22"/>
      <c r="CU16" s="22"/>
      <c r="CV16" s="22"/>
      <c r="CW16" s="22"/>
      <c r="CX16" s="22"/>
      <c r="CY16" s="22"/>
      <c r="CZ16" s="22"/>
      <c r="DA16" s="22"/>
      <c r="DB16" s="22"/>
      <c r="DC16" s="22"/>
      <c r="DD16" s="22"/>
      <c r="DE16" s="22"/>
      <c r="DF16" s="22"/>
      <c r="DG16" s="22"/>
      <c r="DH16" s="22"/>
      <c r="DI16" s="22"/>
      <c r="DJ16" s="22"/>
      <c r="DK16" s="22"/>
      <c r="DL16" s="22"/>
      <c r="DM16" s="22"/>
      <c r="DN16" s="22"/>
      <c r="DO16" s="22"/>
      <c r="DP16" s="22"/>
      <c r="DQ16" s="22"/>
      <c r="DR16" s="22"/>
      <c r="DS16" s="22"/>
      <c r="DT16" s="22"/>
      <c r="DU16" s="22"/>
      <c r="DV16" s="22"/>
      <c r="DW16" s="22"/>
      <c r="DX16" s="22"/>
      <c r="DY16" s="22"/>
      <c r="DZ16" s="22"/>
      <c r="EA16" s="22"/>
      <c r="EB16" s="22"/>
      <c r="EC16" s="22"/>
      <c r="ED16" s="22"/>
      <c r="EE16" s="22"/>
      <c r="EF16" s="22"/>
      <c r="EG16" s="22"/>
      <c r="EH16" s="22"/>
      <c r="EI16" s="22"/>
      <c r="EJ16" s="22"/>
      <c r="EK16" s="22"/>
      <c r="EL16" s="22"/>
      <c r="EM16" s="22"/>
      <c r="EN16" s="22"/>
      <c r="EO16" s="22"/>
      <c r="EP16" s="22"/>
      <c r="EQ16" s="22"/>
      <c r="ER16" s="22"/>
      <c r="ES16" s="22"/>
      <c r="ET16" s="22"/>
      <c r="EU16" s="22"/>
      <c r="EV16" s="22"/>
      <c r="EW16" s="22"/>
      <c r="EX16" s="22"/>
      <c r="EY16" s="22"/>
      <c r="EZ16" s="22"/>
      <c r="FA16" s="22"/>
      <c r="FB16" s="22"/>
      <c r="FC16" s="22"/>
      <c r="FD16" s="22"/>
      <c r="FE16" s="22"/>
      <c r="FF16" s="22"/>
      <c r="FG16" s="22"/>
      <c r="FH16" s="22"/>
      <c r="FI16" s="22"/>
      <c r="FJ16" s="22"/>
      <c r="FK16" s="22"/>
      <c r="FL16" s="22"/>
      <c r="FM16" s="22"/>
      <c r="FN16" s="22"/>
      <c r="FO16" s="22"/>
      <c r="FP16" s="22"/>
      <c r="FQ16" s="22"/>
      <c r="FR16" s="22"/>
      <c r="FS16" s="22"/>
      <c r="FT16" s="22"/>
      <c r="FU16" s="22"/>
      <c r="FV16" s="22"/>
      <c r="FW16" s="22"/>
      <c r="FX16" s="22"/>
      <c r="FY16" s="22"/>
      <c r="FZ16" s="22"/>
      <c r="GA16" s="22"/>
      <c r="GB16" s="22"/>
      <c r="GC16" s="22"/>
      <c r="GD16" s="22"/>
      <c r="GE16" s="22"/>
      <c r="GF16" s="22"/>
      <c r="GG16" s="22"/>
      <c r="GH16" s="22"/>
      <c r="GI16" s="22"/>
      <c r="GJ16" s="22"/>
      <c r="GK16" s="22"/>
      <c r="GL16" s="22"/>
      <c r="GM16" s="22"/>
      <c r="GN16" s="22"/>
      <c r="GO16" s="22"/>
      <c r="GP16" s="22"/>
      <c r="GQ16" s="22"/>
      <c r="GR16" s="22"/>
      <c r="GS16" s="22"/>
      <c r="GT16" s="22"/>
      <c r="GU16" s="22"/>
      <c r="GV16" s="22"/>
      <c r="GW16" s="22"/>
      <c r="GX16" s="22"/>
      <c r="GY16" s="22"/>
      <c r="GZ16" s="22"/>
      <c r="HA16" s="22"/>
      <c r="HB16" s="22"/>
      <c r="HC16" s="22"/>
      <c r="HD16" s="22"/>
      <c r="HE16" s="22"/>
      <c r="HF16" s="22"/>
      <c r="HG16" s="22"/>
      <c r="HH16" s="22"/>
      <c r="HI16" s="22"/>
      <c r="HJ16" s="22"/>
      <c r="HK16" s="22"/>
      <c r="HL16" s="22"/>
      <c r="HM16" s="22"/>
      <c r="HN16" s="22"/>
      <c r="HO16" s="22"/>
      <c r="HP16" s="22"/>
      <c r="HQ16" s="22"/>
      <c r="HR16" s="22"/>
      <c r="HS16" s="22"/>
      <c r="HT16" s="22"/>
      <c r="HU16" s="22"/>
      <c r="HV16" s="22"/>
      <c r="HW16" s="22"/>
      <c r="HX16" s="22"/>
      <c r="HY16" s="22"/>
      <c r="HZ16" s="22"/>
      <c r="IA16" s="22"/>
      <c r="IB16" s="22"/>
      <c r="IC16" s="22"/>
      <c r="ID16" s="22"/>
      <c r="IE16" s="22"/>
      <c r="IF16" s="22"/>
      <c r="IG16" s="22"/>
      <c r="IH16" s="22"/>
      <c r="II16" s="22"/>
      <c r="IJ16" s="22"/>
      <c r="IK16" s="22"/>
      <c r="IL16" s="22"/>
      <c r="IM16" s="22"/>
      <c r="IN16" s="22"/>
      <c r="IO16" s="22"/>
      <c r="IP16" s="22"/>
      <c r="IQ16" s="22"/>
      <c r="IR16" s="22"/>
      <c r="IS16" s="22"/>
      <c r="IT16" s="22"/>
      <c r="IU16" s="22"/>
      <c r="IV16" s="22"/>
      <c r="IW16" s="22"/>
      <c r="IX16" s="22"/>
      <c r="IY16" s="22"/>
      <c r="IZ16" s="22"/>
      <c r="JA16" s="22"/>
      <c r="JB16" s="22"/>
      <c r="JC16" s="22"/>
      <c r="JD16" s="22"/>
      <c r="JE16" s="22"/>
      <c r="JF16" s="22"/>
      <c r="JG16" s="22"/>
      <c r="JH16" s="22"/>
      <c r="JI16" s="22"/>
      <c r="JJ16" s="22"/>
      <c r="JK16" s="22"/>
      <c r="JL16" s="22"/>
      <c r="JM16" s="22"/>
      <c r="JN16" s="22"/>
      <c r="JO16" s="22"/>
      <c r="JP16" s="22"/>
      <c r="JQ16" s="22"/>
      <c r="JR16" s="22"/>
      <c r="JS16" s="22"/>
      <c r="JT16" s="22"/>
      <c r="JU16" s="22"/>
      <c r="JV16" s="22"/>
      <c r="JW16" s="22"/>
      <c r="JX16" s="22"/>
      <c r="JY16" s="22"/>
      <c r="JZ16" s="22"/>
      <c r="KA16" s="22"/>
      <c r="KB16" s="22"/>
      <c r="KC16" s="22"/>
      <c r="KD16" s="22"/>
      <c r="KE16" s="22"/>
      <c r="KF16" s="22"/>
      <c r="KG16" s="22"/>
      <c r="KH16" s="22"/>
      <c r="KI16" s="22"/>
      <c r="KJ16" s="22"/>
      <c r="KK16" s="22"/>
      <c r="KL16" s="22"/>
      <c r="KM16" s="22"/>
      <c r="KN16" s="22"/>
      <c r="KO16" s="22"/>
      <c r="KP16" s="22"/>
      <c r="KQ16" s="22"/>
      <c r="KR16" s="22"/>
      <c r="KS16" s="22"/>
      <c r="KT16" s="22"/>
      <c r="KU16" s="22"/>
      <c r="KV16" s="22"/>
      <c r="KW16" s="22"/>
      <c r="KX16" s="22"/>
      <c r="KY16" s="22"/>
      <c r="KZ16" s="22"/>
      <c r="LA16" s="22"/>
      <c r="LB16" s="22"/>
      <c r="LC16" s="22"/>
      <c r="LD16" s="22"/>
      <c r="LE16" s="22"/>
      <c r="LF16" s="22"/>
      <c r="LG16" s="22"/>
      <c r="LH16" s="22"/>
      <c r="LI16" s="22"/>
      <c r="LJ16" s="22"/>
      <c r="LK16" s="22"/>
      <c r="LL16" s="22"/>
      <c r="LM16" s="22"/>
      <c r="LN16" s="22"/>
      <c r="LO16" s="22"/>
      <c r="LP16" s="22"/>
      <c r="LQ16" s="22"/>
      <c r="LR16" s="22"/>
      <c r="LS16" s="22"/>
      <c r="LT16" s="22"/>
      <c r="LU16" s="22"/>
    </row>
    <row r="17" spans="1:333" s="23" customFormat="1" ht="24" x14ac:dyDescent="0.25">
      <c r="A17" s="18">
        <v>11</v>
      </c>
      <c r="B17" s="19" t="str">
        <f>VLOOKUP($A17,'Indicadores Financeiros'!$A$114:$J$217,2,FALSE)</f>
        <v>São Paulo - GADE VI - MMDC</v>
      </c>
      <c r="C17" s="211">
        <v>551189</v>
      </c>
      <c r="D17" s="5" t="str">
        <f>VLOOKUP($C17,'Tabela de Códigos e Valores'!$A:$J,2,FALSE)</f>
        <v>Técnico mecânico especializado em Refrigeração</v>
      </c>
      <c r="E17" s="2" t="str">
        <f>VLOOKUP($C17,'Tabela de Códigos e Valores'!$A:$J,5,FALSE)</f>
        <v>Posto</v>
      </c>
      <c r="F17" s="2">
        <f>VLOOKUP($A17,'Indicadores Financeiros'!$A$114:$J$1120,10,FALSE)</f>
        <v>1</v>
      </c>
      <c r="G17" s="2" t="str">
        <f>VLOOKUP($C17,'Tabela de Códigos e Valores'!$A:$J,6,FALSE)</f>
        <v>Mensal</v>
      </c>
      <c r="H17" s="235">
        <f>VLOOKUP($C17,'Tabela de Códigos e Valores'!$A:$AE,7,FALSE)</f>
        <v>1</v>
      </c>
      <c r="I17" s="113">
        <f>VLOOKUP($C17,'Tabela de Códigos e Valores'!$A:$AE,8,FALSE)</f>
        <v>20.75</v>
      </c>
      <c r="J17" s="239">
        <v>1</v>
      </c>
      <c r="K17" s="113">
        <f>VLOOKUP($C17,'Tabela de Códigos e Valores'!$A:$AE,12,FALSE)</f>
        <v>0</v>
      </c>
      <c r="L17" s="113">
        <f>VLOOKUP($C17,'Tabela de Códigos e Valores'!$A:$AE,13,FALSE)</f>
        <v>0</v>
      </c>
      <c r="M17" s="113">
        <f>VLOOKUP($C17,'Tabela de Códigos e Valores'!$A:$AE,25,FALSE)</f>
        <v>0</v>
      </c>
      <c r="N17" s="113">
        <f>IF(E17&lt;&gt;"posto",VLOOKUP($C17,'Tabela de Códigos e Valores'!$A:$AA,26,FALSE),IF(ROUND((VLOOKUP($B17,'Indicadores Financeiros'!$B$114:$J$119,8,FALSE)*I17)-(VLOOKUP($C17,'Tabela de Códigos e Valores'!A:I,9,FALSE)*6%),2)&lt;0,0,ROUND((VLOOKUP($B17,'Indicadores Financeiros'!$B$114:$J$119,8,FALSE)*I17)-(VLOOKUP($C17,'Tabela de Códigos e Valores'!A:I,9,FALSE)*6%),2)))</f>
        <v>0</v>
      </c>
      <c r="O17" s="113">
        <f>VLOOKUP($C17,'Tabela de Códigos e Valores'!$A:$AE,27,FALSE)</f>
        <v>0</v>
      </c>
      <c r="P17" s="21">
        <f t="shared" si="1"/>
        <v>0</v>
      </c>
      <c r="Q17" s="114">
        <f>VLOOKUP($A17,'Indicadores Financeiros'!$A$114:$J$119,8,FALSE)</f>
        <v>5.2600000000000001E-2</v>
      </c>
      <c r="R17" s="21">
        <f t="shared" si="2"/>
        <v>0</v>
      </c>
      <c r="S17" s="29">
        <f t="shared" si="3"/>
        <v>0</v>
      </c>
      <c r="T17" s="59">
        <f>ROUND(S17*ROUND(('Indicadores Financeiros'!$F$14-F17+1),2),2)</f>
        <v>0</v>
      </c>
      <c r="U17" s="69"/>
      <c r="V17" s="59">
        <f t="shared" si="4"/>
        <v>0</v>
      </c>
      <c r="W17" s="59">
        <f>ROUND('Indicadores Financeiros'!$J$72*$V17,2)</f>
        <v>0</v>
      </c>
      <c r="X17" s="22"/>
      <c r="Y17" s="20">
        <f t="shared" si="0"/>
        <v>0</v>
      </c>
      <c r="Z17" s="20">
        <f>IF(J17=0,0,IF(E17="Posto",ROUND(ROUND(ROUND((VLOOKUP($C17,'Tabela de Códigos e Valores'!$A:$AE,23,FALSE)/'Relatório Custo'!I17),2)+ROUND(VLOOKUP($C17,'Tabela de Códigos e Valores'!$A:$AE,26,FALSE)/'Relatório Custo'!I17,2)+ROUND((('Indicadores Financeiros'!$J$62*'Relatório Custo'!K17)/'Relatório Custo'!I17),2),2)*(1+Q17),2),0))</f>
        <v>0</v>
      </c>
      <c r="AA17" s="22"/>
      <c r="AB17" s="22"/>
      <c r="AC17" s="22"/>
      <c r="AD17" s="22"/>
      <c r="AE17" s="22"/>
      <c r="AF17" s="22"/>
      <c r="AG17" s="22"/>
      <c r="AH17" s="22"/>
      <c r="AI17" s="22"/>
      <c r="AJ17" s="22"/>
      <c r="AK17" s="22"/>
      <c r="AL17" s="22"/>
      <c r="AM17" s="22"/>
      <c r="AN17" s="22"/>
      <c r="AO17" s="22"/>
      <c r="AP17" s="22"/>
      <c r="AQ17" s="22"/>
      <c r="AR17" s="22"/>
      <c r="AS17" s="22"/>
      <c r="AT17" s="22"/>
      <c r="AU17" s="22"/>
      <c r="AV17" s="22"/>
      <c r="AW17" s="22"/>
      <c r="AX17" s="22"/>
      <c r="AY17" s="22"/>
      <c r="AZ17" s="22"/>
      <c r="BA17" s="22"/>
      <c r="BB17" s="22"/>
      <c r="BC17" s="22"/>
      <c r="BD17" s="22"/>
      <c r="BE17" s="22"/>
      <c r="BF17" s="22"/>
      <c r="BG17" s="22"/>
      <c r="BH17" s="22"/>
      <c r="BI17" s="22"/>
      <c r="BJ17" s="22"/>
      <c r="BK17" s="22"/>
      <c r="BL17" s="22"/>
      <c r="BM17" s="22"/>
      <c r="BN17" s="22"/>
      <c r="BO17" s="22"/>
      <c r="BP17" s="22"/>
      <c r="BQ17" s="22"/>
      <c r="BR17" s="22"/>
      <c r="BS17" s="22"/>
      <c r="BT17" s="22"/>
      <c r="BU17" s="22"/>
      <c r="BV17" s="22"/>
      <c r="BW17" s="22"/>
      <c r="BX17" s="22"/>
      <c r="BY17" s="22"/>
      <c r="BZ17" s="22"/>
      <c r="CA17" s="22"/>
      <c r="CB17" s="22"/>
      <c r="CC17" s="22"/>
      <c r="CD17" s="22"/>
      <c r="CE17" s="22"/>
      <c r="CF17" s="22"/>
      <c r="CG17" s="22"/>
      <c r="CH17" s="22"/>
      <c r="CI17" s="22"/>
      <c r="CJ17" s="22"/>
      <c r="CK17" s="22"/>
      <c r="CL17" s="22"/>
      <c r="CM17" s="22"/>
      <c r="CN17" s="22"/>
      <c r="CO17" s="22"/>
      <c r="CP17" s="22"/>
      <c r="CQ17" s="22"/>
      <c r="CR17" s="22"/>
      <c r="CS17" s="22"/>
      <c r="CT17" s="22"/>
      <c r="CU17" s="22"/>
      <c r="CV17" s="22"/>
      <c r="CW17" s="22"/>
      <c r="CX17" s="22"/>
      <c r="CY17" s="22"/>
      <c r="CZ17" s="22"/>
      <c r="DA17" s="22"/>
      <c r="DB17" s="22"/>
      <c r="DC17" s="22"/>
      <c r="DD17" s="22"/>
      <c r="DE17" s="22"/>
      <c r="DF17" s="22"/>
      <c r="DG17" s="22"/>
      <c r="DH17" s="22"/>
      <c r="DI17" s="22"/>
      <c r="DJ17" s="22"/>
      <c r="DK17" s="22"/>
      <c r="DL17" s="22"/>
      <c r="DM17" s="22"/>
      <c r="DN17" s="22"/>
      <c r="DO17" s="22"/>
      <c r="DP17" s="22"/>
      <c r="DQ17" s="22"/>
      <c r="DR17" s="22"/>
      <c r="DS17" s="22"/>
      <c r="DT17" s="22"/>
      <c r="DU17" s="22"/>
      <c r="DV17" s="22"/>
      <c r="DW17" s="22"/>
      <c r="DX17" s="22"/>
      <c r="DY17" s="22"/>
      <c r="DZ17" s="22"/>
      <c r="EA17" s="22"/>
      <c r="EB17" s="22"/>
      <c r="EC17" s="22"/>
      <c r="ED17" s="22"/>
      <c r="EE17" s="22"/>
      <c r="EF17" s="22"/>
      <c r="EG17" s="22"/>
      <c r="EH17" s="22"/>
      <c r="EI17" s="22"/>
      <c r="EJ17" s="22"/>
      <c r="EK17" s="22"/>
      <c r="EL17" s="22"/>
      <c r="EM17" s="22"/>
      <c r="EN17" s="22"/>
      <c r="EO17" s="22"/>
      <c r="EP17" s="22"/>
      <c r="EQ17" s="22"/>
      <c r="ER17" s="22"/>
      <c r="ES17" s="22"/>
      <c r="ET17" s="22"/>
      <c r="EU17" s="22"/>
      <c r="EV17" s="22"/>
      <c r="EW17" s="22"/>
      <c r="EX17" s="22"/>
      <c r="EY17" s="22"/>
      <c r="EZ17" s="22"/>
      <c r="FA17" s="22"/>
      <c r="FB17" s="22"/>
      <c r="FC17" s="22"/>
      <c r="FD17" s="22"/>
      <c r="FE17" s="22"/>
      <c r="FF17" s="22"/>
      <c r="FG17" s="22"/>
      <c r="FH17" s="22"/>
      <c r="FI17" s="22"/>
      <c r="FJ17" s="22"/>
      <c r="FK17" s="22"/>
      <c r="FL17" s="22"/>
      <c r="FM17" s="22"/>
      <c r="FN17" s="22"/>
      <c r="FO17" s="22"/>
      <c r="FP17" s="22"/>
      <c r="FQ17" s="22"/>
      <c r="FR17" s="22"/>
      <c r="FS17" s="22"/>
      <c r="FT17" s="22"/>
      <c r="FU17" s="22"/>
      <c r="FV17" s="22"/>
      <c r="FW17" s="22"/>
      <c r="FX17" s="22"/>
      <c r="FY17" s="22"/>
      <c r="FZ17" s="22"/>
      <c r="GA17" s="22"/>
      <c r="GB17" s="22"/>
      <c r="GC17" s="22"/>
      <c r="GD17" s="22"/>
      <c r="GE17" s="22"/>
      <c r="GF17" s="22"/>
      <c r="GG17" s="22"/>
      <c r="GH17" s="22"/>
      <c r="GI17" s="22"/>
      <c r="GJ17" s="22"/>
      <c r="GK17" s="22"/>
      <c r="GL17" s="22"/>
      <c r="GM17" s="22"/>
      <c r="GN17" s="22"/>
      <c r="GO17" s="22"/>
      <c r="GP17" s="22"/>
      <c r="GQ17" s="22"/>
      <c r="GR17" s="22"/>
      <c r="GS17" s="22"/>
      <c r="GT17" s="22"/>
      <c r="GU17" s="22"/>
      <c r="GV17" s="22"/>
      <c r="GW17" s="22"/>
      <c r="GX17" s="22"/>
      <c r="GY17" s="22"/>
      <c r="GZ17" s="22"/>
      <c r="HA17" s="22"/>
      <c r="HB17" s="22"/>
      <c r="HC17" s="22"/>
      <c r="HD17" s="22"/>
      <c r="HE17" s="22"/>
      <c r="HF17" s="22"/>
      <c r="HG17" s="22"/>
      <c r="HH17" s="22"/>
      <c r="HI17" s="22"/>
      <c r="HJ17" s="22"/>
      <c r="HK17" s="22"/>
      <c r="HL17" s="22"/>
      <c r="HM17" s="22"/>
      <c r="HN17" s="22"/>
      <c r="HO17" s="22"/>
      <c r="HP17" s="22"/>
      <c r="HQ17" s="22"/>
      <c r="HR17" s="22"/>
      <c r="HS17" s="22"/>
      <c r="HT17" s="22"/>
      <c r="HU17" s="22"/>
      <c r="HV17" s="22"/>
      <c r="HW17" s="22"/>
      <c r="HX17" s="22"/>
      <c r="HY17" s="22"/>
      <c r="HZ17" s="22"/>
      <c r="IA17" s="22"/>
      <c r="IB17" s="22"/>
      <c r="IC17" s="22"/>
      <c r="ID17" s="22"/>
      <c r="IE17" s="22"/>
      <c r="IF17" s="22"/>
      <c r="IG17" s="22"/>
      <c r="IH17" s="22"/>
      <c r="II17" s="22"/>
      <c r="IJ17" s="22"/>
      <c r="IK17" s="22"/>
      <c r="IL17" s="22"/>
      <c r="IM17" s="22"/>
      <c r="IN17" s="22"/>
      <c r="IO17" s="22"/>
      <c r="IP17" s="22"/>
      <c r="IQ17" s="22"/>
      <c r="IR17" s="22"/>
      <c r="IS17" s="22"/>
      <c r="IT17" s="22"/>
      <c r="IU17" s="22"/>
      <c r="IV17" s="22"/>
      <c r="IW17" s="22"/>
      <c r="IX17" s="22"/>
      <c r="IY17" s="22"/>
      <c r="IZ17" s="22"/>
      <c r="JA17" s="22"/>
      <c r="JB17" s="22"/>
      <c r="JC17" s="22"/>
      <c r="JD17" s="22"/>
      <c r="JE17" s="22"/>
      <c r="JF17" s="22"/>
      <c r="JG17" s="22"/>
      <c r="JH17" s="22"/>
      <c r="JI17" s="22"/>
      <c r="JJ17" s="22"/>
      <c r="JK17" s="22"/>
      <c r="JL17" s="22"/>
      <c r="JM17" s="22"/>
      <c r="JN17" s="22"/>
      <c r="JO17" s="22"/>
      <c r="JP17" s="22"/>
      <c r="JQ17" s="22"/>
      <c r="JR17" s="22"/>
      <c r="JS17" s="22"/>
      <c r="JT17" s="22"/>
      <c r="JU17" s="22"/>
      <c r="JV17" s="22"/>
      <c r="JW17" s="22"/>
      <c r="JX17" s="22"/>
      <c r="JY17" s="22"/>
      <c r="JZ17" s="22"/>
      <c r="KA17" s="22"/>
      <c r="KB17" s="22"/>
      <c r="KC17" s="22"/>
      <c r="KD17" s="22"/>
      <c r="KE17" s="22"/>
      <c r="KF17" s="22"/>
      <c r="KG17" s="22"/>
      <c r="KH17" s="22"/>
      <c r="KI17" s="22"/>
      <c r="KJ17" s="22"/>
      <c r="KK17" s="22"/>
      <c r="KL17" s="22"/>
      <c r="KM17" s="22"/>
      <c r="KN17" s="22"/>
      <c r="KO17" s="22"/>
      <c r="KP17" s="22"/>
      <c r="KQ17" s="22"/>
      <c r="KR17" s="22"/>
      <c r="KS17" s="22"/>
      <c r="KT17" s="22"/>
      <c r="KU17" s="22"/>
      <c r="KV17" s="22"/>
      <c r="KW17" s="22"/>
      <c r="KX17" s="22"/>
      <c r="KY17" s="22"/>
      <c r="KZ17" s="22"/>
      <c r="LA17" s="22"/>
      <c r="LB17" s="22"/>
      <c r="LC17" s="22"/>
      <c r="LD17" s="22"/>
      <c r="LE17" s="22"/>
      <c r="LF17" s="22"/>
      <c r="LG17" s="22"/>
      <c r="LH17" s="22"/>
      <c r="LI17" s="22"/>
      <c r="LJ17" s="22"/>
      <c r="LK17" s="22"/>
      <c r="LL17" s="22"/>
      <c r="LM17" s="22"/>
      <c r="LN17" s="22"/>
      <c r="LO17" s="22"/>
      <c r="LP17" s="22"/>
      <c r="LQ17" s="22"/>
      <c r="LR17" s="22"/>
      <c r="LS17" s="22"/>
      <c r="LT17" s="22"/>
      <c r="LU17" s="22"/>
    </row>
    <row r="18" spans="1:333" s="23" customFormat="1" ht="24" x14ac:dyDescent="0.25">
      <c r="A18" s="18">
        <v>11</v>
      </c>
      <c r="B18" s="19" t="str">
        <f>VLOOKUP($A18,'Indicadores Financeiros'!$A$114:$J$217,2,FALSE)</f>
        <v>São Paulo - GADE VI - MMDC</v>
      </c>
      <c r="C18" s="211">
        <v>551191</v>
      </c>
      <c r="D18" s="5" t="str">
        <f>VLOOKUP($C18,'Tabela de Códigos e Valores'!$A:$J,2,FALSE)</f>
        <v>Auxiliar Técnico especializado em Refrigeração</v>
      </c>
      <c r="E18" s="2" t="str">
        <f>VLOOKUP($C18,'Tabela de Códigos e Valores'!$A:$J,5,FALSE)</f>
        <v>Posto</v>
      </c>
      <c r="F18" s="2">
        <f>VLOOKUP($A18,'Indicadores Financeiros'!$A$114:$J$1120,10,FALSE)</f>
        <v>1</v>
      </c>
      <c r="G18" s="2" t="str">
        <f>VLOOKUP($C18,'Tabela de Códigos e Valores'!$A:$J,6,FALSE)</f>
        <v>Mensal</v>
      </c>
      <c r="H18" s="235">
        <f>VLOOKUP($C18,'Tabela de Códigos e Valores'!$A:$AE,7,FALSE)</f>
        <v>1</v>
      </c>
      <c r="I18" s="113">
        <f>VLOOKUP($C18,'Tabela de Códigos e Valores'!$A:$AE,8,FALSE)</f>
        <v>20.75</v>
      </c>
      <c r="J18" s="239">
        <v>2</v>
      </c>
      <c r="K18" s="113">
        <f>VLOOKUP($C18,'Tabela de Códigos e Valores'!$A:$AE,12,FALSE)</f>
        <v>0</v>
      </c>
      <c r="L18" s="113">
        <f>VLOOKUP($C18,'Tabela de Códigos e Valores'!$A:$AE,13,FALSE)</f>
        <v>0</v>
      </c>
      <c r="M18" s="113">
        <f>VLOOKUP($C18,'Tabela de Códigos e Valores'!$A:$AE,25,FALSE)</f>
        <v>0</v>
      </c>
      <c r="N18" s="113">
        <f>IF(E18&lt;&gt;"posto",VLOOKUP($C18,'Tabela de Códigos e Valores'!$A:$AA,26,FALSE),IF(ROUND((VLOOKUP($B18,'Indicadores Financeiros'!$B$114:$J$119,8,FALSE)*I18)-(VLOOKUP($C18,'Tabela de Códigos e Valores'!A:I,9,FALSE)*6%),2)&lt;0,0,ROUND((VLOOKUP($B18,'Indicadores Financeiros'!$B$114:$J$119,8,FALSE)*I18)-(VLOOKUP($C18,'Tabela de Códigos e Valores'!A:I,9,FALSE)*6%),2)))</f>
        <v>0</v>
      </c>
      <c r="O18" s="113">
        <f>VLOOKUP($C18,'Tabela de Códigos e Valores'!$A:$AE,27,FALSE)</f>
        <v>0</v>
      </c>
      <c r="P18" s="21">
        <f t="shared" si="1"/>
        <v>0</v>
      </c>
      <c r="Q18" s="114">
        <f>VLOOKUP($A18,'Indicadores Financeiros'!$A$114:$J$119,8,FALSE)</f>
        <v>5.2600000000000001E-2</v>
      </c>
      <c r="R18" s="21">
        <f t="shared" si="2"/>
        <v>0</v>
      </c>
      <c r="S18" s="29">
        <f t="shared" si="3"/>
        <v>0</v>
      </c>
      <c r="T18" s="59">
        <f>ROUND(S18*ROUND(('Indicadores Financeiros'!$F$14-F18+1),2),2)</f>
        <v>0</v>
      </c>
      <c r="U18" s="69"/>
      <c r="V18" s="59">
        <f t="shared" si="4"/>
        <v>0</v>
      </c>
      <c r="W18" s="59">
        <f>ROUND('Indicadores Financeiros'!$J$72*$V18,2)</f>
        <v>0</v>
      </c>
      <c r="X18" s="22"/>
      <c r="Y18" s="20">
        <f t="shared" si="5"/>
        <v>0</v>
      </c>
      <c r="Z18" s="20">
        <f>IF(J18=0,0,IF(E18="Posto",ROUND(ROUND(ROUND((VLOOKUP($C18,'Tabela de Códigos e Valores'!$A:$AE,23,FALSE)/'Relatório Custo'!I18),2)+ROUND(VLOOKUP($C18,'Tabela de Códigos e Valores'!$A:$AE,26,FALSE)/'Relatório Custo'!I18,2)+ROUND((('Indicadores Financeiros'!$J$62*'Relatório Custo'!K18)/'Relatório Custo'!I18),2),2)*(1+Q18),2),0))</f>
        <v>0</v>
      </c>
      <c r="AA18" s="22"/>
      <c r="AB18" s="22"/>
      <c r="AC18" s="22"/>
      <c r="AD18" s="22"/>
      <c r="AE18" s="22"/>
      <c r="AF18" s="22"/>
      <c r="AG18" s="22"/>
      <c r="AH18" s="22"/>
      <c r="AI18" s="22"/>
      <c r="AJ18" s="22"/>
      <c r="AK18" s="22"/>
      <c r="AL18" s="22"/>
      <c r="AM18" s="22"/>
      <c r="AN18" s="22"/>
      <c r="AO18" s="22"/>
      <c r="AP18" s="22"/>
      <c r="AQ18" s="22"/>
      <c r="AR18" s="22"/>
      <c r="AS18" s="22"/>
      <c r="AT18" s="22"/>
      <c r="AU18" s="22"/>
      <c r="AV18" s="22"/>
      <c r="AW18" s="22"/>
      <c r="AX18" s="22"/>
      <c r="AY18" s="22"/>
      <c r="AZ18" s="22"/>
      <c r="BA18" s="22"/>
      <c r="BB18" s="22"/>
      <c r="BC18" s="22"/>
      <c r="BD18" s="22"/>
      <c r="BE18" s="22"/>
      <c r="BF18" s="22"/>
      <c r="BG18" s="22"/>
      <c r="BH18" s="22"/>
      <c r="BI18" s="22"/>
      <c r="BJ18" s="22"/>
      <c r="BK18" s="22"/>
      <c r="BL18" s="22"/>
      <c r="BM18" s="22"/>
      <c r="BN18" s="22"/>
      <c r="BO18" s="22"/>
      <c r="BP18" s="22"/>
      <c r="BQ18" s="22"/>
      <c r="BR18" s="22"/>
      <c r="BS18" s="22"/>
      <c r="BT18" s="22"/>
      <c r="BU18" s="22"/>
      <c r="BV18" s="22"/>
      <c r="BW18" s="22"/>
      <c r="BX18" s="22"/>
      <c r="BY18" s="22"/>
      <c r="BZ18" s="22"/>
      <c r="CA18" s="22"/>
      <c r="CB18" s="22"/>
      <c r="CC18" s="22"/>
      <c r="CD18" s="22"/>
      <c r="CE18" s="22"/>
      <c r="CF18" s="22"/>
      <c r="CG18" s="22"/>
      <c r="CH18" s="22"/>
      <c r="CI18" s="22"/>
      <c r="CJ18" s="22"/>
      <c r="CK18" s="22"/>
      <c r="CL18" s="22"/>
      <c r="CM18" s="22"/>
      <c r="CN18" s="22"/>
      <c r="CO18" s="22"/>
      <c r="CP18" s="22"/>
      <c r="CQ18" s="22"/>
      <c r="CR18" s="22"/>
      <c r="CS18" s="22"/>
      <c r="CT18" s="22"/>
      <c r="CU18" s="22"/>
      <c r="CV18" s="22"/>
      <c r="CW18" s="22"/>
      <c r="CX18" s="22"/>
      <c r="CY18" s="22"/>
      <c r="CZ18" s="22"/>
      <c r="DA18" s="22"/>
      <c r="DB18" s="22"/>
      <c r="DC18" s="22"/>
      <c r="DD18" s="22"/>
      <c r="DE18" s="22"/>
      <c r="DF18" s="22"/>
      <c r="DG18" s="22"/>
      <c r="DH18" s="22"/>
      <c r="DI18" s="22"/>
      <c r="DJ18" s="22"/>
      <c r="DK18" s="22"/>
      <c r="DL18" s="22"/>
      <c r="DM18" s="22"/>
      <c r="DN18" s="22"/>
      <c r="DO18" s="22"/>
      <c r="DP18" s="22"/>
      <c r="DQ18" s="22"/>
      <c r="DR18" s="22"/>
      <c r="DS18" s="22"/>
      <c r="DT18" s="22"/>
      <c r="DU18" s="22"/>
      <c r="DV18" s="22"/>
      <c r="DW18" s="22"/>
      <c r="DX18" s="22"/>
      <c r="DY18" s="22"/>
      <c r="DZ18" s="22"/>
      <c r="EA18" s="22"/>
      <c r="EB18" s="22"/>
      <c r="EC18" s="22"/>
      <c r="ED18" s="22"/>
      <c r="EE18" s="22"/>
      <c r="EF18" s="22"/>
      <c r="EG18" s="22"/>
      <c r="EH18" s="22"/>
      <c r="EI18" s="22"/>
      <c r="EJ18" s="22"/>
      <c r="EK18" s="22"/>
      <c r="EL18" s="22"/>
      <c r="EM18" s="22"/>
      <c r="EN18" s="22"/>
      <c r="EO18" s="22"/>
      <c r="EP18" s="22"/>
      <c r="EQ18" s="22"/>
      <c r="ER18" s="22"/>
      <c r="ES18" s="22"/>
      <c r="ET18" s="22"/>
      <c r="EU18" s="22"/>
      <c r="EV18" s="22"/>
      <c r="EW18" s="22"/>
      <c r="EX18" s="22"/>
      <c r="EY18" s="22"/>
      <c r="EZ18" s="22"/>
      <c r="FA18" s="22"/>
      <c r="FB18" s="22"/>
      <c r="FC18" s="22"/>
      <c r="FD18" s="22"/>
      <c r="FE18" s="22"/>
      <c r="FF18" s="22"/>
      <c r="FG18" s="22"/>
      <c r="FH18" s="22"/>
      <c r="FI18" s="22"/>
      <c r="FJ18" s="22"/>
      <c r="FK18" s="22"/>
      <c r="FL18" s="22"/>
      <c r="FM18" s="22"/>
      <c r="FN18" s="22"/>
      <c r="FO18" s="22"/>
      <c r="FP18" s="22"/>
      <c r="FQ18" s="22"/>
      <c r="FR18" s="22"/>
      <c r="FS18" s="22"/>
      <c r="FT18" s="22"/>
      <c r="FU18" s="22"/>
      <c r="FV18" s="22"/>
      <c r="FW18" s="22"/>
      <c r="FX18" s="22"/>
      <c r="FY18" s="22"/>
      <c r="FZ18" s="22"/>
      <c r="GA18" s="22"/>
      <c r="GB18" s="22"/>
      <c r="GC18" s="22"/>
      <c r="GD18" s="22"/>
      <c r="GE18" s="22"/>
      <c r="GF18" s="22"/>
      <c r="GG18" s="22"/>
      <c r="GH18" s="22"/>
      <c r="GI18" s="22"/>
      <c r="GJ18" s="22"/>
      <c r="GK18" s="22"/>
      <c r="GL18" s="22"/>
      <c r="GM18" s="22"/>
      <c r="GN18" s="22"/>
      <c r="GO18" s="22"/>
      <c r="GP18" s="22"/>
      <c r="GQ18" s="22"/>
      <c r="GR18" s="22"/>
      <c r="GS18" s="22"/>
      <c r="GT18" s="22"/>
      <c r="GU18" s="22"/>
      <c r="GV18" s="22"/>
      <c r="GW18" s="22"/>
      <c r="GX18" s="22"/>
      <c r="GY18" s="22"/>
      <c r="GZ18" s="22"/>
      <c r="HA18" s="22"/>
      <c r="HB18" s="22"/>
      <c r="HC18" s="22"/>
      <c r="HD18" s="22"/>
      <c r="HE18" s="22"/>
      <c r="HF18" s="22"/>
      <c r="HG18" s="22"/>
      <c r="HH18" s="22"/>
      <c r="HI18" s="22"/>
      <c r="HJ18" s="22"/>
      <c r="HK18" s="22"/>
      <c r="HL18" s="22"/>
      <c r="HM18" s="22"/>
      <c r="HN18" s="22"/>
      <c r="HO18" s="22"/>
      <c r="HP18" s="22"/>
      <c r="HQ18" s="22"/>
      <c r="HR18" s="22"/>
      <c r="HS18" s="22"/>
      <c r="HT18" s="22"/>
      <c r="HU18" s="22"/>
      <c r="HV18" s="22"/>
      <c r="HW18" s="22"/>
      <c r="HX18" s="22"/>
      <c r="HY18" s="22"/>
      <c r="HZ18" s="22"/>
      <c r="IA18" s="22"/>
      <c r="IB18" s="22"/>
      <c r="IC18" s="22"/>
      <c r="ID18" s="22"/>
      <c r="IE18" s="22"/>
      <c r="IF18" s="22"/>
      <c r="IG18" s="22"/>
      <c r="IH18" s="22"/>
      <c r="II18" s="22"/>
      <c r="IJ18" s="22"/>
      <c r="IK18" s="22"/>
      <c r="IL18" s="22"/>
      <c r="IM18" s="22"/>
      <c r="IN18" s="22"/>
      <c r="IO18" s="22"/>
      <c r="IP18" s="22"/>
      <c r="IQ18" s="22"/>
      <c r="IR18" s="22"/>
      <c r="IS18" s="22"/>
      <c r="IT18" s="22"/>
      <c r="IU18" s="22"/>
      <c r="IV18" s="22"/>
      <c r="IW18" s="22"/>
      <c r="IX18" s="22"/>
      <c r="IY18" s="22"/>
      <c r="IZ18" s="22"/>
      <c r="JA18" s="22"/>
      <c r="JB18" s="22"/>
      <c r="JC18" s="22"/>
      <c r="JD18" s="22"/>
      <c r="JE18" s="22"/>
      <c r="JF18" s="22"/>
      <c r="JG18" s="22"/>
      <c r="JH18" s="22"/>
      <c r="JI18" s="22"/>
      <c r="JJ18" s="22"/>
      <c r="JK18" s="22"/>
      <c r="JL18" s="22"/>
      <c r="JM18" s="22"/>
      <c r="JN18" s="22"/>
      <c r="JO18" s="22"/>
      <c r="JP18" s="22"/>
      <c r="JQ18" s="22"/>
      <c r="JR18" s="22"/>
      <c r="JS18" s="22"/>
      <c r="JT18" s="22"/>
      <c r="JU18" s="22"/>
      <c r="JV18" s="22"/>
      <c r="JW18" s="22"/>
      <c r="JX18" s="22"/>
      <c r="JY18" s="22"/>
      <c r="JZ18" s="22"/>
      <c r="KA18" s="22"/>
      <c r="KB18" s="22"/>
      <c r="KC18" s="22"/>
      <c r="KD18" s="22"/>
      <c r="KE18" s="22"/>
      <c r="KF18" s="22"/>
      <c r="KG18" s="22"/>
      <c r="KH18" s="22"/>
      <c r="KI18" s="22"/>
      <c r="KJ18" s="22"/>
      <c r="KK18" s="22"/>
      <c r="KL18" s="22"/>
      <c r="KM18" s="22"/>
      <c r="KN18" s="22"/>
      <c r="KO18" s="22"/>
      <c r="KP18" s="22"/>
      <c r="KQ18" s="22"/>
      <c r="KR18" s="22"/>
      <c r="KS18" s="22"/>
      <c r="KT18" s="22"/>
      <c r="KU18" s="22"/>
      <c r="KV18" s="22"/>
      <c r="KW18" s="22"/>
      <c r="KX18" s="22"/>
      <c r="KY18" s="22"/>
      <c r="KZ18" s="22"/>
      <c r="LA18" s="22"/>
      <c r="LB18" s="22"/>
      <c r="LC18" s="22"/>
      <c r="LD18" s="22"/>
      <c r="LE18" s="22"/>
      <c r="LF18" s="22"/>
      <c r="LG18" s="22"/>
      <c r="LH18" s="22"/>
      <c r="LI18" s="22"/>
      <c r="LJ18" s="22"/>
      <c r="LK18" s="22"/>
      <c r="LL18" s="22"/>
      <c r="LM18" s="22"/>
      <c r="LN18" s="22"/>
      <c r="LO18" s="22"/>
      <c r="LP18" s="22"/>
      <c r="LQ18" s="22"/>
      <c r="LR18" s="22"/>
      <c r="LS18" s="22"/>
      <c r="LT18" s="22"/>
      <c r="LU18" s="22"/>
    </row>
    <row r="19" spans="1:333" s="23" customFormat="1" ht="36" x14ac:dyDescent="0.25">
      <c r="A19" s="18">
        <v>11</v>
      </c>
      <c r="B19" s="19" t="str">
        <f>VLOOKUP($A19,'Indicadores Financeiros'!$A$114:$J$217,2,FALSE)</f>
        <v>São Paulo - GADE VI - MMDC</v>
      </c>
      <c r="C19" s="211">
        <v>551192</v>
      </c>
      <c r="D19" s="5" t="str">
        <f>VLOOKUP($C19,'Tabela de Códigos e Valores'!$A:$J,2,FALSE)</f>
        <v xml:space="preserve">Técnico Elétrico/ Eletrônico/ Eletrotécnico, especializado em refrigeração </v>
      </c>
      <c r="E19" s="2" t="str">
        <f>VLOOKUP($C19,'Tabela de Códigos e Valores'!$A:$J,5,FALSE)</f>
        <v>Posto</v>
      </c>
      <c r="F19" s="2">
        <f>VLOOKUP($A19,'Indicadores Financeiros'!$A$114:$J$1120,10,FALSE)</f>
        <v>1</v>
      </c>
      <c r="G19" s="2" t="str">
        <f>VLOOKUP($C19,'Tabela de Códigos e Valores'!$A:$J,6,FALSE)</f>
        <v>Mensal</v>
      </c>
      <c r="H19" s="235">
        <f>VLOOKUP($C19,'Tabela de Códigos e Valores'!$A:$AE,7,FALSE)</f>
        <v>1</v>
      </c>
      <c r="I19" s="113">
        <f>VLOOKUP($C19,'Tabela de Códigos e Valores'!$A:$AE,8,FALSE)</f>
        <v>20.75</v>
      </c>
      <c r="J19" s="239">
        <v>1</v>
      </c>
      <c r="K19" s="113">
        <f>VLOOKUP($C19,'Tabela de Códigos e Valores'!$A:$AE,12,FALSE)</f>
        <v>0</v>
      </c>
      <c r="L19" s="113">
        <f>VLOOKUP($C19,'Tabela de Códigos e Valores'!$A:$AE,13,FALSE)</f>
        <v>0</v>
      </c>
      <c r="M19" s="113">
        <f>VLOOKUP($C19,'Tabela de Códigos e Valores'!$A:$AE,25,FALSE)</f>
        <v>0</v>
      </c>
      <c r="N19" s="113">
        <f>IF(E19&lt;&gt;"posto",VLOOKUP($C19,'Tabela de Códigos e Valores'!$A:$AA,26,FALSE),IF(ROUND((VLOOKUP($B19,'Indicadores Financeiros'!$B$114:$J$119,8,FALSE)*I19)-(VLOOKUP($C19,'Tabela de Códigos e Valores'!A:I,9,FALSE)*6%),2)&lt;0,0,ROUND((VLOOKUP($B19,'Indicadores Financeiros'!$B$114:$J$119,8,FALSE)*I19)-(VLOOKUP($C19,'Tabela de Códigos e Valores'!A:I,9,FALSE)*6%),2)))</f>
        <v>0</v>
      </c>
      <c r="O19" s="113">
        <f>VLOOKUP($C19,'Tabela de Códigos e Valores'!$A:$AE,27,FALSE)</f>
        <v>0</v>
      </c>
      <c r="P19" s="21">
        <f t="shared" si="1"/>
        <v>0</v>
      </c>
      <c r="Q19" s="114">
        <f>VLOOKUP($A19,'Indicadores Financeiros'!$A$114:$J$119,8,FALSE)</f>
        <v>5.2600000000000001E-2</v>
      </c>
      <c r="R19" s="21">
        <f t="shared" si="2"/>
        <v>0</v>
      </c>
      <c r="S19" s="29">
        <f t="shared" si="3"/>
        <v>0</v>
      </c>
      <c r="T19" s="59">
        <f>ROUND(S19*ROUND(('Indicadores Financeiros'!$F$14-F19+1),2),2)</f>
        <v>0</v>
      </c>
      <c r="U19" s="69"/>
      <c r="V19" s="59">
        <f t="shared" si="4"/>
        <v>0</v>
      </c>
      <c r="W19" s="59">
        <f>ROUND('Indicadores Financeiros'!$J$72*$V19,2)</f>
        <v>0</v>
      </c>
      <c r="X19" s="22"/>
      <c r="Y19" s="20">
        <f t="shared" si="0"/>
        <v>0</v>
      </c>
      <c r="Z19" s="20">
        <f>IF(J19=0,0,IF(E19="Posto",ROUND(ROUND(ROUND((VLOOKUP($C19,'Tabela de Códigos e Valores'!$A:$AE,23,FALSE)/'Relatório Custo'!I19),2)+ROUND(VLOOKUP($C19,'Tabela de Códigos e Valores'!$A:$AE,26,FALSE)/'Relatório Custo'!I19,2)+ROUND((('Indicadores Financeiros'!$J$62*'Relatório Custo'!K19)/'Relatório Custo'!I19),2),2)*(1+Q19),2),0))</f>
        <v>0</v>
      </c>
      <c r="AA19" s="22"/>
      <c r="AB19" s="22"/>
      <c r="AC19" s="22"/>
      <c r="AD19" s="22"/>
      <c r="AE19" s="22"/>
      <c r="AF19" s="22"/>
      <c r="AG19" s="22"/>
      <c r="AH19" s="22"/>
      <c r="AI19" s="22"/>
      <c r="AJ19" s="22"/>
      <c r="AK19" s="22"/>
      <c r="AL19" s="22"/>
      <c r="AM19" s="22"/>
      <c r="AN19" s="22"/>
      <c r="AO19" s="22"/>
      <c r="AP19" s="22"/>
      <c r="AQ19" s="22"/>
      <c r="AR19" s="22"/>
      <c r="AS19" s="22"/>
      <c r="AT19" s="22"/>
      <c r="AU19" s="22"/>
      <c r="AV19" s="22"/>
      <c r="AW19" s="22"/>
      <c r="AX19" s="22"/>
      <c r="AY19" s="22"/>
      <c r="AZ19" s="22"/>
      <c r="BA19" s="22"/>
      <c r="BB19" s="22"/>
      <c r="BC19" s="22"/>
      <c r="BD19" s="22"/>
      <c r="BE19" s="22"/>
      <c r="BF19" s="22"/>
      <c r="BG19" s="22"/>
      <c r="BH19" s="22"/>
      <c r="BI19" s="22"/>
      <c r="BJ19" s="22"/>
      <c r="BK19" s="22"/>
      <c r="BL19" s="22"/>
      <c r="BM19" s="22"/>
      <c r="BN19" s="22"/>
      <c r="BO19" s="22"/>
      <c r="BP19" s="22"/>
      <c r="BQ19" s="22"/>
      <c r="BR19" s="22"/>
      <c r="BS19" s="22"/>
      <c r="BT19" s="22"/>
      <c r="BU19" s="22"/>
      <c r="BV19" s="22"/>
      <c r="BW19" s="22"/>
      <c r="BX19" s="22"/>
      <c r="BY19" s="22"/>
      <c r="BZ19" s="22"/>
      <c r="CA19" s="22"/>
      <c r="CB19" s="22"/>
      <c r="CC19" s="22"/>
      <c r="CD19" s="22"/>
      <c r="CE19" s="22"/>
      <c r="CF19" s="22"/>
      <c r="CG19" s="22"/>
      <c r="CH19" s="22"/>
      <c r="CI19" s="22"/>
      <c r="CJ19" s="22"/>
      <c r="CK19" s="22"/>
      <c r="CL19" s="22"/>
      <c r="CM19" s="22"/>
      <c r="CN19" s="22"/>
      <c r="CO19" s="22"/>
      <c r="CP19" s="22"/>
      <c r="CQ19" s="22"/>
      <c r="CR19" s="22"/>
      <c r="CS19" s="22"/>
      <c r="CT19" s="22"/>
      <c r="CU19" s="22"/>
      <c r="CV19" s="22"/>
      <c r="CW19" s="22"/>
      <c r="CX19" s="22"/>
      <c r="CY19" s="22"/>
      <c r="CZ19" s="22"/>
      <c r="DA19" s="22"/>
      <c r="DB19" s="22"/>
      <c r="DC19" s="22"/>
      <c r="DD19" s="22"/>
      <c r="DE19" s="22"/>
      <c r="DF19" s="22"/>
      <c r="DG19" s="22"/>
      <c r="DH19" s="22"/>
      <c r="DI19" s="22"/>
      <c r="DJ19" s="22"/>
      <c r="DK19" s="22"/>
      <c r="DL19" s="22"/>
      <c r="DM19" s="22"/>
      <c r="DN19" s="22"/>
      <c r="DO19" s="22"/>
      <c r="DP19" s="22"/>
      <c r="DQ19" s="22"/>
      <c r="DR19" s="22"/>
      <c r="DS19" s="22"/>
      <c r="DT19" s="22"/>
      <c r="DU19" s="22"/>
      <c r="DV19" s="22"/>
      <c r="DW19" s="22"/>
      <c r="DX19" s="22"/>
      <c r="DY19" s="22"/>
      <c r="DZ19" s="22"/>
      <c r="EA19" s="22"/>
      <c r="EB19" s="22"/>
      <c r="EC19" s="22"/>
      <c r="ED19" s="22"/>
      <c r="EE19" s="22"/>
      <c r="EF19" s="22"/>
      <c r="EG19" s="22"/>
      <c r="EH19" s="22"/>
      <c r="EI19" s="22"/>
      <c r="EJ19" s="22"/>
      <c r="EK19" s="22"/>
      <c r="EL19" s="22"/>
      <c r="EM19" s="22"/>
      <c r="EN19" s="22"/>
      <c r="EO19" s="22"/>
      <c r="EP19" s="22"/>
      <c r="EQ19" s="22"/>
      <c r="ER19" s="22"/>
      <c r="ES19" s="22"/>
      <c r="ET19" s="22"/>
      <c r="EU19" s="22"/>
      <c r="EV19" s="22"/>
      <c r="EW19" s="22"/>
      <c r="EX19" s="22"/>
      <c r="EY19" s="22"/>
      <c r="EZ19" s="22"/>
      <c r="FA19" s="22"/>
      <c r="FB19" s="22"/>
      <c r="FC19" s="22"/>
      <c r="FD19" s="22"/>
      <c r="FE19" s="22"/>
      <c r="FF19" s="22"/>
      <c r="FG19" s="22"/>
      <c r="FH19" s="22"/>
      <c r="FI19" s="22"/>
      <c r="FJ19" s="22"/>
      <c r="FK19" s="22"/>
      <c r="FL19" s="22"/>
      <c r="FM19" s="22"/>
      <c r="FN19" s="22"/>
      <c r="FO19" s="22"/>
      <c r="FP19" s="22"/>
      <c r="FQ19" s="22"/>
      <c r="FR19" s="22"/>
      <c r="FS19" s="22"/>
      <c r="FT19" s="22"/>
      <c r="FU19" s="22"/>
      <c r="FV19" s="22"/>
      <c r="FW19" s="22"/>
      <c r="FX19" s="22"/>
      <c r="FY19" s="22"/>
      <c r="FZ19" s="22"/>
      <c r="GA19" s="22"/>
      <c r="GB19" s="22"/>
      <c r="GC19" s="22"/>
      <c r="GD19" s="22"/>
      <c r="GE19" s="22"/>
      <c r="GF19" s="22"/>
      <c r="GG19" s="22"/>
      <c r="GH19" s="22"/>
      <c r="GI19" s="22"/>
      <c r="GJ19" s="22"/>
      <c r="GK19" s="22"/>
      <c r="GL19" s="22"/>
      <c r="GM19" s="22"/>
      <c r="GN19" s="22"/>
      <c r="GO19" s="22"/>
      <c r="GP19" s="22"/>
      <c r="GQ19" s="22"/>
      <c r="GR19" s="22"/>
      <c r="GS19" s="22"/>
      <c r="GT19" s="22"/>
      <c r="GU19" s="22"/>
      <c r="GV19" s="22"/>
      <c r="GW19" s="22"/>
      <c r="GX19" s="22"/>
      <c r="GY19" s="22"/>
      <c r="GZ19" s="22"/>
      <c r="HA19" s="22"/>
      <c r="HB19" s="22"/>
      <c r="HC19" s="22"/>
      <c r="HD19" s="22"/>
      <c r="HE19" s="22"/>
      <c r="HF19" s="22"/>
      <c r="HG19" s="22"/>
      <c r="HH19" s="22"/>
      <c r="HI19" s="22"/>
      <c r="HJ19" s="22"/>
      <c r="HK19" s="22"/>
      <c r="HL19" s="22"/>
      <c r="HM19" s="22"/>
      <c r="HN19" s="22"/>
      <c r="HO19" s="22"/>
      <c r="HP19" s="22"/>
      <c r="HQ19" s="22"/>
      <c r="HR19" s="22"/>
      <c r="HS19" s="22"/>
      <c r="HT19" s="22"/>
      <c r="HU19" s="22"/>
      <c r="HV19" s="22"/>
      <c r="HW19" s="22"/>
      <c r="HX19" s="22"/>
      <c r="HY19" s="22"/>
      <c r="HZ19" s="22"/>
      <c r="IA19" s="22"/>
      <c r="IB19" s="22"/>
      <c r="IC19" s="22"/>
      <c r="ID19" s="22"/>
      <c r="IE19" s="22"/>
      <c r="IF19" s="22"/>
      <c r="IG19" s="22"/>
      <c r="IH19" s="22"/>
      <c r="II19" s="22"/>
      <c r="IJ19" s="22"/>
      <c r="IK19" s="22"/>
      <c r="IL19" s="22"/>
      <c r="IM19" s="22"/>
      <c r="IN19" s="22"/>
      <c r="IO19" s="22"/>
      <c r="IP19" s="22"/>
      <c r="IQ19" s="22"/>
      <c r="IR19" s="22"/>
      <c r="IS19" s="22"/>
      <c r="IT19" s="22"/>
      <c r="IU19" s="22"/>
      <c r="IV19" s="22"/>
      <c r="IW19" s="22"/>
      <c r="IX19" s="22"/>
      <c r="IY19" s="22"/>
      <c r="IZ19" s="22"/>
      <c r="JA19" s="22"/>
      <c r="JB19" s="22"/>
      <c r="JC19" s="22"/>
      <c r="JD19" s="22"/>
      <c r="JE19" s="22"/>
      <c r="JF19" s="22"/>
      <c r="JG19" s="22"/>
      <c r="JH19" s="22"/>
      <c r="JI19" s="22"/>
      <c r="JJ19" s="22"/>
      <c r="JK19" s="22"/>
      <c r="JL19" s="22"/>
      <c r="JM19" s="22"/>
      <c r="JN19" s="22"/>
      <c r="JO19" s="22"/>
      <c r="JP19" s="22"/>
      <c r="JQ19" s="22"/>
      <c r="JR19" s="22"/>
      <c r="JS19" s="22"/>
      <c r="JT19" s="22"/>
      <c r="JU19" s="22"/>
      <c r="JV19" s="22"/>
      <c r="JW19" s="22"/>
      <c r="JX19" s="22"/>
      <c r="JY19" s="22"/>
      <c r="JZ19" s="22"/>
      <c r="KA19" s="22"/>
      <c r="KB19" s="22"/>
      <c r="KC19" s="22"/>
      <c r="KD19" s="22"/>
      <c r="KE19" s="22"/>
      <c r="KF19" s="22"/>
      <c r="KG19" s="22"/>
      <c r="KH19" s="22"/>
      <c r="KI19" s="22"/>
      <c r="KJ19" s="22"/>
      <c r="KK19" s="22"/>
      <c r="KL19" s="22"/>
      <c r="KM19" s="22"/>
      <c r="KN19" s="22"/>
      <c r="KO19" s="22"/>
      <c r="KP19" s="22"/>
      <c r="KQ19" s="22"/>
      <c r="KR19" s="22"/>
      <c r="KS19" s="22"/>
      <c r="KT19" s="22"/>
      <c r="KU19" s="22"/>
      <c r="KV19" s="22"/>
      <c r="KW19" s="22"/>
      <c r="KX19" s="22"/>
      <c r="KY19" s="22"/>
      <c r="KZ19" s="22"/>
      <c r="LA19" s="22"/>
      <c r="LB19" s="22"/>
      <c r="LC19" s="22"/>
      <c r="LD19" s="22"/>
      <c r="LE19" s="22"/>
      <c r="LF19" s="22"/>
      <c r="LG19" s="22"/>
      <c r="LH19" s="22"/>
      <c r="LI19" s="22"/>
      <c r="LJ19" s="22"/>
      <c r="LK19" s="22"/>
      <c r="LL19" s="22"/>
      <c r="LM19" s="22"/>
      <c r="LN19" s="22"/>
      <c r="LO19" s="22"/>
      <c r="LP19" s="22"/>
      <c r="LQ19" s="22"/>
      <c r="LR19" s="22"/>
      <c r="LS19" s="22"/>
      <c r="LT19" s="22"/>
      <c r="LU19" s="22"/>
    </row>
    <row r="20" spans="1:333" s="23" customFormat="1" ht="36" x14ac:dyDescent="0.25">
      <c r="A20" s="18">
        <v>15</v>
      </c>
      <c r="B20" s="19" t="str">
        <f>VLOOKUP($A20,'Indicadores Financeiros'!$A$114:$J$217,2,FALSE)</f>
        <v>São Paulo - Unidade Administrativa I - Praça do Patriarca</v>
      </c>
      <c r="C20" s="211">
        <v>551189</v>
      </c>
      <c r="D20" s="5" t="str">
        <f>VLOOKUP($C20,'Tabela de Códigos e Valores'!$A:$J,2,FALSE)</f>
        <v>Técnico mecânico especializado em Refrigeração</v>
      </c>
      <c r="E20" s="2" t="str">
        <f>VLOOKUP($C20,'Tabela de Códigos e Valores'!$A:$J,5,FALSE)</f>
        <v>Posto</v>
      </c>
      <c r="F20" s="2">
        <f>VLOOKUP($A20,'Indicadores Financeiros'!$A$114:$J$1120,10,FALSE)</f>
        <v>1</v>
      </c>
      <c r="G20" s="2" t="str">
        <f>VLOOKUP($C20,'Tabela de Códigos e Valores'!$A:$J,6,FALSE)</f>
        <v>Mensal</v>
      </c>
      <c r="H20" s="235">
        <f>VLOOKUP($C20,'Tabela de Códigos e Valores'!$A:$AE,7,FALSE)</f>
        <v>1</v>
      </c>
      <c r="I20" s="113">
        <f>VLOOKUP($C20,'Tabela de Códigos e Valores'!$A:$AE,8,FALSE)</f>
        <v>20.75</v>
      </c>
      <c r="J20" s="239">
        <v>2</v>
      </c>
      <c r="K20" s="113">
        <f>VLOOKUP($C20,'Tabela de Códigos e Valores'!$A:$AE,12,FALSE)</f>
        <v>0</v>
      </c>
      <c r="L20" s="113">
        <f>VLOOKUP($C20,'Tabela de Códigos e Valores'!$A:$AE,13,FALSE)</f>
        <v>0</v>
      </c>
      <c r="M20" s="113">
        <f>VLOOKUP($C20,'Tabela de Códigos e Valores'!$A:$AE,25,FALSE)</f>
        <v>0</v>
      </c>
      <c r="N20" s="113">
        <f>IF(E20&lt;&gt;"posto",VLOOKUP($C20,'Tabela de Códigos e Valores'!$A:$AA,26,FALSE),IF(ROUND((VLOOKUP($B20,'Indicadores Financeiros'!$B$114:$J$119,8,FALSE)*I20)-(VLOOKUP($C20,'Tabela de Códigos e Valores'!A:I,9,FALSE)*6%),2)&lt;0,0,ROUND((VLOOKUP($B20,'Indicadores Financeiros'!$B$114:$J$119,8,FALSE)*I20)-(VLOOKUP($C20,'Tabela de Códigos e Valores'!A:I,9,FALSE)*6%),2)))</f>
        <v>0</v>
      </c>
      <c r="O20" s="113">
        <f>VLOOKUP($C20,'Tabela de Códigos e Valores'!$A:$AE,27,FALSE)</f>
        <v>0</v>
      </c>
      <c r="P20" s="21">
        <f t="shared" si="1"/>
        <v>0</v>
      </c>
      <c r="Q20" s="114">
        <f>VLOOKUP($A20,'Indicadores Financeiros'!$A$114:$J$119,8,FALSE)</f>
        <v>5.2600000000000001E-2</v>
      </c>
      <c r="R20" s="21">
        <f t="shared" si="2"/>
        <v>0</v>
      </c>
      <c r="S20" s="29">
        <f t="shared" si="3"/>
        <v>0</v>
      </c>
      <c r="T20" s="59">
        <f>ROUND(S20*ROUND(('Indicadores Financeiros'!$F$14-F20+1),2),2)</f>
        <v>0</v>
      </c>
      <c r="U20" s="69"/>
      <c r="V20" s="59">
        <f t="shared" si="4"/>
        <v>0</v>
      </c>
      <c r="W20" s="59">
        <f>ROUND('Indicadores Financeiros'!$J$72*$V20,2)</f>
        <v>0</v>
      </c>
      <c r="X20" s="22"/>
      <c r="Y20" s="20">
        <f t="shared" si="0"/>
        <v>0</v>
      </c>
      <c r="Z20" s="20">
        <f>IF(J20=0,0,IF(E20="Posto",ROUND(ROUND(ROUND((VLOOKUP($C20,'Tabela de Códigos e Valores'!$A:$AE,23,FALSE)/'Relatório Custo'!I20),2)+ROUND(VLOOKUP($C20,'Tabela de Códigos e Valores'!$A:$AE,26,FALSE)/'Relatório Custo'!I20,2)+ROUND((('Indicadores Financeiros'!$J$62*'Relatório Custo'!K20)/'Relatório Custo'!I20),2),2)*(1+Q20),2),0))</f>
        <v>0</v>
      </c>
      <c r="AA20" s="22"/>
      <c r="AB20" s="22"/>
      <c r="AC20" s="22"/>
      <c r="AD20" s="22"/>
      <c r="AE20" s="22"/>
      <c r="AF20" s="22"/>
      <c r="AG20" s="22"/>
      <c r="AH20" s="22"/>
      <c r="AI20" s="22"/>
      <c r="AJ20" s="22"/>
      <c r="AK20" s="22"/>
      <c r="AL20" s="22"/>
      <c r="AM20" s="22"/>
      <c r="AN20" s="22"/>
      <c r="AO20" s="22"/>
      <c r="AP20" s="22"/>
      <c r="AQ20" s="22"/>
      <c r="AR20" s="22"/>
      <c r="AS20" s="22"/>
      <c r="AT20" s="22"/>
      <c r="AU20" s="22"/>
      <c r="AV20" s="22"/>
      <c r="AW20" s="22"/>
      <c r="AX20" s="22"/>
      <c r="AY20" s="22"/>
      <c r="AZ20" s="22"/>
      <c r="BA20" s="22"/>
      <c r="BB20" s="22"/>
      <c r="BC20" s="22"/>
      <c r="BD20" s="22"/>
      <c r="BE20" s="22"/>
      <c r="BF20" s="22"/>
      <c r="BG20" s="22"/>
      <c r="BH20" s="22"/>
      <c r="BI20" s="22"/>
      <c r="BJ20" s="22"/>
      <c r="BK20" s="22"/>
      <c r="BL20" s="22"/>
      <c r="BM20" s="22"/>
      <c r="BN20" s="22"/>
      <c r="BO20" s="22"/>
      <c r="BP20" s="22"/>
      <c r="BQ20" s="22"/>
      <c r="BR20" s="22"/>
      <c r="BS20" s="22"/>
      <c r="BT20" s="22"/>
      <c r="BU20" s="22"/>
      <c r="BV20" s="22"/>
      <c r="BW20" s="22"/>
      <c r="BX20" s="22"/>
      <c r="BY20" s="22"/>
      <c r="BZ20" s="22"/>
      <c r="CA20" s="22"/>
      <c r="CB20" s="22"/>
      <c r="CC20" s="22"/>
      <c r="CD20" s="22"/>
      <c r="CE20" s="22"/>
      <c r="CF20" s="22"/>
      <c r="CG20" s="22"/>
      <c r="CH20" s="22"/>
      <c r="CI20" s="22"/>
      <c r="CJ20" s="22"/>
      <c r="CK20" s="22"/>
      <c r="CL20" s="22"/>
      <c r="CM20" s="22"/>
      <c r="CN20" s="22"/>
      <c r="CO20" s="22"/>
      <c r="CP20" s="22"/>
      <c r="CQ20" s="22"/>
      <c r="CR20" s="22"/>
      <c r="CS20" s="22"/>
      <c r="CT20" s="22"/>
      <c r="CU20" s="22"/>
      <c r="CV20" s="22"/>
      <c r="CW20" s="22"/>
      <c r="CX20" s="22"/>
      <c r="CY20" s="22"/>
      <c r="CZ20" s="22"/>
      <c r="DA20" s="22"/>
      <c r="DB20" s="22"/>
      <c r="DC20" s="22"/>
      <c r="DD20" s="22"/>
      <c r="DE20" s="22"/>
      <c r="DF20" s="22"/>
      <c r="DG20" s="22"/>
      <c r="DH20" s="22"/>
      <c r="DI20" s="22"/>
      <c r="DJ20" s="22"/>
      <c r="DK20" s="22"/>
      <c r="DL20" s="22"/>
      <c r="DM20" s="22"/>
      <c r="DN20" s="22"/>
      <c r="DO20" s="22"/>
      <c r="DP20" s="22"/>
      <c r="DQ20" s="22"/>
      <c r="DR20" s="22"/>
      <c r="DS20" s="22"/>
      <c r="DT20" s="22"/>
      <c r="DU20" s="22"/>
      <c r="DV20" s="22"/>
      <c r="DW20" s="22"/>
      <c r="DX20" s="22"/>
      <c r="DY20" s="22"/>
      <c r="DZ20" s="22"/>
      <c r="EA20" s="22"/>
      <c r="EB20" s="22"/>
      <c r="EC20" s="22"/>
      <c r="ED20" s="22"/>
      <c r="EE20" s="22"/>
      <c r="EF20" s="22"/>
      <c r="EG20" s="22"/>
      <c r="EH20" s="22"/>
      <c r="EI20" s="22"/>
      <c r="EJ20" s="22"/>
      <c r="EK20" s="22"/>
      <c r="EL20" s="22"/>
      <c r="EM20" s="22"/>
      <c r="EN20" s="22"/>
      <c r="EO20" s="22"/>
      <c r="EP20" s="22"/>
      <c r="EQ20" s="22"/>
      <c r="ER20" s="22"/>
      <c r="ES20" s="22"/>
      <c r="ET20" s="22"/>
      <c r="EU20" s="22"/>
      <c r="EV20" s="22"/>
      <c r="EW20" s="22"/>
      <c r="EX20" s="22"/>
      <c r="EY20" s="22"/>
      <c r="EZ20" s="22"/>
      <c r="FA20" s="22"/>
      <c r="FB20" s="22"/>
      <c r="FC20" s="22"/>
      <c r="FD20" s="22"/>
      <c r="FE20" s="22"/>
      <c r="FF20" s="22"/>
      <c r="FG20" s="22"/>
      <c r="FH20" s="22"/>
      <c r="FI20" s="22"/>
      <c r="FJ20" s="22"/>
      <c r="FK20" s="22"/>
      <c r="FL20" s="22"/>
      <c r="FM20" s="22"/>
      <c r="FN20" s="22"/>
      <c r="FO20" s="22"/>
      <c r="FP20" s="22"/>
      <c r="FQ20" s="22"/>
      <c r="FR20" s="22"/>
      <c r="FS20" s="22"/>
      <c r="FT20" s="22"/>
      <c r="FU20" s="22"/>
      <c r="FV20" s="22"/>
      <c r="FW20" s="22"/>
      <c r="FX20" s="22"/>
      <c r="FY20" s="22"/>
      <c r="FZ20" s="22"/>
      <c r="GA20" s="22"/>
      <c r="GB20" s="22"/>
      <c r="GC20" s="22"/>
      <c r="GD20" s="22"/>
      <c r="GE20" s="22"/>
      <c r="GF20" s="22"/>
      <c r="GG20" s="22"/>
      <c r="GH20" s="22"/>
      <c r="GI20" s="22"/>
      <c r="GJ20" s="22"/>
      <c r="GK20" s="22"/>
      <c r="GL20" s="22"/>
      <c r="GM20" s="22"/>
      <c r="GN20" s="22"/>
      <c r="GO20" s="22"/>
      <c r="GP20" s="22"/>
      <c r="GQ20" s="22"/>
      <c r="GR20" s="22"/>
      <c r="GS20" s="22"/>
      <c r="GT20" s="22"/>
      <c r="GU20" s="22"/>
      <c r="GV20" s="22"/>
      <c r="GW20" s="22"/>
      <c r="GX20" s="22"/>
      <c r="GY20" s="22"/>
      <c r="GZ20" s="22"/>
      <c r="HA20" s="22"/>
      <c r="HB20" s="22"/>
      <c r="HC20" s="22"/>
      <c r="HD20" s="22"/>
      <c r="HE20" s="22"/>
      <c r="HF20" s="22"/>
      <c r="HG20" s="22"/>
      <c r="HH20" s="22"/>
      <c r="HI20" s="22"/>
      <c r="HJ20" s="22"/>
      <c r="HK20" s="22"/>
      <c r="HL20" s="22"/>
      <c r="HM20" s="22"/>
      <c r="HN20" s="22"/>
      <c r="HO20" s="22"/>
      <c r="HP20" s="22"/>
      <c r="HQ20" s="22"/>
      <c r="HR20" s="22"/>
      <c r="HS20" s="22"/>
      <c r="HT20" s="22"/>
      <c r="HU20" s="22"/>
      <c r="HV20" s="22"/>
      <c r="HW20" s="22"/>
      <c r="HX20" s="22"/>
      <c r="HY20" s="22"/>
      <c r="HZ20" s="22"/>
      <c r="IA20" s="22"/>
      <c r="IB20" s="22"/>
      <c r="IC20" s="22"/>
      <c r="ID20" s="22"/>
      <c r="IE20" s="22"/>
      <c r="IF20" s="22"/>
      <c r="IG20" s="22"/>
      <c r="IH20" s="22"/>
      <c r="II20" s="22"/>
      <c r="IJ20" s="22"/>
      <c r="IK20" s="22"/>
      <c r="IL20" s="22"/>
      <c r="IM20" s="22"/>
      <c r="IN20" s="22"/>
      <c r="IO20" s="22"/>
      <c r="IP20" s="22"/>
      <c r="IQ20" s="22"/>
      <c r="IR20" s="22"/>
      <c r="IS20" s="22"/>
      <c r="IT20" s="22"/>
      <c r="IU20" s="22"/>
      <c r="IV20" s="22"/>
      <c r="IW20" s="22"/>
      <c r="IX20" s="22"/>
      <c r="IY20" s="22"/>
      <c r="IZ20" s="22"/>
      <c r="JA20" s="22"/>
      <c r="JB20" s="22"/>
      <c r="JC20" s="22"/>
      <c r="JD20" s="22"/>
      <c r="JE20" s="22"/>
      <c r="JF20" s="22"/>
      <c r="JG20" s="22"/>
      <c r="JH20" s="22"/>
      <c r="JI20" s="22"/>
      <c r="JJ20" s="22"/>
      <c r="JK20" s="22"/>
      <c r="JL20" s="22"/>
      <c r="JM20" s="22"/>
      <c r="JN20" s="22"/>
      <c r="JO20" s="22"/>
      <c r="JP20" s="22"/>
      <c r="JQ20" s="22"/>
      <c r="JR20" s="22"/>
      <c r="JS20" s="22"/>
      <c r="JT20" s="22"/>
      <c r="JU20" s="22"/>
      <c r="JV20" s="22"/>
      <c r="JW20" s="22"/>
      <c r="JX20" s="22"/>
      <c r="JY20" s="22"/>
      <c r="JZ20" s="22"/>
      <c r="KA20" s="22"/>
      <c r="KB20" s="22"/>
      <c r="KC20" s="22"/>
      <c r="KD20" s="22"/>
      <c r="KE20" s="22"/>
      <c r="KF20" s="22"/>
      <c r="KG20" s="22"/>
      <c r="KH20" s="22"/>
      <c r="KI20" s="22"/>
      <c r="KJ20" s="22"/>
      <c r="KK20" s="22"/>
      <c r="KL20" s="22"/>
      <c r="KM20" s="22"/>
      <c r="KN20" s="22"/>
      <c r="KO20" s="22"/>
      <c r="KP20" s="22"/>
      <c r="KQ20" s="22"/>
      <c r="KR20" s="22"/>
      <c r="KS20" s="22"/>
      <c r="KT20" s="22"/>
      <c r="KU20" s="22"/>
      <c r="KV20" s="22"/>
      <c r="KW20" s="22"/>
      <c r="KX20" s="22"/>
      <c r="KY20" s="22"/>
      <c r="KZ20" s="22"/>
      <c r="LA20" s="22"/>
      <c r="LB20" s="22"/>
      <c r="LC20" s="22"/>
      <c r="LD20" s="22"/>
      <c r="LE20" s="22"/>
      <c r="LF20" s="22"/>
      <c r="LG20" s="22"/>
      <c r="LH20" s="22"/>
      <c r="LI20" s="22"/>
      <c r="LJ20" s="22"/>
      <c r="LK20" s="22"/>
      <c r="LL20" s="22"/>
      <c r="LM20" s="22"/>
      <c r="LN20" s="22"/>
      <c r="LO20" s="22"/>
      <c r="LP20" s="22"/>
      <c r="LQ20" s="22"/>
      <c r="LR20" s="22"/>
      <c r="LS20" s="22"/>
      <c r="LT20" s="22"/>
      <c r="LU20" s="22"/>
    </row>
    <row r="21" spans="1:333" s="23" customFormat="1" ht="36" x14ac:dyDescent="0.25">
      <c r="A21" s="291">
        <v>15</v>
      </c>
      <c r="B21" s="292" t="str">
        <f>VLOOKUP($A21,'Indicadores Financeiros'!$A$114:$J$217,2,FALSE)</f>
        <v>São Paulo - Unidade Administrativa I - Praça do Patriarca</v>
      </c>
      <c r="C21" s="301">
        <v>551196</v>
      </c>
      <c r="D21" s="294" t="str">
        <f>VLOOKUP($C21,'Tabela de Códigos e Valores'!$A:$J,2,FALSE)</f>
        <v>Técnico em Refrigeração Mecânico - Hora Extra Sábado</v>
      </c>
      <c r="E21" s="295" t="str">
        <f>VLOOKUP($C21,'Tabela de Códigos e Valores'!$A:$J,5,FALSE)</f>
        <v>Hora Extra</v>
      </c>
      <c r="F21" s="295">
        <f>VLOOKUP($A21,'Indicadores Financeiros'!$A$114:$J$1120,10,FALSE)</f>
        <v>1</v>
      </c>
      <c r="G21" s="295" t="str">
        <f>VLOOKUP($C21,'Tabela de Códigos e Valores'!$A:$J,6,FALSE)</f>
        <v>Mensal</v>
      </c>
      <c r="H21" s="296">
        <f>VLOOKUP($C21,'Tabela de Códigos e Valores'!$A:$AE,7,FALSE)</f>
        <v>1</v>
      </c>
      <c r="I21" s="297">
        <f>VLOOKUP($C21,'Tabela de Códigos e Valores'!$A:$AE,8,FALSE)</f>
        <v>20.75</v>
      </c>
      <c r="J21" s="298">
        <v>42</v>
      </c>
      <c r="K21" s="297">
        <f>VLOOKUP($C21,'Tabela de Códigos e Valores'!$A:$AE,12,FALSE)</f>
        <v>0</v>
      </c>
      <c r="L21" s="297">
        <f>VLOOKUP($C21,'Tabela de Códigos e Valores'!$A:$AE,13,FALSE)</f>
        <v>0</v>
      </c>
      <c r="M21" s="297">
        <f>VLOOKUP($C21,'Tabela de Códigos e Valores'!$A:$AE,25,FALSE)</f>
        <v>0</v>
      </c>
      <c r="N21" s="297">
        <f>IF(E21&lt;&gt;"posto",VLOOKUP($C21,'Tabela de Códigos e Valores'!$A:$AA,26,FALSE),IF(ROUND((VLOOKUP($B21,'Indicadores Financeiros'!$B$114:$J$119,8,FALSE)*I21)-(VLOOKUP($C21,'Tabela de Códigos e Valores'!A:I,9,FALSE)*6%),2)&lt;0,0,ROUND((VLOOKUP($B21,'Indicadores Financeiros'!$B$114:$J$119,8,FALSE)*I21)-(VLOOKUP($C21,'Tabela de Códigos e Valores'!A:I,9,FALSE)*6%),2)))</f>
        <v>0</v>
      </c>
      <c r="O21" s="297">
        <f>VLOOKUP($C21,'Tabela de Códigos e Valores'!$A:$AE,27,FALSE)</f>
        <v>0</v>
      </c>
      <c r="P21" s="299">
        <f>ROUND(SUM(K21:O21),2)</f>
        <v>0</v>
      </c>
      <c r="Q21" s="300">
        <f>VLOOKUP($A21,'Indicadores Financeiros'!$A$114:$J$119,8,FALSE)</f>
        <v>5.2600000000000001E-2</v>
      </c>
      <c r="R21" s="299">
        <f>ROUND(P21*(1+Q21),2)</f>
        <v>0</v>
      </c>
      <c r="S21" s="29">
        <f>ROUND(R21*J21,2)</f>
        <v>0</v>
      </c>
      <c r="T21" s="59">
        <f>ROUND(S21*ROUND(('Indicadores Financeiros'!$F$14-F21+1),2),2)</f>
        <v>0</v>
      </c>
      <c r="U21" s="69"/>
      <c r="V21" s="59">
        <f>IF(E21="Posto",ROUND(J21*K21,2),0)</f>
        <v>0</v>
      </c>
      <c r="W21" s="59">
        <f>ROUND('Indicadores Financeiros'!$J$72*$V21,2)</f>
        <v>0</v>
      </c>
      <c r="X21" s="22"/>
      <c r="Y21" s="20">
        <f>IF(J21=0,0,IF(E21="Posto",ROUND($R21/$I21,2),0))</f>
        <v>0</v>
      </c>
      <c r="Z21" s="20">
        <f>IF(J21=0,0,IF(E21="Posto",ROUND(ROUND(ROUND((VLOOKUP($C21,'Tabela de Códigos e Valores'!$A:$AE,23,FALSE)/'Relatório Custo'!I21),2)+ROUND(VLOOKUP($C21,'Tabela de Códigos e Valores'!$A:$AE,26,FALSE)/'Relatório Custo'!I21,2)+ROUND((('Indicadores Financeiros'!$J$62*'Relatório Custo'!K21)/'Relatório Custo'!I21),2),2)*(1+Q21),2),0))</f>
        <v>0</v>
      </c>
      <c r="AA21" s="22"/>
      <c r="AB21" s="22"/>
      <c r="AC21" s="22"/>
      <c r="AD21" s="22"/>
      <c r="AE21" s="22"/>
      <c r="AF21" s="22"/>
      <c r="AG21" s="22"/>
      <c r="AH21" s="22"/>
      <c r="AI21" s="22"/>
      <c r="AJ21" s="22"/>
      <c r="AK21" s="22"/>
      <c r="AL21" s="22"/>
      <c r="AM21" s="22"/>
      <c r="AN21" s="22"/>
      <c r="AO21" s="22"/>
      <c r="AP21" s="22"/>
      <c r="AQ21" s="22"/>
      <c r="AR21" s="22"/>
      <c r="AS21" s="22"/>
      <c r="AT21" s="22"/>
      <c r="AU21" s="22"/>
      <c r="AV21" s="22"/>
      <c r="AW21" s="22"/>
      <c r="AX21" s="22"/>
      <c r="AY21" s="22"/>
      <c r="AZ21" s="22"/>
      <c r="BA21" s="22"/>
      <c r="BB21" s="22"/>
      <c r="BC21" s="22"/>
      <c r="BD21" s="22"/>
      <c r="BE21" s="22"/>
      <c r="BF21" s="22"/>
      <c r="BG21" s="22"/>
      <c r="BH21" s="22"/>
      <c r="BI21" s="22"/>
      <c r="BJ21" s="22"/>
      <c r="BK21" s="22"/>
      <c r="BL21" s="22"/>
      <c r="BM21" s="22"/>
      <c r="BN21" s="22"/>
      <c r="BO21" s="22"/>
      <c r="BP21" s="22"/>
      <c r="BQ21" s="22"/>
      <c r="BR21" s="22"/>
      <c r="BS21" s="22"/>
      <c r="BT21" s="22"/>
      <c r="BU21" s="22"/>
      <c r="BV21" s="22"/>
      <c r="BW21" s="22"/>
      <c r="BX21" s="22"/>
      <c r="BY21" s="22"/>
      <c r="BZ21" s="22"/>
      <c r="CA21" s="22"/>
      <c r="CB21" s="22"/>
      <c r="CC21" s="22"/>
      <c r="CD21" s="22"/>
      <c r="CE21" s="22"/>
      <c r="CF21" s="22"/>
      <c r="CG21" s="22"/>
      <c r="CH21" s="22"/>
      <c r="CI21" s="22"/>
      <c r="CJ21" s="22"/>
      <c r="CK21" s="22"/>
      <c r="CL21" s="22"/>
      <c r="CM21" s="22"/>
      <c r="CN21" s="22"/>
      <c r="CO21" s="22"/>
      <c r="CP21" s="22"/>
      <c r="CQ21" s="22"/>
      <c r="CR21" s="22"/>
      <c r="CS21" s="22"/>
      <c r="CT21" s="22"/>
      <c r="CU21" s="22"/>
      <c r="CV21" s="22"/>
      <c r="CW21" s="22"/>
      <c r="CX21" s="22"/>
      <c r="CY21" s="22"/>
      <c r="CZ21" s="22"/>
      <c r="DA21" s="22"/>
      <c r="DB21" s="22"/>
      <c r="DC21" s="22"/>
      <c r="DD21" s="22"/>
      <c r="DE21" s="22"/>
      <c r="DF21" s="22"/>
      <c r="DG21" s="22"/>
      <c r="DH21" s="22"/>
      <c r="DI21" s="22"/>
      <c r="DJ21" s="22"/>
      <c r="DK21" s="22"/>
      <c r="DL21" s="22"/>
      <c r="DM21" s="22"/>
      <c r="DN21" s="22"/>
      <c r="DO21" s="22"/>
      <c r="DP21" s="22"/>
      <c r="DQ21" s="22"/>
      <c r="DR21" s="22"/>
      <c r="DS21" s="22"/>
      <c r="DT21" s="22"/>
      <c r="DU21" s="22"/>
      <c r="DV21" s="22"/>
      <c r="DW21" s="22"/>
      <c r="DX21" s="22"/>
      <c r="DY21" s="22"/>
      <c r="DZ21" s="22"/>
      <c r="EA21" s="22"/>
      <c r="EB21" s="22"/>
      <c r="EC21" s="22"/>
      <c r="ED21" s="22"/>
      <c r="EE21" s="22"/>
      <c r="EF21" s="22"/>
      <c r="EG21" s="22"/>
      <c r="EH21" s="22"/>
      <c r="EI21" s="22"/>
      <c r="EJ21" s="22"/>
      <c r="EK21" s="22"/>
      <c r="EL21" s="22"/>
      <c r="EM21" s="22"/>
      <c r="EN21" s="22"/>
      <c r="EO21" s="22"/>
      <c r="EP21" s="22"/>
      <c r="EQ21" s="22"/>
      <c r="ER21" s="22"/>
      <c r="ES21" s="22"/>
      <c r="ET21" s="22"/>
      <c r="EU21" s="22"/>
      <c r="EV21" s="22"/>
      <c r="EW21" s="22"/>
      <c r="EX21" s="22"/>
      <c r="EY21" s="22"/>
      <c r="EZ21" s="22"/>
      <c r="FA21" s="22"/>
      <c r="FB21" s="22"/>
      <c r="FC21" s="22"/>
      <c r="FD21" s="22"/>
      <c r="FE21" s="22"/>
      <c r="FF21" s="22"/>
      <c r="FG21" s="22"/>
      <c r="FH21" s="22"/>
      <c r="FI21" s="22"/>
      <c r="FJ21" s="22"/>
      <c r="FK21" s="22"/>
      <c r="FL21" s="22"/>
      <c r="FM21" s="22"/>
      <c r="FN21" s="22"/>
      <c r="FO21" s="22"/>
      <c r="FP21" s="22"/>
      <c r="FQ21" s="22"/>
      <c r="FR21" s="22"/>
      <c r="FS21" s="22"/>
      <c r="FT21" s="22"/>
      <c r="FU21" s="22"/>
      <c r="FV21" s="22"/>
      <c r="FW21" s="22"/>
      <c r="FX21" s="22"/>
      <c r="FY21" s="22"/>
      <c r="FZ21" s="22"/>
      <c r="GA21" s="22"/>
      <c r="GB21" s="22"/>
      <c r="GC21" s="22"/>
      <c r="GD21" s="22"/>
      <c r="GE21" s="22"/>
      <c r="GF21" s="22"/>
      <c r="GG21" s="22"/>
      <c r="GH21" s="22"/>
      <c r="GI21" s="22"/>
      <c r="GJ21" s="22"/>
      <c r="GK21" s="22"/>
      <c r="GL21" s="22"/>
      <c r="GM21" s="22"/>
      <c r="GN21" s="22"/>
      <c r="GO21" s="22"/>
      <c r="GP21" s="22"/>
      <c r="GQ21" s="22"/>
      <c r="GR21" s="22"/>
      <c r="GS21" s="22"/>
      <c r="GT21" s="22"/>
      <c r="GU21" s="22"/>
      <c r="GV21" s="22"/>
      <c r="GW21" s="22"/>
      <c r="GX21" s="22"/>
      <c r="GY21" s="22"/>
      <c r="GZ21" s="22"/>
      <c r="HA21" s="22"/>
      <c r="HB21" s="22"/>
      <c r="HC21" s="22"/>
      <c r="HD21" s="22"/>
      <c r="HE21" s="22"/>
      <c r="HF21" s="22"/>
      <c r="HG21" s="22"/>
      <c r="HH21" s="22"/>
      <c r="HI21" s="22"/>
      <c r="HJ21" s="22"/>
      <c r="HK21" s="22"/>
      <c r="HL21" s="22"/>
      <c r="HM21" s="22"/>
      <c r="HN21" s="22"/>
      <c r="HO21" s="22"/>
      <c r="HP21" s="22"/>
      <c r="HQ21" s="22"/>
      <c r="HR21" s="22"/>
      <c r="HS21" s="22"/>
      <c r="HT21" s="22"/>
      <c r="HU21" s="22"/>
      <c r="HV21" s="22"/>
      <c r="HW21" s="22"/>
      <c r="HX21" s="22"/>
      <c r="HY21" s="22"/>
      <c r="HZ21" s="22"/>
      <c r="IA21" s="22"/>
      <c r="IB21" s="22"/>
      <c r="IC21" s="22"/>
      <c r="ID21" s="22"/>
      <c r="IE21" s="22"/>
      <c r="IF21" s="22"/>
      <c r="IG21" s="22"/>
      <c r="IH21" s="22"/>
      <c r="II21" s="22"/>
      <c r="IJ21" s="22"/>
      <c r="IK21" s="22"/>
      <c r="IL21" s="22"/>
      <c r="IM21" s="22"/>
      <c r="IN21" s="22"/>
      <c r="IO21" s="22"/>
      <c r="IP21" s="22"/>
      <c r="IQ21" s="22"/>
      <c r="IR21" s="22"/>
      <c r="IS21" s="22"/>
      <c r="IT21" s="22"/>
      <c r="IU21" s="22"/>
      <c r="IV21" s="22"/>
      <c r="IW21" s="22"/>
      <c r="IX21" s="22"/>
      <c r="IY21" s="22"/>
      <c r="IZ21" s="22"/>
      <c r="JA21" s="22"/>
      <c r="JB21" s="22"/>
      <c r="JC21" s="22"/>
      <c r="JD21" s="22"/>
      <c r="JE21" s="22"/>
      <c r="JF21" s="22"/>
      <c r="JG21" s="22"/>
      <c r="JH21" s="22"/>
      <c r="JI21" s="22"/>
      <c r="JJ21" s="22"/>
      <c r="JK21" s="22"/>
      <c r="JL21" s="22"/>
      <c r="JM21" s="22"/>
      <c r="JN21" s="22"/>
      <c r="JO21" s="22"/>
      <c r="JP21" s="22"/>
      <c r="JQ21" s="22"/>
      <c r="JR21" s="22"/>
      <c r="JS21" s="22"/>
      <c r="JT21" s="22"/>
      <c r="JU21" s="22"/>
      <c r="JV21" s="22"/>
      <c r="JW21" s="22"/>
      <c r="JX21" s="22"/>
      <c r="JY21" s="22"/>
      <c r="JZ21" s="22"/>
      <c r="KA21" s="22"/>
      <c r="KB21" s="22"/>
      <c r="KC21" s="22"/>
      <c r="KD21" s="22"/>
      <c r="KE21" s="22"/>
      <c r="KF21" s="22"/>
      <c r="KG21" s="22"/>
      <c r="KH21" s="22"/>
      <c r="KI21" s="22"/>
      <c r="KJ21" s="22"/>
      <c r="KK21" s="22"/>
      <c r="KL21" s="22"/>
      <c r="KM21" s="22"/>
      <c r="KN21" s="22"/>
      <c r="KO21" s="22"/>
      <c r="KP21" s="22"/>
      <c r="KQ21" s="22"/>
      <c r="KR21" s="22"/>
      <c r="KS21" s="22"/>
      <c r="KT21" s="22"/>
      <c r="KU21" s="22"/>
      <c r="KV21" s="22"/>
      <c r="KW21" s="22"/>
      <c r="KX21" s="22"/>
      <c r="KY21" s="22"/>
      <c r="KZ21" s="22"/>
      <c r="LA21" s="22"/>
      <c r="LB21" s="22"/>
      <c r="LC21" s="22"/>
      <c r="LD21" s="22"/>
      <c r="LE21" s="22"/>
      <c r="LF21" s="22"/>
      <c r="LG21" s="22"/>
      <c r="LH21" s="22"/>
      <c r="LI21" s="22"/>
      <c r="LJ21" s="22"/>
      <c r="LK21" s="22"/>
      <c r="LL21" s="22"/>
      <c r="LM21" s="22"/>
      <c r="LN21" s="22"/>
      <c r="LO21" s="22"/>
      <c r="LP21" s="22"/>
      <c r="LQ21" s="22"/>
      <c r="LR21" s="22"/>
      <c r="LS21" s="22"/>
      <c r="LT21" s="22"/>
      <c r="LU21" s="22"/>
    </row>
    <row r="22" spans="1:333" s="22" customFormat="1" x14ac:dyDescent="0.25">
      <c r="A22" s="67"/>
      <c r="B22" s="68"/>
      <c r="C22" s="68"/>
      <c r="D22" s="68"/>
      <c r="E22" s="231"/>
      <c r="F22" s="231"/>
      <c r="G22" s="231"/>
      <c r="H22" s="236"/>
      <c r="I22" s="93"/>
      <c r="J22" s="236"/>
      <c r="K22" s="68"/>
      <c r="L22" s="68"/>
      <c r="M22" s="68"/>
      <c r="N22" s="68"/>
      <c r="O22" s="68"/>
      <c r="P22" s="115"/>
      <c r="Q22" s="68"/>
      <c r="R22" s="68"/>
      <c r="S22" s="29">
        <f>SUBTOTAL(9,S3:S21)</f>
        <v>0</v>
      </c>
      <c r="T22" s="29">
        <f>SUBTOTAL(9,T3:T21)</f>
        <v>0</v>
      </c>
      <c r="U22" s="136"/>
      <c r="V22" s="29">
        <f>SUBTOTAL(9,V3:V21)</f>
        <v>0</v>
      </c>
      <c r="W22" s="29">
        <f>SUBTOTAL(9,W3:W21)</f>
        <v>0</v>
      </c>
    </row>
    <row r="23" spans="1:333" s="22" customFormat="1" x14ac:dyDescent="0.25">
      <c r="A23" s="99"/>
      <c r="B23" s="99"/>
      <c r="C23" s="99"/>
      <c r="D23" s="99"/>
      <c r="E23" s="232"/>
      <c r="F23" s="232"/>
      <c r="G23" s="232"/>
      <c r="H23" s="237"/>
      <c r="I23" s="53"/>
      <c r="J23" s="237"/>
      <c r="K23" s="53"/>
      <c r="L23" s="24"/>
      <c r="M23" s="24"/>
      <c r="N23" s="24"/>
      <c r="O23" s="24"/>
      <c r="P23" s="28"/>
      <c r="Q23" s="28"/>
      <c r="R23" s="28"/>
      <c r="S23" s="28"/>
    </row>
    <row r="24" spans="1:333" s="22" customFormat="1" x14ac:dyDescent="0.25">
      <c r="E24" s="233"/>
      <c r="F24" s="233"/>
      <c r="G24" s="233"/>
      <c r="H24" s="237"/>
      <c r="I24" s="53"/>
      <c r="J24" s="237"/>
      <c r="K24" s="24"/>
      <c r="L24" s="24"/>
      <c r="M24" s="24"/>
      <c r="N24" s="24"/>
      <c r="O24" s="24"/>
    </row>
    <row r="25" spans="1:333" s="22" customFormat="1" x14ac:dyDescent="0.25">
      <c r="E25" s="233"/>
      <c r="F25" s="233"/>
      <c r="G25" s="233"/>
      <c r="H25" s="237"/>
      <c r="I25" s="53"/>
      <c r="J25" s="237"/>
      <c r="K25" s="24"/>
      <c r="L25" s="24"/>
      <c r="M25" s="24"/>
      <c r="N25" s="24"/>
      <c r="O25" s="24"/>
    </row>
    <row r="26" spans="1:333" s="22" customFormat="1" x14ac:dyDescent="0.25">
      <c r="E26" s="233"/>
      <c r="F26" s="233"/>
      <c r="G26" s="233"/>
      <c r="H26" s="237"/>
      <c r="I26" s="53"/>
      <c r="J26" s="237"/>
      <c r="K26" s="24"/>
      <c r="L26" s="24"/>
      <c r="M26" s="24"/>
      <c r="N26" s="24"/>
      <c r="O26" s="24"/>
    </row>
    <row r="27" spans="1:333" s="22" customFormat="1" x14ac:dyDescent="0.25">
      <c r="E27" s="233"/>
      <c r="F27" s="233"/>
      <c r="G27" s="233"/>
      <c r="H27" s="237"/>
      <c r="I27" s="53"/>
      <c r="J27" s="237"/>
      <c r="K27" s="24"/>
      <c r="L27" s="24"/>
      <c r="M27" s="24"/>
      <c r="N27" s="24"/>
      <c r="O27" s="24"/>
    </row>
    <row r="28" spans="1:333" s="22" customFormat="1" x14ac:dyDescent="0.25">
      <c r="E28" s="233"/>
      <c r="F28" s="233"/>
      <c r="G28" s="233"/>
      <c r="H28" s="237"/>
      <c r="I28" s="53"/>
      <c r="J28" s="237"/>
      <c r="K28" s="24"/>
      <c r="L28" s="24"/>
      <c r="M28" s="24"/>
      <c r="N28" s="24"/>
      <c r="O28" s="24"/>
    </row>
    <row r="29" spans="1:333" s="22" customFormat="1" x14ac:dyDescent="0.25">
      <c r="E29" s="233"/>
      <c r="F29" s="233"/>
      <c r="G29" s="233"/>
      <c r="H29" s="237"/>
      <c r="I29" s="53"/>
      <c r="J29" s="237"/>
      <c r="K29" s="24"/>
      <c r="L29" s="24"/>
      <c r="M29" s="24"/>
      <c r="N29" s="24"/>
      <c r="O29" s="24"/>
    </row>
    <row r="30" spans="1:333" s="22" customFormat="1" x14ac:dyDescent="0.25">
      <c r="E30" s="233"/>
      <c r="F30" s="233"/>
      <c r="G30" s="233"/>
      <c r="H30" s="237"/>
      <c r="I30" s="53"/>
      <c r="J30" s="237"/>
      <c r="K30" s="24"/>
      <c r="L30" s="24"/>
      <c r="M30" s="24"/>
      <c r="N30" s="24"/>
      <c r="O30" s="24"/>
    </row>
    <row r="31" spans="1:333" s="22" customFormat="1" x14ac:dyDescent="0.25">
      <c r="E31" s="233"/>
      <c r="F31" s="233"/>
      <c r="G31" s="233"/>
      <c r="H31" s="237"/>
      <c r="I31" s="53"/>
      <c r="J31" s="237"/>
      <c r="K31" s="24"/>
      <c r="L31" s="24"/>
      <c r="M31" s="24"/>
      <c r="N31" s="24"/>
      <c r="O31" s="24"/>
    </row>
    <row r="32" spans="1:333" s="22" customFormat="1" x14ac:dyDescent="0.25">
      <c r="E32" s="233"/>
      <c r="F32" s="233"/>
      <c r="G32" s="233"/>
      <c r="H32" s="237"/>
      <c r="I32" s="53"/>
      <c r="J32" s="237"/>
      <c r="K32" s="24"/>
      <c r="L32" s="24"/>
      <c r="M32" s="24"/>
      <c r="N32" s="24"/>
      <c r="O32" s="24"/>
    </row>
    <row r="33" spans="5:15" s="22" customFormat="1" x14ac:dyDescent="0.25">
      <c r="E33" s="233"/>
      <c r="F33" s="233"/>
      <c r="G33" s="233"/>
      <c r="H33" s="237"/>
      <c r="I33" s="53"/>
      <c r="J33" s="237"/>
      <c r="K33" s="24"/>
      <c r="L33" s="24"/>
      <c r="M33" s="24"/>
      <c r="N33" s="24"/>
      <c r="O33" s="24"/>
    </row>
    <row r="34" spans="5:15" s="22" customFormat="1" x14ac:dyDescent="0.25">
      <c r="E34" s="233"/>
      <c r="F34" s="233"/>
      <c r="G34" s="233"/>
      <c r="H34" s="237"/>
      <c r="I34" s="53"/>
      <c r="J34" s="237"/>
      <c r="K34" s="24"/>
      <c r="L34" s="24"/>
      <c r="M34" s="24"/>
      <c r="N34" s="24"/>
      <c r="O34" s="24"/>
    </row>
    <row r="35" spans="5:15" s="22" customFormat="1" x14ac:dyDescent="0.25">
      <c r="E35" s="233"/>
      <c r="F35" s="233"/>
      <c r="G35" s="233"/>
      <c r="H35" s="237"/>
      <c r="I35" s="53"/>
      <c r="J35" s="237"/>
      <c r="K35" s="24"/>
      <c r="L35" s="24"/>
      <c r="M35" s="24"/>
      <c r="N35" s="24"/>
      <c r="O35" s="24"/>
    </row>
    <row r="36" spans="5:15" s="22" customFormat="1" x14ac:dyDescent="0.25">
      <c r="E36" s="233"/>
      <c r="F36" s="233"/>
      <c r="G36" s="233"/>
      <c r="H36" s="237"/>
      <c r="I36" s="53"/>
      <c r="J36" s="237"/>
      <c r="K36" s="24"/>
      <c r="L36" s="24"/>
      <c r="M36" s="24"/>
      <c r="N36" s="24"/>
      <c r="O36" s="24"/>
    </row>
    <row r="37" spans="5:15" s="22" customFormat="1" x14ac:dyDescent="0.25">
      <c r="E37" s="233"/>
      <c r="F37" s="233"/>
      <c r="G37" s="233"/>
      <c r="H37" s="237"/>
      <c r="I37" s="53"/>
      <c r="J37" s="237"/>
      <c r="K37" s="24"/>
      <c r="L37" s="24"/>
      <c r="M37" s="24"/>
      <c r="N37" s="24"/>
      <c r="O37" s="24"/>
    </row>
    <row r="38" spans="5:15" s="22" customFormat="1" x14ac:dyDescent="0.25">
      <c r="E38" s="233"/>
      <c r="F38" s="233"/>
      <c r="G38" s="233"/>
      <c r="H38" s="237"/>
      <c r="I38" s="53"/>
      <c r="J38" s="237"/>
      <c r="K38" s="24"/>
      <c r="L38" s="24"/>
      <c r="M38" s="24"/>
      <c r="N38" s="24"/>
      <c r="O38" s="24"/>
    </row>
    <row r="39" spans="5:15" s="22" customFormat="1" x14ac:dyDescent="0.25">
      <c r="E39" s="233"/>
      <c r="F39" s="233"/>
      <c r="G39" s="233"/>
      <c r="H39" s="237"/>
      <c r="I39" s="53"/>
      <c r="J39" s="237"/>
      <c r="K39" s="24"/>
      <c r="L39" s="24"/>
      <c r="M39" s="24"/>
      <c r="N39" s="24"/>
      <c r="O39" s="24"/>
    </row>
    <row r="40" spans="5:15" s="22" customFormat="1" x14ac:dyDescent="0.25">
      <c r="E40" s="233"/>
      <c r="F40" s="233"/>
      <c r="G40" s="233"/>
      <c r="H40" s="237"/>
      <c r="I40" s="53"/>
      <c r="J40" s="237"/>
      <c r="K40" s="24"/>
      <c r="L40" s="24"/>
      <c r="M40" s="24"/>
      <c r="N40" s="24"/>
      <c r="O40" s="24"/>
    </row>
    <row r="41" spans="5:15" s="22" customFormat="1" x14ac:dyDescent="0.25">
      <c r="E41" s="233"/>
      <c r="F41" s="233"/>
      <c r="G41" s="233"/>
      <c r="H41" s="237"/>
      <c r="I41" s="53"/>
      <c r="J41" s="237"/>
      <c r="K41" s="24"/>
      <c r="L41" s="24"/>
      <c r="M41" s="24"/>
      <c r="N41" s="24"/>
      <c r="O41" s="24"/>
    </row>
    <row r="42" spans="5:15" s="22" customFormat="1" x14ac:dyDescent="0.25">
      <c r="E42" s="233"/>
      <c r="F42" s="233"/>
      <c r="G42" s="233"/>
      <c r="H42" s="237"/>
      <c r="I42" s="53"/>
      <c r="J42" s="237"/>
      <c r="K42" s="24"/>
      <c r="L42" s="24"/>
      <c r="M42" s="24"/>
      <c r="N42" s="24"/>
      <c r="O42" s="24"/>
    </row>
    <row r="43" spans="5:15" s="22" customFormat="1" x14ac:dyDescent="0.25">
      <c r="E43" s="233"/>
      <c r="F43" s="233"/>
      <c r="G43" s="233"/>
      <c r="H43" s="237"/>
      <c r="I43" s="53"/>
      <c r="J43" s="237"/>
      <c r="K43" s="24"/>
      <c r="L43" s="24"/>
      <c r="M43" s="24"/>
      <c r="N43" s="24"/>
      <c r="O43" s="24"/>
    </row>
    <row r="44" spans="5:15" s="22" customFormat="1" x14ac:dyDescent="0.25">
      <c r="E44" s="233"/>
      <c r="F44" s="233"/>
      <c r="G44" s="233"/>
      <c r="H44" s="237"/>
      <c r="I44" s="53"/>
      <c r="J44" s="237"/>
      <c r="K44" s="24"/>
      <c r="L44" s="24"/>
      <c r="M44" s="24"/>
      <c r="N44" s="24"/>
      <c r="O44" s="24"/>
    </row>
    <row r="45" spans="5:15" s="22" customFormat="1" x14ac:dyDescent="0.25">
      <c r="E45" s="233"/>
      <c r="F45" s="233"/>
      <c r="G45" s="233"/>
      <c r="H45" s="237"/>
      <c r="I45" s="53"/>
      <c r="J45" s="237"/>
      <c r="K45" s="24"/>
      <c r="L45" s="24"/>
      <c r="M45" s="24"/>
      <c r="N45" s="24"/>
      <c r="O45" s="24"/>
    </row>
    <row r="46" spans="5:15" s="22" customFormat="1" x14ac:dyDescent="0.25">
      <c r="E46" s="233"/>
      <c r="F46" s="233"/>
      <c r="G46" s="233"/>
      <c r="H46" s="237"/>
      <c r="I46" s="53"/>
      <c r="J46" s="237"/>
      <c r="K46" s="24"/>
      <c r="L46" s="24"/>
      <c r="M46" s="24"/>
      <c r="N46" s="24"/>
      <c r="O46" s="24"/>
    </row>
    <row r="47" spans="5:15" s="22" customFormat="1" x14ac:dyDescent="0.25">
      <c r="E47" s="233"/>
      <c r="F47" s="233"/>
      <c r="G47" s="233"/>
      <c r="H47" s="237"/>
      <c r="I47" s="53"/>
      <c r="J47" s="237"/>
      <c r="K47" s="24"/>
      <c r="L47" s="24"/>
      <c r="M47" s="24"/>
      <c r="N47" s="24"/>
      <c r="O47" s="24"/>
    </row>
    <row r="48" spans="5:15" s="22" customFormat="1" x14ac:dyDescent="0.25">
      <c r="E48" s="233"/>
      <c r="F48" s="233"/>
      <c r="G48" s="233"/>
      <c r="H48" s="237"/>
      <c r="I48" s="53"/>
      <c r="J48" s="237"/>
      <c r="K48" s="24"/>
      <c r="L48" s="24"/>
      <c r="M48" s="24"/>
      <c r="N48" s="24"/>
      <c r="O48" s="24"/>
    </row>
    <row r="49" spans="5:15" s="22" customFormat="1" x14ac:dyDescent="0.25">
      <c r="E49" s="233"/>
      <c r="F49" s="233"/>
      <c r="G49" s="233"/>
      <c r="H49" s="237"/>
      <c r="I49" s="53"/>
      <c r="J49" s="237"/>
      <c r="K49" s="24"/>
      <c r="L49" s="24"/>
      <c r="M49" s="24"/>
      <c r="N49" s="24"/>
      <c r="O49" s="24"/>
    </row>
    <row r="50" spans="5:15" s="22" customFormat="1" x14ac:dyDescent="0.25">
      <c r="E50" s="233"/>
      <c r="F50" s="233"/>
      <c r="G50" s="233"/>
      <c r="H50" s="237"/>
      <c r="I50" s="53"/>
      <c r="J50" s="237"/>
      <c r="K50" s="24"/>
      <c r="L50" s="24"/>
      <c r="M50" s="24"/>
      <c r="N50" s="24"/>
      <c r="O50" s="24"/>
    </row>
    <row r="51" spans="5:15" s="22" customFormat="1" x14ac:dyDescent="0.25">
      <c r="E51" s="233"/>
      <c r="F51" s="233"/>
      <c r="G51" s="233"/>
      <c r="H51" s="237"/>
      <c r="I51" s="53"/>
      <c r="J51" s="237"/>
      <c r="K51" s="24"/>
      <c r="L51" s="24"/>
      <c r="M51" s="24"/>
      <c r="N51" s="24"/>
      <c r="O51" s="24"/>
    </row>
    <row r="52" spans="5:15" s="22" customFormat="1" x14ac:dyDescent="0.25">
      <c r="E52" s="233"/>
      <c r="F52" s="233"/>
      <c r="G52" s="233"/>
      <c r="H52" s="237"/>
      <c r="I52" s="53"/>
      <c r="J52" s="237"/>
      <c r="K52" s="24"/>
      <c r="L52" s="24"/>
      <c r="M52" s="24"/>
      <c r="N52" s="24"/>
      <c r="O52" s="24"/>
    </row>
    <row r="53" spans="5:15" s="22" customFormat="1" x14ac:dyDescent="0.25">
      <c r="E53" s="233"/>
      <c r="F53" s="233"/>
      <c r="G53" s="233"/>
      <c r="H53" s="237"/>
      <c r="I53" s="53"/>
      <c r="J53" s="237"/>
      <c r="K53" s="24"/>
      <c r="L53" s="24"/>
      <c r="M53" s="24"/>
      <c r="N53" s="24"/>
      <c r="O53" s="24"/>
    </row>
    <row r="54" spans="5:15" s="22" customFormat="1" x14ac:dyDescent="0.25">
      <c r="E54" s="233"/>
      <c r="F54" s="233"/>
      <c r="G54" s="233"/>
      <c r="H54" s="237"/>
      <c r="I54" s="53"/>
      <c r="J54" s="237"/>
      <c r="K54" s="24"/>
      <c r="L54" s="24"/>
      <c r="M54" s="24"/>
      <c r="N54" s="24"/>
      <c r="O54" s="24"/>
    </row>
    <row r="55" spans="5:15" s="22" customFormat="1" x14ac:dyDescent="0.25">
      <c r="E55" s="233"/>
      <c r="F55" s="233"/>
      <c r="G55" s="233"/>
      <c r="H55" s="237"/>
      <c r="I55" s="53"/>
      <c r="J55" s="237"/>
      <c r="K55" s="24"/>
      <c r="L55" s="24"/>
      <c r="M55" s="24"/>
      <c r="N55" s="24"/>
      <c r="O55" s="24"/>
    </row>
    <row r="56" spans="5:15" s="22" customFormat="1" x14ac:dyDescent="0.25">
      <c r="E56" s="233"/>
      <c r="F56" s="233"/>
      <c r="G56" s="233"/>
      <c r="H56" s="237"/>
      <c r="I56" s="53"/>
      <c r="J56" s="237"/>
      <c r="K56" s="24"/>
      <c r="L56" s="24"/>
      <c r="M56" s="24"/>
      <c r="N56" s="24"/>
      <c r="O56" s="24"/>
    </row>
    <row r="57" spans="5:15" s="22" customFormat="1" x14ac:dyDescent="0.25">
      <c r="E57" s="233"/>
      <c r="F57" s="233"/>
      <c r="G57" s="233"/>
      <c r="H57" s="237"/>
      <c r="I57" s="53"/>
      <c r="J57" s="237"/>
      <c r="K57" s="24"/>
      <c r="L57" s="24"/>
      <c r="M57" s="24"/>
      <c r="N57" s="24"/>
      <c r="O57" s="24"/>
    </row>
    <row r="58" spans="5:15" s="22" customFormat="1" x14ac:dyDescent="0.25">
      <c r="E58" s="233"/>
      <c r="F58" s="233"/>
      <c r="G58" s="233"/>
      <c r="H58" s="237"/>
      <c r="I58" s="53"/>
      <c r="J58" s="237"/>
      <c r="K58" s="24"/>
      <c r="L58" s="24"/>
      <c r="M58" s="24"/>
      <c r="N58" s="24"/>
      <c r="O58" s="24"/>
    </row>
    <row r="59" spans="5:15" s="22" customFormat="1" x14ac:dyDescent="0.25">
      <c r="E59" s="233"/>
      <c r="F59" s="233"/>
      <c r="G59" s="233"/>
      <c r="H59" s="237"/>
      <c r="I59" s="53"/>
      <c r="J59" s="237"/>
      <c r="K59" s="24"/>
      <c r="L59" s="24"/>
      <c r="M59" s="24"/>
      <c r="N59" s="24"/>
      <c r="O59" s="24"/>
    </row>
    <row r="60" spans="5:15" s="22" customFormat="1" x14ac:dyDescent="0.25">
      <c r="E60" s="233"/>
      <c r="F60" s="233"/>
      <c r="G60" s="233"/>
      <c r="H60" s="237"/>
      <c r="I60" s="53"/>
      <c r="J60" s="237"/>
      <c r="K60" s="24"/>
      <c r="L60" s="24"/>
      <c r="M60" s="24"/>
      <c r="N60" s="24"/>
      <c r="O60" s="24"/>
    </row>
    <row r="61" spans="5:15" s="22" customFormat="1" x14ac:dyDescent="0.25">
      <c r="E61" s="233"/>
      <c r="F61" s="233"/>
      <c r="G61" s="233"/>
      <c r="H61" s="237"/>
      <c r="I61" s="53"/>
      <c r="J61" s="237"/>
      <c r="K61" s="24"/>
      <c r="L61" s="24"/>
      <c r="M61" s="24"/>
      <c r="N61" s="24"/>
      <c r="O61" s="24"/>
    </row>
    <row r="62" spans="5:15" s="22" customFormat="1" x14ac:dyDescent="0.25">
      <c r="E62" s="233"/>
      <c r="F62" s="233"/>
      <c r="G62" s="233"/>
      <c r="H62" s="237"/>
      <c r="I62" s="53"/>
      <c r="J62" s="237"/>
      <c r="K62" s="24"/>
      <c r="L62" s="24"/>
      <c r="M62" s="24"/>
      <c r="N62" s="24"/>
      <c r="O62" s="24"/>
    </row>
    <row r="63" spans="5:15" s="22" customFormat="1" x14ac:dyDescent="0.25">
      <c r="E63" s="233"/>
      <c r="F63" s="233"/>
      <c r="G63" s="233"/>
      <c r="H63" s="237"/>
      <c r="I63" s="53"/>
      <c r="J63" s="237"/>
      <c r="K63" s="24"/>
      <c r="L63" s="24"/>
      <c r="M63" s="24"/>
      <c r="N63" s="24"/>
      <c r="O63" s="24"/>
    </row>
    <row r="64" spans="5:15" s="22" customFormat="1" x14ac:dyDescent="0.25">
      <c r="E64" s="233"/>
      <c r="F64" s="233"/>
      <c r="G64" s="233"/>
      <c r="H64" s="237"/>
      <c r="I64" s="53"/>
      <c r="J64" s="237"/>
      <c r="K64" s="24"/>
      <c r="L64" s="24"/>
      <c r="M64" s="24"/>
      <c r="N64" s="24"/>
      <c r="O64" s="24"/>
    </row>
    <row r="65" spans="5:15" s="22" customFormat="1" x14ac:dyDescent="0.25">
      <c r="E65" s="233"/>
      <c r="F65" s="233"/>
      <c r="G65" s="233"/>
      <c r="H65" s="237"/>
      <c r="I65" s="53"/>
      <c r="J65" s="237"/>
      <c r="K65" s="24"/>
      <c r="L65" s="24"/>
      <c r="M65" s="24"/>
      <c r="N65" s="24"/>
      <c r="O65" s="24"/>
    </row>
    <row r="66" spans="5:15" s="22" customFormat="1" x14ac:dyDescent="0.25">
      <c r="E66" s="233"/>
      <c r="F66" s="233"/>
      <c r="G66" s="233"/>
      <c r="H66" s="237"/>
      <c r="I66" s="53"/>
      <c r="J66" s="237"/>
      <c r="K66" s="24"/>
      <c r="L66" s="24"/>
      <c r="M66" s="24"/>
      <c r="N66" s="24"/>
      <c r="O66" s="24"/>
    </row>
    <row r="67" spans="5:15" s="22" customFormat="1" x14ac:dyDescent="0.25">
      <c r="E67" s="233"/>
      <c r="F67" s="233"/>
      <c r="G67" s="233"/>
      <c r="H67" s="237"/>
      <c r="I67" s="53"/>
      <c r="J67" s="237"/>
      <c r="K67" s="24"/>
      <c r="L67" s="24"/>
      <c r="M67" s="24"/>
      <c r="N67" s="24"/>
      <c r="O67" s="24"/>
    </row>
    <row r="68" spans="5:15" s="22" customFormat="1" x14ac:dyDescent="0.25">
      <c r="E68" s="233"/>
      <c r="F68" s="233"/>
      <c r="G68" s="233"/>
      <c r="H68" s="237"/>
      <c r="I68" s="53"/>
      <c r="J68" s="237"/>
      <c r="K68" s="24"/>
      <c r="L68" s="24"/>
      <c r="M68" s="24"/>
      <c r="N68" s="24"/>
      <c r="O68" s="24"/>
    </row>
    <row r="69" spans="5:15" s="22" customFormat="1" x14ac:dyDescent="0.25">
      <c r="E69" s="233"/>
      <c r="F69" s="233"/>
      <c r="G69" s="233"/>
      <c r="H69" s="237"/>
      <c r="I69" s="53"/>
      <c r="J69" s="237"/>
      <c r="K69" s="24"/>
      <c r="L69" s="24"/>
      <c r="M69" s="24"/>
      <c r="N69" s="24"/>
      <c r="O69" s="24"/>
    </row>
    <row r="70" spans="5:15" s="22" customFormat="1" x14ac:dyDescent="0.25">
      <c r="E70" s="233"/>
      <c r="F70" s="233"/>
      <c r="G70" s="233"/>
      <c r="H70" s="237"/>
      <c r="I70" s="53"/>
      <c r="J70" s="237"/>
      <c r="K70" s="24"/>
      <c r="L70" s="24"/>
      <c r="M70" s="24"/>
      <c r="N70" s="24"/>
      <c r="O70" s="24"/>
    </row>
    <row r="71" spans="5:15" s="22" customFormat="1" x14ac:dyDescent="0.25">
      <c r="E71" s="233"/>
      <c r="F71" s="233"/>
      <c r="G71" s="233"/>
      <c r="H71" s="237"/>
      <c r="I71" s="53"/>
      <c r="J71" s="237"/>
      <c r="K71" s="24"/>
      <c r="L71" s="24"/>
      <c r="M71" s="24"/>
      <c r="N71" s="24"/>
      <c r="O71" s="24"/>
    </row>
    <row r="72" spans="5:15" s="22" customFormat="1" x14ac:dyDescent="0.25">
      <c r="E72" s="233"/>
      <c r="F72" s="233"/>
      <c r="G72" s="233"/>
      <c r="H72" s="237"/>
      <c r="I72" s="53"/>
      <c r="J72" s="237"/>
      <c r="K72" s="24"/>
      <c r="L72" s="24"/>
      <c r="M72" s="24"/>
      <c r="N72" s="24"/>
      <c r="O72" s="24"/>
    </row>
    <row r="73" spans="5:15" s="22" customFormat="1" x14ac:dyDescent="0.25">
      <c r="E73" s="233"/>
      <c r="F73" s="233"/>
      <c r="G73" s="233"/>
      <c r="H73" s="237"/>
      <c r="I73" s="53"/>
      <c r="J73" s="237"/>
      <c r="K73" s="24"/>
      <c r="L73" s="24"/>
      <c r="M73" s="24"/>
      <c r="N73" s="24"/>
      <c r="O73" s="24"/>
    </row>
    <row r="74" spans="5:15" s="22" customFormat="1" x14ac:dyDescent="0.25">
      <c r="E74" s="233"/>
      <c r="F74" s="233"/>
      <c r="G74" s="233"/>
      <c r="H74" s="237"/>
      <c r="I74" s="53"/>
      <c r="J74" s="237"/>
      <c r="K74" s="24"/>
      <c r="L74" s="24"/>
      <c r="M74" s="24"/>
      <c r="N74" s="24"/>
      <c r="O74" s="24"/>
    </row>
    <row r="75" spans="5:15" s="22" customFormat="1" x14ac:dyDescent="0.25">
      <c r="E75" s="233"/>
      <c r="F75" s="233"/>
      <c r="G75" s="233"/>
      <c r="H75" s="237"/>
      <c r="I75" s="53"/>
      <c r="J75" s="237"/>
      <c r="K75" s="24"/>
      <c r="L75" s="24"/>
      <c r="M75" s="24"/>
      <c r="N75" s="24"/>
      <c r="O75" s="24"/>
    </row>
    <row r="76" spans="5:15" s="22" customFormat="1" x14ac:dyDescent="0.25">
      <c r="E76" s="233"/>
      <c r="F76" s="233"/>
      <c r="G76" s="233"/>
      <c r="H76" s="237"/>
      <c r="I76" s="53"/>
      <c r="J76" s="237"/>
      <c r="K76" s="24"/>
      <c r="L76" s="24"/>
      <c r="M76" s="24"/>
      <c r="N76" s="24"/>
      <c r="O76" s="24"/>
    </row>
    <row r="77" spans="5:15" s="22" customFormat="1" x14ac:dyDescent="0.25">
      <c r="E77" s="233"/>
      <c r="F77" s="233"/>
      <c r="G77" s="233"/>
      <c r="H77" s="237"/>
      <c r="I77" s="53"/>
      <c r="J77" s="237"/>
      <c r="K77" s="24"/>
      <c r="L77" s="24"/>
      <c r="M77" s="24"/>
      <c r="N77" s="24"/>
      <c r="O77" s="24"/>
    </row>
    <row r="78" spans="5:15" s="22" customFormat="1" x14ac:dyDescent="0.25">
      <c r="E78" s="233"/>
      <c r="F78" s="233"/>
      <c r="G78" s="233"/>
      <c r="H78" s="237"/>
      <c r="I78" s="53"/>
      <c r="J78" s="237"/>
      <c r="K78" s="24"/>
      <c r="L78" s="24"/>
      <c r="M78" s="24"/>
      <c r="N78" s="24"/>
      <c r="O78" s="24"/>
    </row>
    <row r="79" spans="5:15" s="22" customFormat="1" x14ac:dyDescent="0.25">
      <c r="E79" s="233"/>
      <c r="F79" s="233"/>
      <c r="G79" s="233"/>
      <c r="H79" s="237"/>
      <c r="I79" s="53"/>
      <c r="J79" s="237"/>
      <c r="K79" s="24"/>
      <c r="L79" s="24"/>
      <c r="M79" s="24"/>
      <c r="N79" s="24"/>
      <c r="O79" s="24"/>
    </row>
    <row r="80" spans="5:15" s="22" customFormat="1" x14ac:dyDescent="0.25">
      <c r="E80" s="233"/>
      <c r="F80" s="233"/>
      <c r="G80" s="233"/>
      <c r="H80" s="237"/>
      <c r="I80" s="53"/>
      <c r="J80" s="237"/>
      <c r="K80" s="24"/>
      <c r="L80" s="24"/>
      <c r="M80" s="24"/>
      <c r="N80" s="24"/>
      <c r="O80" s="24"/>
    </row>
    <row r="81" spans="5:15" s="22" customFormat="1" x14ac:dyDescent="0.25">
      <c r="E81" s="233"/>
      <c r="F81" s="233"/>
      <c r="G81" s="233"/>
      <c r="H81" s="237"/>
      <c r="I81" s="53"/>
      <c r="J81" s="237"/>
      <c r="K81" s="24"/>
      <c r="L81" s="24"/>
      <c r="M81" s="24"/>
      <c r="N81" s="24"/>
      <c r="O81" s="24"/>
    </row>
    <row r="82" spans="5:15" s="22" customFormat="1" x14ac:dyDescent="0.25">
      <c r="E82" s="233"/>
      <c r="F82" s="233"/>
      <c r="G82" s="233"/>
      <c r="H82" s="237"/>
      <c r="I82" s="53"/>
      <c r="J82" s="237"/>
      <c r="K82" s="24"/>
      <c r="L82" s="24"/>
      <c r="M82" s="24"/>
      <c r="N82" s="24"/>
      <c r="O82" s="24"/>
    </row>
    <row r="83" spans="5:15" s="22" customFormat="1" x14ac:dyDescent="0.25">
      <c r="E83" s="233"/>
      <c r="F83" s="233"/>
      <c r="G83" s="233"/>
      <c r="H83" s="237"/>
      <c r="I83" s="53"/>
      <c r="J83" s="237"/>
      <c r="K83" s="24"/>
      <c r="L83" s="24"/>
      <c r="M83" s="24"/>
      <c r="N83" s="24"/>
      <c r="O83" s="24"/>
    </row>
    <row r="84" spans="5:15" s="22" customFormat="1" x14ac:dyDescent="0.25">
      <c r="E84" s="233"/>
      <c r="F84" s="233"/>
      <c r="G84" s="233"/>
      <c r="H84" s="237"/>
      <c r="I84" s="53"/>
      <c r="J84" s="237"/>
      <c r="K84" s="24"/>
      <c r="L84" s="24"/>
      <c r="M84" s="24"/>
      <c r="N84" s="24"/>
      <c r="O84" s="24"/>
    </row>
    <row r="85" spans="5:15" s="22" customFormat="1" x14ac:dyDescent="0.25">
      <c r="E85" s="233"/>
      <c r="F85" s="233"/>
      <c r="G85" s="233"/>
      <c r="H85" s="237"/>
      <c r="I85" s="53"/>
      <c r="J85" s="237"/>
      <c r="K85" s="24"/>
      <c r="L85" s="24"/>
      <c r="M85" s="24"/>
      <c r="N85" s="24"/>
      <c r="O85" s="24"/>
    </row>
    <row r="86" spans="5:15" s="22" customFormat="1" x14ac:dyDescent="0.25">
      <c r="E86" s="233"/>
      <c r="F86" s="233"/>
      <c r="G86" s="233"/>
      <c r="H86" s="237"/>
      <c r="I86" s="53"/>
      <c r="J86" s="237"/>
      <c r="K86" s="24"/>
      <c r="L86" s="24"/>
      <c r="M86" s="24"/>
      <c r="N86" s="24"/>
      <c r="O86" s="24"/>
    </row>
    <row r="87" spans="5:15" s="22" customFormat="1" x14ac:dyDescent="0.25">
      <c r="E87" s="233"/>
      <c r="F87" s="233"/>
      <c r="G87" s="233"/>
      <c r="H87" s="237"/>
      <c r="I87" s="53"/>
      <c r="J87" s="237"/>
      <c r="K87" s="24"/>
      <c r="L87" s="24"/>
      <c r="M87" s="24"/>
      <c r="N87" s="24"/>
      <c r="O87" s="24"/>
    </row>
    <row r="88" spans="5:15" s="22" customFormat="1" x14ac:dyDescent="0.25">
      <c r="E88" s="233"/>
      <c r="F88" s="233"/>
      <c r="G88" s="233"/>
      <c r="H88" s="237"/>
      <c r="I88" s="53"/>
      <c r="J88" s="237"/>
      <c r="K88" s="24"/>
      <c r="L88" s="24"/>
      <c r="M88" s="24"/>
      <c r="N88" s="24"/>
      <c r="O88" s="24"/>
    </row>
    <row r="89" spans="5:15" s="22" customFormat="1" x14ac:dyDescent="0.25">
      <c r="E89" s="233"/>
      <c r="F89" s="233"/>
      <c r="G89" s="233"/>
      <c r="H89" s="237"/>
      <c r="I89" s="53"/>
      <c r="J89" s="237"/>
      <c r="K89" s="24"/>
      <c r="L89" s="24"/>
      <c r="M89" s="24"/>
      <c r="N89" s="24"/>
      <c r="O89" s="24"/>
    </row>
    <row r="90" spans="5:15" s="22" customFormat="1" x14ac:dyDescent="0.25">
      <c r="E90" s="233"/>
      <c r="F90" s="233"/>
      <c r="G90" s="233"/>
      <c r="H90" s="237"/>
      <c r="I90" s="53"/>
      <c r="J90" s="237"/>
      <c r="K90" s="24"/>
      <c r="L90" s="24"/>
      <c r="M90" s="24"/>
      <c r="N90" s="24"/>
      <c r="O90" s="24"/>
    </row>
    <row r="91" spans="5:15" s="22" customFormat="1" x14ac:dyDescent="0.25">
      <c r="E91" s="233"/>
      <c r="F91" s="233"/>
      <c r="G91" s="233"/>
      <c r="H91" s="237"/>
      <c r="I91" s="53"/>
      <c r="J91" s="237"/>
      <c r="K91" s="24"/>
      <c r="L91" s="24"/>
      <c r="M91" s="24"/>
      <c r="N91" s="24"/>
      <c r="O91" s="24"/>
    </row>
    <row r="92" spans="5:15" s="22" customFormat="1" x14ac:dyDescent="0.25">
      <c r="E92" s="233"/>
      <c r="F92" s="233"/>
      <c r="G92" s="233"/>
      <c r="H92" s="237"/>
      <c r="I92" s="53"/>
      <c r="J92" s="237"/>
      <c r="K92" s="24"/>
      <c r="L92" s="24"/>
      <c r="M92" s="24"/>
      <c r="N92" s="24"/>
      <c r="O92" s="24"/>
    </row>
    <row r="93" spans="5:15" s="22" customFormat="1" x14ac:dyDescent="0.25">
      <c r="E93" s="233"/>
      <c r="F93" s="233"/>
      <c r="G93" s="233"/>
      <c r="H93" s="237"/>
      <c r="I93" s="53"/>
      <c r="J93" s="237"/>
      <c r="K93" s="24"/>
      <c r="L93" s="24"/>
      <c r="M93" s="24"/>
      <c r="N93" s="24"/>
      <c r="O93" s="24"/>
    </row>
    <row r="94" spans="5:15" s="22" customFormat="1" x14ac:dyDescent="0.25">
      <c r="E94" s="233"/>
      <c r="F94" s="233"/>
      <c r="G94" s="233"/>
      <c r="H94" s="237"/>
      <c r="I94" s="53"/>
      <c r="J94" s="237"/>
      <c r="K94" s="24"/>
      <c r="L94" s="24"/>
      <c r="M94" s="24"/>
      <c r="N94" s="24"/>
      <c r="O94" s="24"/>
    </row>
    <row r="95" spans="5:15" s="22" customFormat="1" x14ac:dyDescent="0.25">
      <c r="E95" s="233"/>
      <c r="F95" s="233"/>
      <c r="G95" s="233"/>
      <c r="H95" s="237"/>
      <c r="I95" s="53"/>
      <c r="J95" s="237"/>
      <c r="K95" s="24"/>
      <c r="L95" s="24"/>
      <c r="M95" s="24"/>
      <c r="N95" s="24"/>
      <c r="O95" s="24"/>
    </row>
    <row r="96" spans="5:15" s="22" customFormat="1" x14ac:dyDescent="0.25">
      <c r="E96" s="233"/>
      <c r="F96" s="233"/>
      <c r="G96" s="233"/>
      <c r="H96" s="237"/>
      <c r="I96" s="53"/>
      <c r="J96" s="237"/>
      <c r="K96" s="24"/>
      <c r="L96" s="24"/>
      <c r="M96" s="24"/>
      <c r="N96" s="24"/>
      <c r="O96" s="24"/>
    </row>
    <row r="97" spans="5:15" s="22" customFormat="1" x14ac:dyDescent="0.25">
      <c r="E97" s="233"/>
      <c r="F97" s="233"/>
      <c r="G97" s="233"/>
      <c r="H97" s="237"/>
      <c r="I97" s="53"/>
      <c r="J97" s="237"/>
      <c r="K97" s="24"/>
      <c r="L97" s="24"/>
      <c r="M97" s="24"/>
      <c r="N97" s="24"/>
      <c r="O97" s="24"/>
    </row>
    <row r="98" spans="5:15" s="22" customFormat="1" x14ac:dyDescent="0.25">
      <c r="E98" s="233"/>
      <c r="F98" s="233"/>
      <c r="G98" s="233"/>
      <c r="H98" s="237"/>
      <c r="I98" s="53"/>
      <c r="J98" s="237"/>
      <c r="K98" s="24"/>
      <c r="L98" s="24"/>
      <c r="M98" s="24"/>
      <c r="N98" s="24"/>
      <c r="O98" s="24"/>
    </row>
    <row r="99" spans="5:15" s="22" customFormat="1" x14ac:dyDescent="0.25">
      <c r="E99" s="233"/>
      <c r="F99" s="233"/>
      <c r="G99" s="233"/>
      <c r="H99" s="237"/>
      <c r="I99" s="53"/>
      <c r="J99" s="237"/>
      <c r="K99" s="24"/>
      <c r="L99" s="24"/>
      <c r="M99" s="24"/>
      <c r="N99" s="24"/>
      <c r="O99" s="24"/>
    </row>
    <row r="100" spans="5:15" s="22" customFormat="1" x14ac:dyDescent="0.25">
      <c r="E100" s="233"/>
      <c r="F100" s="233"/>
      <c r="G100" s="233"/>
      <c r="H100" s="237"/>
      <c r="I100" s="53"/>
      <c r="J100" s="237"/>
      <c r="K100" s="24"/>
      <c r="L100" s="24"/>
      <c r="M100" s="24"/>
      <c r="N100" s="24"/>
      <c r="O100" s="24"/>
    </row>
    <row r="101" spans="5:15" s="22" customFormat="1" x14ac:dyDescent="0.25">
      <c r="E101" s="233"/>
      <c r="F101" s="233"/>
      <c r="G101" s="233"/>
      <c r="H101" s="237"/>
      <c r="I101" s="53"/>
      <c r="J101" s="237"/>
      <c r="K101" s="24"/>
      <c r="L101" s="24"/>
      <c r="M101" s="24"/>
      <c r="N101" s="24"/>
      <c r="O101" s="24"/>
    </row>
    <row r="102" spans="5:15" s="22" customFormat="1" x14ac:dyDescent="0.25">
      <c r="E102" s="233"/>
      <c r="F102" s="233"/>
      <c r="G102" s="233"/>
      <c r="H102" s="237"/>
      <c r="I102" s="53"/>
      <c r="J102" s="237"/>
      <c r="K102" s="24"/>
      <c r="L102" s="24"/>
      <c r="M102" s="24"/>
      <c r="N102" s="24"/>
      <c r="O102" s="24"/>
    </row>
    <row r="103" spans="5:15" s="22" customFormat="1" x14ac:dyDescent="0.25">
      <c r="E103" s="233"/>
      <c r="F103" s="233"/>
      <c r="G103" s="233"/>
      <c r="H103" s="237"/>
      <c r="I103" s="53"/>
      <c r="J103" s="237"/>
      <c r="K103" s="24"/>
      <c r="L103" s="24"/>
      <c r="M103" s="24"/>
      <c r="N103" s="24"/>
      <c r="O103" s="24"/>
    </row>
    <row r="104" spans="5:15" s="22" customFormat="1" x14ac:dyDescent="0.25">
      <c r="E104" s="233"/>
      <c r="F104" s="233"/>
      <c r="G104" s="233"/>
      <c r="H104" s="237"/>
      <c r="I104" s="53"/>
      <c r="J104" s="237"/>
      <c r="K104" s="24"/>
      <c r="L104" s="24"/>
      <c r="M104" s="24"/>
      <c r="N104" s="24"/>
      <c r="O104" s="24"/>
    </row>
    <row r="105" spans="5:15" s="22" customFormat="1" x14ac:dyDescent="0.25">
      <c r="E105" s="233"/>
      <c r="F105" s="233"/>
      <c r="G105" s="233"/>
      <c r="H105" s="237"/>
      <c r="I105" s="53"/>
      <c r="J105" s="237"/>
      <c r="K105" s="24"/>
      <c r="L105" s="24"/>
      <c r="M105" s="24"/>
      <c r="N105" s="24"/>
      <c r="O105" s="24"/>
    </row>
    <row r="106" spans="5:15" s="22" customFormat="1" x14ac:dyDescent="0.25">
      <c r="E106" s="233"/>
      <c r="F106" s="233"/>
      <c r="G106" s="233"/>
      <c r="H106" s="237"/>
      <c r="I106" s="53"/>
      <c r="J106" s="237"/>
      <c r="K106" s="24"/>
      <c r="L106" s="24"/>
      <c r="M106" s="24"/>
      <c r="N106" s="24"/>
      <c r="O106" s="24"/>
    </row>
    <row r="107" spans="5:15" s="22" customFormat="1" x14ac:dyDescent="0.25">
      <c r="E107" s="233"/>
      <c r="F107" s="233"/>
      <c r="G107" s="233"/>
      <c r="H107" s="237"/>
      <c r="I107" s="53"/>
      <c r="J107" s="237"/>
      <c r="K107" s="24"/>
      <c r="L107" s="24"/>
      <c r="M107" s="24"/>
      <c r="N107" s="24"/>
      <c r="O107" s="24"/>
    </row>
    <row r="108" spans="5:15" s="22" customFormat="1" x14ac:dyDescent="0.25">
      <c r="E108" s="233"/>
      <c r="F108" s="233"/>
      <c r="G108" s="233"/>
      <c r="H108" s="237"/>
      <c r="I108" s="53"/>
      <c r="J108" s="237"/>
      <c r="K108" s="24"/>
      <c r="L108" s="24"/>
      <c r="M108" s="24"/>
      <c r="N108" s="24"/>
      <c r="O108" s="24"/>
    </row>
    <row r="109" spans="5:15" s="22" customFormat="1" x14ac:dyDescent="0.25">
      <c r="E109" s="233"/>
      <c r="F109" s="233"/>
      <c r="G109" s="233"/>
      <c r="H109" s="237"/>
      <c r="I109" s="53"/>
      <c r="J109" s="237"/>
      <c r="K109" s="24"/>
      <c r="L109" s="24"/>
      <c r="M109" s="24"/>
      <c r="N109" s="24"/>
      <c r="O109" s="24"/>
    </row>
    <row r="110" spans="5:15" s="22" customFormat="1" x14ac:dyDescent="0.25">
      <c r="E110" s="233"/>
      <c r="F110" s="233"/>
      <c r="G110" s="233"/>
      <c r="H110" s="237"/>
      <c r="I110" s="53"/>
      <c r="J110" s="237"/>
      <c r="K110" s="24"/>
      <c r="L110" s="24"/>
      <c r="M110" s="24"/>
      <c r="N110" s="24"/>
      <c r="O110" s="24"/>
    </row>
    <row r="111" spans="5:15" s="22" customFormat="1" x14ac:dyDescent="0.25">
      <c r="E111" s="233"/>
      <c r="F111" s="233"/>
      <c r="G111" s="233"/>
      <c r="H111" s="237"/>
      <c r="I111" s="53"/>
      <c r="J111" s="237"/>
      <c r="K111" s="24"/>
      <c r="L111" s="24"/>
      <c r="M111" s="24"/>
      <c r="N111" s="24"/>
      <c r="O111" s="24"/>
    </row>
    <row r="112" spans="5:15" s="22" customFormat="1" x14ac:dyDescent="0.25">
      <c r="E112" s="233"/>
      <c r="F112" s="233"/>
      <c r="G112" s="233"/>
      <c r="H112" s="237"/>
      <c r="I112" s="53"/>
      <c r="J112" s="237"/>
      <c r="K112" s="24"/>
      <c r="L112" s="24"/>
      <c r="M112" s="24"/>
      <c r="N112" s="24"/>
      <c r="O112" s="24"/>
    </row>
    <row r="113" spans="5:15" s="22" customFormat="1" x14ac:dyDescent="0.25">
      <c r="E113" s="233"/>
      <c r="F113" s="233"/>
      <c r="G113" s="233"/>
      <c r="H113" s="237"/>
      <c r="I113" s="53"/>
      <c r="J113" s="237"/>
      <c r="K113" s="24"/>
      <c r="L113" s="24"/>
      <c r="M113" s="24"/>
      <c r="N113" s="24"/>
      <c r="O113" s="24"/>
    </row>
    <row r="114" spans="5:15" s="22" customFormat="1" x14ac:dyDescent="0.25">
      <c r="E114" s="233"/>
      <c r="F114" s="233"/>
      <c r="G114" s="233"/>
      <c r="H114" s="237"/>
      <c r="I114" s="53"/>
      <c r="J114" s="237"/>
      <c r="K114" s="24"/>
      <c r="L114" s="24"/>
      <c r="M114" s="24"/>
      <c r="N114" s="24"/>
      <c r="O114" s="24"/>
    </row>
    <row r="115" spans="5:15" s="22" customFormat="1" x14ac:dyDescent="0.25">
      <c r="E115" s="233"/>
      <c r="F115" s="233"/>
      <c r="G115" s="233"/>
      <c r="H115" s="237"/>
      <c r="I115" s="53"/>
      <c r="J115" s="237"/>
      <c r="K115" s="24"/>
      <c r="L115" s="24"/>
      <c r="M115" s="24"/>
      <c r="N115" s="24"/>
      <c r="O115" s="24"/>
    </row>
    <row r="116" spans="5:15" s="22" customFormat="1" x14ac:dyDescent="0.25">
      <c r="E116" s="233"/>
      <c r="F116" s="233"/>
      <c r="G116" s="233"/>
      <c r="H116" s="237"/>
      <c r="I116" s="53"/>
      <c r="J116" s="237"/>
      <c r="K116" s="24"/>
      <c r="L116" s="24"/>
      <c r="M116" s="24"/>
      <c r="N116" s="24"/>
      <c r="O116" s="24"/>
    </row>
    <row r="117" spans="5:15" s="22" customFormat="1" x14ac:dyDescent="0.25">
      <c r="E117" s="233"/>
      <c r="F117" s="233"/>
      <c r="G117" s="233"/>
      <c r="H117" s="237"/>
      <c r="I117" s="53"/>
      <c r="J117" s="237"/>
      <c r="K117" s="24"/>
      <c r="L117" s="24"/>
      <c r="M117" s="24"/>
      <c r="N117" s="24"/>
      <c r="O117" s="24"/>
    </row>
    <row r="118" spans="5:15" s="22" customFormat="1" x14ac:dyDescent="0.25">
      <c r="E118" s="233"/>
      <c r="F118" s="233"/>
      <c r="G118" s="233"/>
      <c r="H118" s="237"/>
      <c r="I118" s="53"/>
      <c r="J118" s="237"/>
      <c r="K118" s="24"/>
      <c r="L118" s="24"/>
      <c r="M118" s="24"/>
      <c r="N118" s="24"/>
      <c r="O118" s="24"/>
    </row>
    <row r="119" spans="5:15" s="22" customFormat="1" x14ac:dyDescent="0.25">
      <c r="E119" s="233"/>
      <c r="F119" s="233"/>
      <c r="G119" s="233"/>
      <c r="H119" s="237"/>
      <c r="I119" s="53"/>
      <c r="J119" s="237"/>
      <c r="K119" s="24"/>
      <c r="L119" s="24"/>
      <c r="M119" s="24"/>
      <c r="N119" s="24"/>
      <c r="O119" s="24"/>
    </row>
    <row r="120" spans="5:15" s="22" customFormat="1" x14ac:dyDescent="0.25">
      <c r="E120" s="233"/>
      <c r="F120" s="233"/>
      <c r="G120" s="233"/>
      <c r="H120" s="237"/>
      <c r="I120" s="53"/>
      <c r="J120" s="237"/>
      <c r="K120" s="24"/>
      <c r="L120" s="24"/>
      <c r="M120" s="24"/>
      <c r="N120" s="24"/>
      <c r="O120" s="24"/>
    </row>
    <row r="121" spans="5:15" s="22" customFormat="1" x14ac:dyDescent="0.25">
      <c r="E121" s="233"/>
      <c r="F121" s="233"/>
      <c r="G121" s="233"/>
      <c r="H121" s="237"/>
      <c r="I121" s="53"/>
      <c r="J121" s="237"/>
      <c r="K121" s="24"/>
      <c r="L121" s="24"/>
      <c r="M121" s="24"/>
      <c r="N121" s="24"/>
      <c r="O121" s="24"/>
    </row>
    <row r="122" spans="5:15" s="22" customFormat="1" x14ac:dyDescent="0.25">
      <c r="E122" s="233"/>
      <c r="F122" s="233"/>
      <c r="G122" s="233"/>
      <c r="H122" s="237"/>
      <c r="I122" s="53"/>
      <c r="J122" s="237"/>
      <c r="K122" s="24"/>
      <c r="L122" s="24"/>
      <c r="M122" s="24"/>
      <c r="N122" s="24"/>
      <c r="O122" s="24"/>
    </row>
    <row r="123" spans="5:15" s="22" customFormat="1" x14ac:dyDescent="0.25">
      <c r="E123" s="233"/>
      <c r="F123" s="233"/>
      <c r="G123" s="233"/>
      <c r="H123" s="237"/>
      <c r="I123" s="53"/>
      <c r="J123" s="237"/>
      <c r="K123" s="24"/>
      <c r="L123" s="24"/>
      <c r="M123" s="24"/>
      <c r="N123" s="24"/>
      <c r="O123" s="24"/>
    </row>
    <row r="124" spans="5:15" s="22" customFormat="1" x14ac:dyDescent="0.25">
      <c r="E124" s="233"/>
      <c r="F124" s="233"/>
      <c r="G124" s="233"/>
      <c r="H124" s="237"/>
      <c r="I124" s="53"/>
      <c r="J124" s="237"/>
      <c r="K124" s="24"/>
      <c r="L124" s="24"/>
      <c r="M124" s="24"/>
      <c r="N124" s="24"/>
      <c r="O124" s="24"/>
    </row>
    <row r="125" spans="5:15" s="22" customFormat="1" x14ac:dyDescent="0.25">
      <c r="E125" s="233"/>
      <c r="F125" s="233"/>
      <c r="G125" s="233"/>
      <c r="H125" s="237"/>
      <c r="I125" s="53"/>
      <c r="J125" s="237"/>
      <c r="K125" s="24"/>
      <c r="L125" s="24"/>
      <c r="M125" s="24"/>
      <c r="N125" s="24"/>
      <c r="O125" s="24"/>
    </row>
    <row r="126" spans="5:15" s="22" customFormat="1" x14ac:dyDescent="0.25">
      <c r="E126" s="233"/>
      <c r="F126" s="233"/>
      <c r="G126" s="233"/>
      <c r="H126" s="237"/>
      <c r="I126" s="53"/>
      <c r="J126" s="237"/>
      <c r="K126" s="24"/>
      <c r="L126" s="24"/>
      <c r="M126" s="24"/>
      <c r="N126" s="24"/>
      <c r="O126" s="24"/>
    </row>
    <row r="127" spans="5:15" s="22" customFormat="1" x14ac:dyDescent="0.25">
      <c r="E127" s="233"/>
      <c r="F127" s="233"/>
      <c r="G127" s="233"/>
      <c r="H127" s="237"/>
      <c r="I127" s="53"/>
      <c r="J127" s="237"/>
      <c r="K127" s="24"/>
      <c r="L127" s="24"/>
      <c r="M127" s="24"/>
      <c r="N127" s="24"/>
      <c r="O127" s="24"/>
    </row>
    <row r="128" spans="5:15" s="22" customFormat="1" x14ac:dyDescent="0.25">
      <c r="E128" s="233"/>
      <c r="F128" s="233"/>
      <c r="G128" s="233"/>
      <c r="H128" s="237"/>
      <c r="I128" s="53"/>
      <c r="J128" s="237"/>
      <c r="K128" s="24"/>
      <c r="L128" s="24"/>
      <c r="M128" s="24"/>
      <c r="N128" s="24"/>
      <c r="O128" s="24"/>
    </row>
    <row r="129" spans="5:15" s="22" customFormat="1" x14ac:dyDescent="0.25">
      <c r="E129" s="233"/>
      <c r="F129" s="233"/>
      <c r="G129" s="233"/>
      <c r="H129" s="237"/>
      <c r="I129" s="53"/>
      <c r="J129" s="237"/>
      <c r="K129" s="24"/>
      <c r="L129" s="24"/>
      <c r="M129" s="24"/>
      <c r="N129" s="24"/>
      <c r="O129" s="24"/>
    </row>
    <row r="130" spans="5:15" s="22" customFormat="1" x14ac:dyDescent="0.25">
      <c r="E130" s="233"/>
      <c r="F130" s="233"/>
      <c r="G130" s="233"/>
      <c r="H130" s="237"/>
      <c r="I130" s="53"/>
      <c r="J130" s="237"/>
      <c r="K130" s="24"/>
      <c r="L130" s="24"/>
      <c r="M130" s="24"/>
      <c r="N130" s="24"/>
      <c r="O130" s="24"/>
    </row>
    <row r="131" spans="5:15" s="22" customFormat="1" x14ac:dyDescent="0.25">
      <c r="E131" s="233"/>
      <c r="F131" s="233"/>
      <c r="G131" s="233"/>
      <c r="H131" s="237"/>
      <c r="I131" s="53"/>
      <c r="J131" s="237"/>
      <c r="K131" s="24"/>
      <c r="L131" s="24"/>
      <c r="M131" s="24"/>
      <c r="N131" s="24"/>
      <c r="O131" s="24"/>
    </row>
    <row r="132" spans="5:15" s="22" customFormat="1" x14ac:dyDescent="0.25">
      <c r="E132" s="233"/>
      <c r="F132" s="233"/>
      <c r="G132" s="233"/>
      <c r="H132" s="237"/>
      <c r="I132" s="53"/>
      <c r="J132" s="237"/>
      <c r="K132" s="24"/>
      <c r="L132" s="24"/>
      <c r="M132" s="24"/>
      <c r="N132" s="24"/>
      <c r="O132" s="24"/>
    </row>
    <row r="133" spans="5:15" s="22" customFormat="1" x14ac:dyDescent="0.25">
      <c r="E133" s="233"/>
      <c r="F133" s="233"/>
      <c r="G133" s="233"/>
      <c r="H133" s="237"/>
      <c r="I133" s="53"/>
      <c r="J133" s="237"/>
      <c r="K133" s="24"/>
      <c r="L133" s="24"/>
      <c r="M133" s="24"/>
      <c r="N133" s="24"/>
      <c r="O133" s="24"/>
    </row>
    <row r="134" spans="5:15" s="22" customFormat="1" x14ac:dyDescent="0.25">
      <c r="E134" s="233"/>
      <c r="F134" s="233"/>
      <c r="G134" s="233"/>
      <c r="H134" s="237"/>
      <c r="I134" s="53"/>
      <c r="J134" s="237"/>
      <c r="K134" s="24"/>
      <c r="L134" s="24"/>
      <c r="M134" s="24"/>
      <c r="N134" s="24"/>
      <c r="O134" s="24"/>
    </row>
    <row r="135" spans="5:15" s="22" customFormat="1" x14ac:dyDescent="0.25">
      <c r="E135" s="233"/>
      <c r="F135" s="233"/>
      <c r="G135" s="233"/>
      <c r="H135" s="237"/>
      <c r="I135" s="53"/>
      <c r="J135" s="237"/>
      <c r="K135" s="24"/>
      <c r="L135" s="24"/>
      <c r="M135" s="24"/>
      <c r="N135" s="24"/>
      <c r="O135" s="24"/>
    </row>
    <row r="136" spans="5:15" s="22" customFormat="1" x14ac:dyDescent="0.25">
      <c r="E136" s="233"/>
      <c r="F136" s="233"/>
      <c r="G136" s="233"/>
      <c r="H136" s="237"/>
      <c r="I136" s="53"/>
      <c r="J136" s="237"/>
      <c r="K136" s="24"/>
      <c r="L136" s="24"/>
      <c r="M136" s="24"/>
      <c r="N136" s="24"/>
      <c r="O136" s="24"/>
    </row>
    <row r="137" spans="5:15" s="22" customFormat="1" x14ac:dyDescent="0.25">
      <c r="E137" s="233"/>
      <c r="F137" s="233"/>
      <c r="G137" s="233"/>
      <c r="H137" s="237"/>
      <c r="I137" s="53"/>
      <c r="J137" s="237"/>
      <c r="K137" s="24"/>
      <c r="L137" s="24"/>
      <c r="M137" s="24"/>
      <c r="N137" s="24"/>
      <c r="O137" s="24"/>
    </row>
    <row r="138" spans="5:15" s="22" customFormat="1" x14ac:dyDescent="0.25">
      <c r="E138" s="233"/>
      <c r="F138" s="233"/>
      <c r="G138" s="233"/>
      <c r="H138" s="237"/>
      <c r="I138" s="53"/>
      <c r="J138" s="237"/>
      <c r="K138" s="24"/>
      <c r="L138" s="24"/>
      <c r="M138" s="24"/>
      <c r="N138" s="24"/>
      <c r="O138" s="24"/>
    </row>
    <row r="139" spans="5:15" s="22" customFormat="1" x14ac:dyDescent="0.25">
      <c r="E139" s="233"/>
      <c r="F139" s="233"/>
      <c r="G139" s="233"/>
      <c r="H139" s="237"/>
      <c r="I139" s="53"/>
      <c r="J139" s="237"/>
      <c r="K139" s="24"/>
      <c r="L139" s="24"/>
      <c r="M139" s="24"/>
      <c r="N139" s="24"/>
      <c r="O139" s="24"/>
    </row>
    <row r="140" spans="5:15" s="22" customFormat="1" x14ac:dyDescent="0.25">
      <c r="E140" s="233"/>
      <c r="F140" s="233"/>
      <c r="G140" s="233"/>
      <c r="H140" s="237"/>
      <c r="I140" s="53"/>
      <c r="J140" s="237"/>
      <c r="K140" s="24"/>
      <c r="L140" s="24"/>
      <c r="M140" s="24"/>
      <c r="N140" s="24"/>
      <c r="O140" s="24"/>
    </row>
    <row r="141" spans="5:15" s="22" customFormat="1" x14ac:dyDescent="0.25">
      <c r="E141" s="233"/>
      <c r="F141" s="233"/>
      <c r="G141" s="233"/>
      <c r="H141" s="237"/>
      <c r="I141" s="53"/>
      <c r="J141" s="237"/>
      <c r="K141" s="24"/>
      <c r="L141" s="24"/>
      <c r="M141" s="24"/>
      <c r="N141" s="24"/>
      <c r="O141" s="24"/>
    </row>
    <row r="142" spans="5:15" s="22" customFormat="1" x14ac:dyDescent="0.25">
      <c r="E142" s="233"/>
      <c r="F142" s="233"/>
      <c r="G142" s="233"/>
      <c r="H142" s="237"/>
      <c r="I142" s="53"/>
      <c r="J142" s="237"/>
      <c r="K142" s="24"/>
      <c r="L142" s="24"/>
      <c r="M142" s="24"/>
      <c r="N142" s="24"/>
      <c r="O142" s="24"/>
    </row>
    <row r="143" spans="5:15" s="22" customFormat="1" x14ac:dyDescent="0.25">
      <c r="E143" s="233"/>
      <c r="F143" s="233"/>
      <c r="G143" s="233"/>
      <c r="H143" s="237"/>
      <c r="I143" s="53"/>
      <c r="J143" s="237"/>
      <c r="K143" s="24"/>
      <c r="L143" s="24"/>
      <c r="M143" s="24"/>
      <c r="N143" s="24"/>
      <c r="O143" s="24"/>
    </row>
    <row r="144" spans="5:15" s="22" customFormat="1" x14ac:dyDescent="0.25">
      <c r="E144" s="233"/>
      <c r="F144" s="233"/>
      <c r="G144" s="233"/>
      <c r="H144" s="237"/>
      <c r="I144" s="53"/>
      <c r="J144" s="237"/>
      <c r="K144" s="24"/>
      <c r="L144" s="24"/>
      <c r="M144" s="24"/>
      <c r="N144" s="24"/>
      <c r="O144" s="24"/>
    </row>
    <row r="145" spans="5:15" s="22" customFormat="1" x14ac:dyDescent="0.25">
      <c r="E145" s="233"/>
      <c r="F145" s="233"/>
      <c r="G145" s="233"/>
      <c r="H145" s="237"/>
      <c r="I145" s="53"/>
      <c r="J145" s="237"/>
      <c r="K145" s="24"/>
      <c r="L145" s="24"/>
      <c r="M145" s="24"/>
      <c r="N145" s="24"/>
      <c r="O145" s="24"/>
    </row>
    <row r="146" spans="5:15" s="22" customFormat="1" x14ac:dyDescent="0.25">
      <c r="E146" s="233"/>
      <c r="F146" s="233"/>
      <c r="G146" s="233"/>
      <c r="H146" s="237"/>
      <c r="I146" s="53"/>
      <c r="J146" s="237"/>
      <c r="K146" s="24"/>
      <c r="L146" s="24"/>
      <c r="M146" s="24"/>
      <c r="N146" s="24"/>
      <c r="O146" s="24"/>
    </row>
    <row r="147" spans="5:15" s="22" customFormat="1" x14ac:dyDescent="0.25">
      <c r="E147" s="233"/>
      <c r="F147" s="233"/>
      <c r="G147" s="233"/>
      <c r="H147" s="237"/>
      <c r="I147" s="53"/>
      <c r="J147" s="237"/>
      <c r="K147" s="24"/>
      <c r="L147" s="24"/>
      <c r="M147" s="24"/>
      <c r="N147" s="24"/>
      <c r="O147" s="24"/>
    </row>
    <row r="148" spans="5:15" s="22" customFormat="1" x14ac:dyDescent="0.25">
      <c r="E148" s="233"/>
      <c r="F148" s="233"/>
      <c r="G148" s="233"/>
      <c r="H148" s="237"/>
      <c r="I148" s="53"/>
      <c r="J148" s="237"/>
      <c r="K148" s="24"/>
      <c r="L148" s="24"/>
      <c r="M148" s="24"/>
      <c r="N148" s="24"/>
      <c r="O148" s="24"/>
    </row>
    <row r="149" spans="5:15" s="22" customFormat="1" x14ac:dyDescent="0.25">
      <c r="E149" s="233"/>
      <c r="F149" s="233"/>
      <c r="G149" s="233"/>
      <c r="H149" s="237"/>
      <c r="I149" s="53"/>
      <c r="J149" s="237"/>
      <c r="K149" s="24"/>
      <c r="L149" s="24"/>
      <c r="M149" s="24"/>
      <c r="N149" s="24"/>
      <c r="O149" s="24"/>
    </row>
    <row r="150" spans="5:15" s="22" customFormat="1" x14ac:dyDescent="0.25">
      <c r="E150" s="233"/>
      <c r="F150" s="233"/>
      <c r="G150" s="233"/>
      <c r="H150" s="237"/>
      <c r="I150" s="53"/>
      <c r="J150" s="237"/>
      <c r="K150" s="24"/>
      <c r="L150" s="24"/>
      <c r="M150" s="24"/>
      <c r="N150" s="24"/>
      <c r="O150" s="24"/>
    </row>
    <row r="151" spans="5:15" s="22" customFormat="1" x14ac:dyDescent="0.25">
      <c r="E151" s="233"/>
      <c r="F151" s="233"/>
      <c r="G151" s="233"/>
      <c r="H151" s="237"/>
      <c r="I151" s="53"/>
      <c r="J151" s="237"/>
      <c r="K151" s="24"/>
      <c r="L151" s="24"/>
      <c r="M151" s="24"/>
      <c r="N151" s="24"/>
      <c r="O151" s="24"/>
    </row>
    <row r="152" spans="5:15" s="22" customFormat="1" x14ac:dyDescent="0.25">
      <c r="E152" s="233"/>
      <c r="F152" s="233"/>
      <c r="G152" s="233"/>
      <c r="H152" s="237"/>
      <c r="I152" s="53"/>
      <c r="J152" s="237"/>
      <c r="K152" s="24"/>
      <c r="L152" s="24"/>
      <c r="M152" s="24"/>
      <c r="N152" s="24"/>
      <c r="O152" s="24"/>
    </row>
    <row r="153" spans="5:15" s="22" customFormat="1" x14ac:dyDescent="0.25">
      <c r="E153" s="233"/>
      <c r="F153" s="233"/>
      <c r="G153" s="233"/>
      <c r="H153" s="237"/>
      <c r="I153" s="53"/>
      <c r="J153" s="237"/>
      <c r="K153" s="24"/>
      <c r="L153" s="24"/>
      <c r="M153" s="24"/>
      <c r="N153" s="24"/>
      <c r="O153" s="24"/>
    </row>
    <row r="154" spans="5:15" s="22" customFormat="1" x14ac:dyDescent="0.25">
      <c r="E154" s="233"/>
      <c r="F154" s="233"/>
      <c r="G154" s="233"/>
      <c r="H154" s="237"/>
      <c r="I154" s="53"/>
      <c r="J154" s="237"/>
      <c r="K154" s="24"/>
      <c r="L154" s="24"/>
      <c r="M154" s="24"/>
      <c r="N154" s="24"/>
      <c r="O154" s="24"/>
    </row>
    <row r="155" spans="5:15" s="22" customFormat="1" x14ac:dyDescent="0.25">
      <c r="E155" s="233"/>
      <c r="F155" s="233"/>
      <c r="G155" s="233"/>
      <c r="H155" s="237"/>
      <c r="I155" s="53"/>
      <c r="J155" s="237"/>
      <c r="K155" s="24"/>
      <c r="L155" s="24"/>
      <c r="M155" s="24"/>
      <c r="N155" s="24"/>
      <c r="O155" s="24"/>
    </row>
    <row r="156" spans="5:15" s="22" customFormat="1" x14ac:dyDescent="0.25">
      <c r="E156" s="233"/>
      <c r="F156" s="233"/>
      <c r="G156" s="233"/>
      <c r="H156" s="237"/>
      <c r="I156" s="53"/>
      <c r="J156" s="237"/>
      <c r="K156" s="24"/>
      <c r="L156" s="24"/>
      <c r="M156" s="24"/>
      <c r="N156" s="24"/>
      <c r="O156" s="24"/>
    </row>
    <row r="157" spans="5:15" s="22" customFormat="1" x14ac:dyDescent="0.25">
      <c r="E157" s="233"/>
      <c r="F157" s="233"/>
      <c r="G157" s="233"/>
      <c r="H157" s="237"/>
      <c r="I157" s="53"/>
      <c r="J157" s="237"/>
      <c r="K157" s="24"/>
      <c r="L157" s="24"/>
      <c r="M157" s="24"/>
      <c r="N157" s="24"/>
      <c r="O157" s="24"/>
    </row>
    <row r="158" spans="5:15" s="22" customFormat="1" x14ac:dyDescent="0.25">
      <c r="E158" s="233"/>
      <c r="F158" s="233"/>
      <c r="G158" s="233"/>
      <c r="H158" s="237"/>
      <c r="I158" s="53"/>
      <c r="J158" s="237"/>
      <c r="K158" s="24"/>
      <c r="L158" s="24"/>
      <c r="M158" s="24"/>
      <c r="N158" s="24"/>
      <c r="O158" s="24"/>
    </row>
    <row r="159" spans="5:15" s="22" customFormat="1" x14ac:dyDescent="0.25">
      <c r="E159" s="233"/>
      <c r="F159" s="233"/>
      <c r="G159" s="233"/>
      <c r="H159" s="237"/>
      <c r="I159" s="53"/>
      <c r="J159" s="237"/>
      <c r="K159" s="24"/>
      <c r="L159" s="24"/>
      <c r="M159" s="24"/>
      <c r="N159" s="24"/>
      <c r="O159" s="24"/>
    </row>
    <row r="160" spans="5:15" s="22" customFormat="1" x14ac:dyDescent="0.25">
      <c r="E160" s="233"/>
      <c r="F160" s="233"/>
      <c r="G160" s="233"/>
      <c r="H160" s="237"/>
      <c r="I160" s="53"/>
      <c r="J160" s="237"/>
      <c r="K160" s="24"/>
      <c r="L160" s="24"/>
      <c r="M160" s="24"/>
      <c r="N160" s="24"/>
      <c r="O160" s="24"/>
    </row>
    <row r="161" spans="5:15" s="22" customFormat="1" x14ac:dyDescent="0.25">
      <c r="E161" s="233"/>
      <c r="F161" s="233"/>
      <c r="G161" s="233"/>
      <c r="H161" s="237"/>
      <c r="I161" s="53"/>
      <c r="J161" s="237"/>
      <c r="K161" s="24"/>
      <c r="L161" s="24"/>
      <c r="M161" s="24"/>
      <c r="N161" s="24"/>
      <c r="O161" s="24"/>
    </row>
    <row r="162" spans="5:15" s="22" customFormat="1" x14ac:dyDescent="0.25">
      <c r="E162" s="233"/>
      <c r="F162" s="233"/>
      <c r="G162" s="233"/>
      <c r="H162" s="237"/>
      <c r="I162" s="53"/>
      <c r="J162" s="237"/>
      <c r="K162" s="24"/>
      <c r="L162" s="24"/>
      <c r="M162" s="24"/>
      <c r="N162" s="24"/>
      <c r="O162" s="24"/>
    </row>
    <row r="163" spans="5:15" s="22" customFormat="1" x14ac:dyDescent="0.25">
      <c r="E163" s="233"/>
      <c r="F163" s="233"/>
      <c r="G163" s="233"/>
      <c r="H163" s="237"/>
      <c r="I163" s="53"/>
      <c r="J163" s="237"/>
      <c r="K163" s="24"/>
      <c r="L163" s="24"/>
      <c r="M163" s="24"/>
      <c r="N163" s="24"/>
      <c r="O163" s="24"/>
    </row>
    <row r="164" spans="5:15" s="22" customFormat="1" x14ac:dyDescent="0.25">
      <c r="E164" s="233"/>
      <c r="F164" s="233"/>
      <c r="G164" s="233"/>
      <c r="H164" s="237"/>
      <c r="I164" s="53"/>
      <c r="J164" s="237"/>
      <c r="K164" s="24"/>
      <c r="L164" s="24"/>
      <c r="M164" s="24"/>
      <c r="N164" s="24"/>
      <c r="O164" s="24"/>
    </row>
    <row r="165" spans="5:15" s="22" customFormat="1" x14ac:dyDescent="0.25">
      <c r="E165" s="233"/>
      <c r="F165" s="233"/>
      <c r="G165" s="233"/>
      <c r="H165" s="237"/>
      <c r="I165" s="53"/>
      <c r="J165" s="237"/>
      <c r="K165" s="24"/>
      <c r="L165" s="24"/>
      <c r="M165" s="24"/>
      <c r="N165" s="24"/>
      <c r="O165" s="24"/>
    </row>
    <row r="166" spans="5:15" s="22" customFormat="1" x14ac:dyDescent="0.25">
      <c r="E166" s="233"/>
      <c r="F166" s="233"/>
      <c r="G166" s="233"/>
      <c r="H166" s="237"/>
      <c r="I166" s="53"/>
      <c r="J166" s="237"/>
      <c r="K166" s="24"/>
      <c r="L166" s="24"/>
      <c r="M166" s="24"/>
      <c r="N166" s="24"/>
      <c r="O166" s="24"/>
    </row>
    <row r="167" spans="5:15" s="22" customFormat="1" x14ac:dyDescent="0.25">
      <c r="E167" s="233"/>
      <c r="F167" s="233"/>
      <c r="G167" s="233"/>
      <c r="H167" s="237"/>
      <c r="I167" s="53"/>
      <c r="J167" s="237"/>
      <c r="K167" s="24"/>
      <c r="L167" s="24"/>
      <c r="M167" s="24"/>
      <c r="N167" s="24"/>
      <c r="O167" s="24"/>
    </row>
    <row r="168" spans="5:15" s="22" customFormat="1" x14ac:dyDescent="0.25">
      <c r="E168" s="233"/>
      <c r="F168" s="233"/>
      <c r="G168" s="233"/>
      <c r="H168" s="237"/>
      <c r="I168" s="53"/>
      <c r="J168" s="237"/>
      <c r="K168" s="24"/>
      <c r="L168" s="24"/>
      <c r="M168" s="24"/>
      <c r="N168" s="24"/>
      <c r="O168" s="24"/>
    </row>
    <row r="169" spans="5:15" s="22" customFormat="1" x14ac:dyDescent="0.25">
      <c r="E169" s="233"/>
      <c r="F169" s="233"/>
      <c r="G169" s="233"/>
      <c r="H169" s="237"/>
      <c r="I169" s="53"/>
      <c r="J169" s="237"/>
      <c r="K169" s="24"/>
      <c r="L169" s="24"/>
      <c r="M169" s="24"/>
      <c r="N169" s="24"/>
      <c r="O169" s="24"/>
    </row>
    <row r="170" spans="5:15" s="22" customFormat="1" x14ac:dyDescent="0.25">
      <c r="E170" s="233"/>
      <c r="F170" s="233"/>
      <c r="G170" s="233"/>
      <c r="H170" s="237"/>
      <c r="I170" s="53"/>
      <c r="J170" s="237"/>
      <c r="K170" s="24"/>
      <c r="L170" s="24"/>
      <c r="M170" s="24"/>
      <c r="N170" s="24"/>
      <c r="O170" s="24"/>
    </row>
    <row r="171" spans="5:15" s="22" customFormat="1" x14ac:dyDescent="0.25">
      <c r="E171" s="233"/>
      <c r="F171" s="233"/>
      <c r="G171" s="233"/>
      <c r="H171" s="237"/>
      <c r="I171" s="53"/>
      <c r="J171" s="237"/>
      <c r="K171" s="24"/>
      <c r="L171" s="24"/>
      <c r="M171" s="24"/>
      <c r="N171" s="24"/>
      <c r="O171" s="24"/>
    </row>
    <row r="172" spans="5:15" s="22" customFormat="1" x14ac:dyDescent="0.25">
      <c r="E172" s="233"/>
      <c r="F172" s="233"/>
      <c r="G172" s="233"/>
      <c r="H172" s="237"/>
      <c r="I172" s="53"/>
      <c r="J172" s="237"/>
      <c r="K172" s="24"/>
      <c r="L172" s="24"/>
      <c r="M172" s="24"/>
      <c r="N172" s="24"/>
      <c r="O172" s="24"/>
    </row>
    <row r="173" spans="5:15" s="22" customFormat="1" x14ac:dyDescent="0.25">
      <c r="E173" s="233"/>
      <c r="F173" s="233"/>
      <c r="G173" s="233"/>
      <c r="H173" s="237"/>
      <c r="I173" s="53"/>
      <c r="J173" s="237"/>
      <c r="K173" s="24"/>
      <c r="L173" s="24"/>
      <c r="M173" s="24"/>
      <c r="N173" s="24"/>
      <c r="O173" s="24"/>
    </row>
    <row r="174" spans="5:15" s="22" customFormat="1" x14ac:dyDescent="0.25">
      <c r="E174" s="233"/>
      <c r="F174" s="233"/>
      <c r="G174" s="233"/>
      <c r="H174" s="237"/>
      <c r="I174" s="53"/>
      <c r="J174" s="237"/>
      <c r="K174" s="24"/>
      <c r="L174" s="24"/>
      <c r="M174" s="24"/>
      <c r="N174" s="24"/>
      <c r="O174" s="24"/>
    </row>
    <row r="175" spans="5:15" s="22" customFormat="1" x14ac:dyDescent="0.25">
      <c r="E175" s="233"/>
      <c r="F175" s="233"/>
      <c r="G175" s="233"/>
      <c r="H175" s="237"/>
      <c r="I175" s="53"/>
      <c r="J175" s="237"/>
      <c r="K175" s="24"/>
      <c r="L175" s="24"/>
      <c r="M175" s="24"/>
      <c r="N175" s="24"/>
      <c r="O175" s="24"/>
    </row>
    <row r="176" spans="5:15" s="22" customFormat="1" x14ac:dyDescent="0.25">
      <c r="E176" s="233"/>
      <c r="F176" s="233"/>
      <c r="G176" s="233"/>
      <c r="H176" s="237"/>
      <c r="I176" s="53"/>
      <c r="J176" s="237"/>
      <c r="K176" s="24"/>
      <c r="L176" s="24"/>
      <c r="M176" s="24"/>
      <c r="N176" s="24"/>
      <c r="O176" s="24"/>
    </row>
    <row r="177" spans="5:15" s="22" customFormat="1" x14ac:dyDescent="0.25">
      <c r="E177" s="233"/>
      <c r="F177" s="233"/>
      <c r="G177" s="233"/>
      <c r="H177" s="237"/>
      <c r="I177" s="53"/>
      <c r="J177" s="237"/>
      <c r="K177" s="24"/>
      <c r="L177" s="24"/>
      <c r="M177" s="24"/>
      <c r="N177" s="24"/>
      <c r="O177" s="24"/>
    </row>
    <row r="178" spans="5:15" s="22" customFormat="1" x14ac:dyDescent="0.25">
      <c r="E178" s="233"/>
      <c r="F178" s="233"/>
      <c r="G178" s="233"/>
      <c r="H178" s="237"/>
      <c r="I178" s="53"/>
      <c r="J178" s="237"/>
      <c r="K178" s="24"/>
      <c r="L178" s="24"/>
      <c r="M178" s="24"/>
      <c r="N178" s="24"/>
      <c r="O178" s="24"/>
    </row>
    <row r="179" spans="5:15" s="22" customFormat="1" x14ac:dyDescent="0.25">
      <c r="E179" s="233"/>
      <c r="F179" s="233"/>
      <c r="G179" s="233"/>
      <c r="H179" s="237"/>
      <c r="I179" s="53"/>
      <c r="J179" s="237"/>
      <c r="K179" s="24"/>
      <c r="L179" s="24"/>
      <c r="M179" s="24"/>
      <c r="N179" s="24"/>
      <c r="O179" s="24"/>
    </row>
    <row r="180" spans="5:15" s="22" customFormat="1" x14ac:dyDescent="0.25">
      <c r="E180" s="233"/>
      <c r="F180" s="233"/>
      <c r="G180" s="233"/>
      <c r="H180" s="237"/>
      <c r="I180" s="53"/>
      <c r="J180" s="237"/>
      <c r="K180" s="24"/>
      <c r="L180" s="24"/>
      <c r="M180" s="24"/>
      <c r="N180" s="24"/>
      <c r="O180" s="24"/>
    </row>
    <row r="181" spans="5:15" s="22" customFormat="1" x14ac:dyDescent="0.25">
      <c r="E181" s="233"/>
      <c r="F181" s="233"/>
      <c r="G181" s="233"/>
      <c r="H181" s="237"/>
      <c r="I181" s="53"/>
      <c r="J181" s="237"/>
      <c r="K181" s="24"/>
      <c r="L181" s="24"/>
      <c r="M181" s="24"/>
      <c r="N181" s="24"/>
      <c r="O181" s="24"/>
    </row>
    <row r="182" spans="5:15" s="22" customFormat="1" x14ac:dyDescent="0.25">
      <c r="E182" s="233"/>
      <c r="F182" s="233"/>
      <c r="G182" s="233"/>
      <c r="H182" s="237"/>
      <c r="I182" s="53"/>
      <c r="J182" s="237"/>
      <c r="K182" s="24"/>
      <c r="L182" s="24"/>
      <c r="M182" s="24"/>
      <c r="N182" s="24"/>
      <c r="O182" s="24"/>
    </row>
    <row r="183" spans="5:15" s="22" customFormat="1" x14ac:dyDescent="0.25">
      <c r="E183" s="233"/>
      <c r="F183" s="233"/>
      <c r="G183" s="233"/>
      <c r="H183" s="237"/>
      <c r="I183" s="53"/>
      <c r="J183" s="237"/>
      <c r="K183" s="24"/>
      <c r="L183" s="24"/>
      <c r="M183" s="24"/>
      <c r="N183" s="24"/>
      <c r="O183" s="24"/>
    </row>
    <row r="184" spans="5:15" s="22" customFormat="1" x14ac:dyDescent="0.25">
      <c r="E184" s="233"/>
      <c r="F184" s="233"/>
      <c r="G184" s="233"/>
      <c r="H184" s="237"/>
      <c r="I184" s="53"/>
      <c r="J184" s="237"/>
      <c r="K184" s="24"/>
      <c r="L184" s="24"/>
      <c r="M184" s="24"/>
      <c r="N184" s="24"/>
      <c r="O184" s="24"/>
    </row>
    <row r="185" spans="5:15" s="22" customFormat="1" x14ac:dyDescent="0.25">
      <c r="E185" s="233"/>
      <c r="F185" s="233"/>
      <c r="G185" s="233"/>
      <c r="H185" s="237"/>
      <c r="I185" s="53"/>
      <c r="J185" s="237"/>
      <c r="K185" s="24"/>
      <c r="L185" s="24"/>
      <c r="M185" s="24"/>
      <c r="N185" s="24"/>
      <c r="O185" s="24"/>
    </row>
    <row r="186" spans="5:15" s="22" customFormat="1" x14ac:dyDescent="0.25">
      <c r="E186" s="233"/>
      <c r="F186" s="233"/>
      <c r="G186" s="233"/>
      <c r="H186" s="237"/>
      <c r="I186" s="53"/>
      <c r="J186" s="237"/>
      <c r="K186" s="24"/>
      <c r="L186" s="24"/>
      <c r="M186" s="24"/>
      <c r="N186" s="24"/>
      <c r="O186" s="24"/>
    </row>
    <row r="187" spans="5:15" s="22" customFormat="1" x14ac:dyDescent="0.25">
      <c r="E187" s="233"/>
      <c r="F187" s="233"/>
      <c r="G187" s="233"/>
      <c r="H187" s="237"/>
      <c r="I187" s="53"/>
      <c r="J187" s="237"/>
      <c r="K187" s="24"/>
      <c r="L187" s="24"/>
      <c r="M187" s="24"/>
      <c r="N187" s="24"/>
      <c r="O187" s="24"/>
    </row>
    <row r="188" spans="5:15" s="22" customFormat="1" x14ac:dyDescent="0.25">
      <c r="E188" s="233"/>
      <c r="F188" s="233"/>
      <c r="G188" s="233"/>
      <c r="H188" s="237"/>
      <c r="I188" s="53"/>
      <c r="J188" s="237"/>
      <c r="K188" s="24"/>
      <c r="L188" s="24"/>
      <c r="M188" s="24"/>
      <c r="N188" s="24"/>
      <c r="O188" s="24"/>
    </row>
    <row r="189" spans="5:15" s="22" customFormat="1" x14ac:dyDescent="0.25">
      <c r="E189" s="233"/>
      <c r="F189" s="233"/>
      <c r="G189" s="233"/>
      <c r="H189" s="237"/>
      <c r="I189" s="53"/>
      <c r="J189" s="237"/>
      <c r="K189" s="24"/>
      <c r="L189" s="24"/>
      <c r="M189" s="24"/>
      <c r="N189" s="24"/>
      <c r="O189" s="24"/>
    </row>
    <row r="190" spans="5:15" s="22" customFormat="1" x14ac:dyDescent="0.25">
      <c r="E190" s="233"/>
      <c r="F190" s="233"/>
      <c r="G190" s="233"/>
      <c r="H190" s="237"/>
      <c r="I190" s="53"/>
      <c r="J190" s="237"/>
      <c r="K190" s="24"/>
      <c r="L190" s="24"/>
      <c r="M190" s="24"/>
      <c r="N190" s="24"/>
      <c r="O190" s="24"/>
    </row>
    <row r="191" spans="5:15" s="22" customFormat="1" x14ac:dyDescent="0.25">
      <c r="E191" s="233"/>
      <c r="F191" s="233"/>
      <c r="G191" s="233"/>
      <c r="H191" s="237"/>
      <c r="I191" s="53"/>
      <c r="J191" s="237"/>
      <c r="K191" s="24"/>
      <c r="L191" s="24"/>
      <c r="M191" s="24"/>
      <c r="N191" s="24"/>
      <c r="O191" s="24"/>
    </row>
    <row r="192" spans="5:15" s="22" customFormat="1" x14ac:dyDescent="0.25">
      <c r="E192" s="233"/>
      <c r="F192" s="233"/>
      <c r="G192" s="233"/>
      <c r="H192" s="237"/>
      <c r="I192" s="53"/>
      <c r="J192" s="237"/>
      <c r="K192" s="24"/>
      <c r="L192" s="24"/>
      <c r="M192" s="24"/>
      <c r="N192" s="24"/>
      <c r="O192" s="24"/>
    </row>
    <row r="193" spans="5:15" s="22" customFormat="1" x14ac:dyDescent="0.25">
      <c r="E193" s="233"/>
      <c r="F193" s="233"/>
      <c r="G193" s="233"/>
      <c r="H193" s="237"/>
      <c r="I193" s="53"/>
      <c r="J193" s="237"/>
      <c r="K193" s="24"/>
      <c r="L193" s="24"/>
      <c r="M193" s="24"/>
      <c r="N193" s="24"/>
      <c r="O193" s="24"/>
    </row>
    <row r="194" spans="5:15" s="22" customFormat="1" x14ac:dyDescent="0.25">
      <c r="E194" s="233"/>
      <c r="F194" s="233"/>
      <c r="G194" s="233"/>
      <c r="H194" s="237"/>
      <c r="I194" s="53"/>
      <c r="J194" s="237"/>
      <c r="K194" s="24"/>
      <c r="L194" s="24"/>
      <c r="M194" s="24"/>
      <c r="N194" s="24"/>
      <c r="O194" s="24"/>
    </row>
    <row r="195" spans="5:15" s="22" customFormat="1" x14ac:dyDescent="0.25">
      <c r="E195" s="233"/>
      <c r="F195" s="233"/>
      <c r="G195" s="233"/>
      <c r="H195" s="237"/>
      <c r="I195" s="53"/>
      <c r="J195" s="237"/>
      <c r="K195" s="24"/>
      <c r="L195" s="24"/>
      <c r="M195" s="24"/>
      <c r="N195" s="24"/>
      <c r="O195" s="24"/>
    </row>
    <row r="196" spans="5:15" s="22" customFormat="1" x14ac:dyDescent="0.25">
      <c r="E196" s="233"/>
      <c r="F196" s="233"/>
      <c r="G196" s="233"/>
      <c r="H196" s="237"/>
      <c r="I196" s="53"/>
      <c r="J196" s="237"/>
      <c r="K196" s="24"/>
      <c r="L196" s="24"/>
      <c r="M196" s="24"/>
      <c r="N196" s="24"/>
      <c r="O196" s="24"/>
    </row>
    <row r="197" spans="5:15" s="22" customFormat="1" x14ac:dyDescent="0.25">
      <c r="E197" s="233"/>
      <c r="F197" s="233"/>
      <c r="G197" s="233"/>
      <c r="H197" s="237"/>
      <c r="I197" s="53"/>
      <c r="J197" s="237"/>
      <c r="K197" s="24"/>
      <c r="L197" s="24"/>
      <c r="M197" s="24"/>
      <c r="N197" s="24"/>
      <c r="O197" s="24"/>
    </row>
    <row r="198" spans="5:15" s="22" customFormat="1" x14ac:dyDescent="0.25">
      <c r="E198" s="233"/>
      <c r="F198" s="233"/>
      <c r="G198" s="233"/>
      <c r="H198" s="237"/>
      <c r="I198" s="53"/>
      <c r="J198" s="237"/>
      <c r="K198" s="24"/>
      <c r="L198" s="24"/>
      <c r="M198" s="24"/>
      <c r="N198" s="24"/>
      <c r="O198" s="24"/>
    </row>
    <row r="199" spans="5:15" s="22" customFormat="1" x14ac:dyDescent="0.25">
      <c r="E199" s="233"/>
      <c r="F199" s="233"/>
      <c r="G199" s="233"/>
      <c r="H199" s="237"/>
      <c r="I199" s="53"/>
      <c r="J199" s="237"/>
      <c r="K199" s="24"/>
      <c r="L199" s="24"/>
      <c r="M199" s="24"/>
      <c r="N199" s="24"/>
      <c r="O199" s="24"/>
    </row>
    <row r="200" spans="5:15" s="22" customFormat="1" x14ac:dyDescent="0.25">
      <c r="E200" s="233"/>
      <c r="F200" s="233"/>
      <c r="G200" s="233"/>
      <c r="H200" s="237"/>
      <c r="I200" s="53"/>
      <c r="J200" s="237"/>
      <c r="K200" s="24"/>
      <c r="L200" s="24"/>
      <c r="M200" s="24"/>
      <c r="N200" s="24"/>
      <c r="O200" s="24"/>
    </row>
    <row r="201" spans="5:15" s="22" customFormat="1" x14ac:dyDescent="0.25">
      <c r="E201" s="233"/>
      <c r="F201" s="233"/>
      <c r="G201" s="233"/>
      <c r="H201" s="237"/>
      <c r="I201" s="53"/>
      <c r="J201" s="237"/>
      <c r="K201" s="24"/>
      <c r="L201" s="24"/>
      <c r="M201" s="24"/>
      <c r="N201" s="24"/>
      <c r="O201" s="24"/>
    </row>
    <row r="202" spans="5:15" s="22" customFormat="1" x14ac:dyDescent="0.25">
      <c r="E202" s="233"/>
      <c r="F202" s="233"/>
      <c r="G202" s="233"/>
      <c r="H202" s="237"/>
      <c r="I202" s="53"/>
      <c r="J202" s="237"/>
      <c r="K202" s="24"/>
      <c r="L202" s="24"/>
      <c r="M202" s="24"/>
      <c r="N202" s="24"/>
      <c r="O202" s="24"/>
    </row>
    <row r="203" spans="5:15" s="22" customFormat="1" x14ac:dyDescent="0.25">
      <c r="E203" s="233"/>
      <c r="F203" s="233"/>
      <c r="G203" s="233"/>
      <c r="H203" s="237"/>
      <c r="I203" s="53"/>
      <c r="J203" s="237"/>
      <c r="K203" s="24"/>
      <c r="L203" s="24"/>
      <c r="M203" s="24"/>
      <c r="N203" s="24"/>
      <c r="O203" s="24"/>
    </row>
    <row r="204" spans="5:15" s="22" customFormat="1" x14ac:dyDescent="0.25">
      <c r="E204" s="233"/>
      <c r="F204" s="233"/>
      <c r="G204" s="233"/>
      <c r="H204" s="237"/>
      <c r="I204" s="53"/>
      <c r="J204" s="237"/>
      <c r="K204" s="24"/>
      <c r="L204" s="24"/>
      <c r="M204" s="24"/>
      <c r="N204" s="24"/>
      <c r="O204" s="24"/>
    </row>
    <row r="205" spans="5:15" s="22" customFormat="1" x14ac:dyDescent="0.25">
      <c r="E205" s="233"/>
      <c r="F205" s="233"/>
      <c r="G205" s="233"/>
      <c r="H205" s="237"/>
      <c r="I205" s="53"/>
      <c r="J205" s="237"/>
      <c r="K205" s="24"/>
      <c r="L205" s="24"/>
      <c r="M205" s="24"/>
      <c r="N205" s="24"/>
      <c r="O205" s="24"/>
    </row>
    <row r="206" spans="5:15" s="22" customFormat="1" x14ac:dyDescent="0.25">
      <c r="E206" s="233"/>
      <c r="F206" s="233"/>
      <c r="G206" s="233"/>
      <c r="H206" s="237"/>
      <c r="I206" s="53"/>
      <c r="J206" s="237"/>
      <c r="K206" s="24"/>
      <c r="L206" s="24"/>
      <c r="M206" s="24"/>
      <c r="N206" s="24"/>
      <c r="O206" s="24"/>
    </row>
    <row r="207" spans="5:15" s="22" customFormat="1" x14ac:dyDescent="0.25">
      <c r="E207" s="233"/>
      <c r="F207" s="233"/>
      <c r="G207" s="233"/>
      <c r="H207" s="237"/>
      <c r="I207" s="53"/>
      <c r="J207" s="237"/>
      <c r="K207" s="24"/>
      <c r="L207" s="24"/>
      <c r="M207" s="24"/>
      <c r="N207" s="24"/>
      <c r="O207" s="24"/>
    </row>
    <row r="208" spans="5:15" s="22" customFormat="1" x14ac:dyDescent="0.25">
      <c r="E208" s="233"/>
      <c r="F208" s="233"/>
      <c r="G208" s="233"/>
      <c r="H208" s="237"/>
      <c r="I208" s="53"/>
      <c r="J208" s="237"/>
      <c r="K208" s="24"/>
      <c r="L208" s="24"/>
      <c r="M208" s="24"/>
      <c r="N208" s="24"/>
      <c r="O208" s="24"/>
    </row>
    <row r="209" spans="5:15" s="22" customFormat="1" x14ac:dyDescent="0.25">
      <c r="E209" s="233"/>
      <c r="F209" s="233"/>
      <c r="G209" s="233"/>
      <c r="H209" s="237"/>
      <c r="I209" s="53"/>
      <c r="J209" s="237"/>
      <c r="K209" s="24"/>
      <c r="L209" s="24"/>
      <c r="M209" s="24"/>
      <c r="N209" s="24"/>
      <c r="O209" s="24"/>
    </row>
    <row r="210" spans="5:15" s="22" customFormat="1" x14ac:dyDescent="0.25">
      <c r="E210" s="233"/>
      <c r="F210" s="233"/>
      <c r="G210" s="233"/>
      <c r="H210" s="237"/>
      <c r="I210" s="53"/>
      <c r="J210" s="237"/>
      <c r="K210" s="24"/>
      <c r="L210" s="24"/>
      <c r="M210" s="24"/>
      <c r="N210" s="24"/>
      <c r="O210" s="24"/>
    </row>
    <row r="211" spans="5:15" s="22" customFormat="1" x14ac:dyDescent="0.25">
      <c r="E211" s="233"/>
      <c r="F211" s="233"/>
      <c r="G211" s="233"/>
      <c r="H211" s="237"/>
      <c r="I211" s="53"/>
      <c r="J211" s="237"/>
      <c r="K211" s="24"/>
      <c r="L211" s="24"/>
      <c r="M211" s="24"/>
      <c r="N211" s="24"/>
      <c r="O211" s="24"/>
    </row>
    <row r="212" spans="5:15" s="22" customFormat="1" x14ac:dyDescent="0.25">
      <c r="E212" s="233"/>
      <c r="F212" s="233"/>
      <c r="G212" s="233"/>
      <c r="H212" s="237"/>
      <c r="I212" s="53"/>
      <c r="J212" s="237"/>
      <c r="K212" s="24"/>
      <c r="L212" s="24"/>
      <c r="M212" s="24"/>
      <c r="N212" s="24"/>
      <c r="O212" s="24"/>
    </row>
    <row r="213" spans="5:15" s="22" customFormat="1" x14ac:dyDescent="0.25">
      <c r="E213" s="233"/>
      <c r="F213" s="233"/>
      <c r="G213" s="233"/>
      <c r="H213" s="237"/>
      <c r="I213" s="53"/>
      <c r="J213" s="237"/>
      <c r="K213" s="24"/>
      <c r="L213" s="24"/>
      <c r="M213" s="24"/>
      <c r="N213" s="24"/>
      <c r="O213" s="24"/>
    </row>
    <row r="214" spans="5:15" s="22" customFormat="1" x14ac:dyDescent="0.25">
      <c r="E214" s="233"/>
      <c r="F214" s="233"/>
      <c r="G214" s="233"/>
      <c r="H214" s="237"/>
      <c r="I214" s="53"/>
      <c r="J214" s="237"/>
      <c r="K214" s="24"/>
      <c r="L214" s="24"/>
      <c r="M214" s="24"/>
      <c r="N214" s="24"/>
      <c r="O214" s="24"/>
    </row>
    <row r="215" spans="5:15" s="22" customFormat="1" x14ac:dyDescent="0.25">
      <c r="E215" s="233"/>
      <c r="F215" s="233"/>
      <c r="G215" s="233"/>
      <c r="H215" s="237"/>
      <c r="I215" s="53"/>
      <c r="J215" s="237"/>
      <c r="K215" s="24"/>
      <c r="L215" s="24"/>
      <c r="M215" s="24"/>
      <c r="N215" s="24"/>
      <c r="O215" s="24"/>
    </row>
    <row r="216" spans="5:15" s="22" customFormat="1" x14ac:dyDescent="0.25">
      <c r="E216" s="233"/>
      <c r="F216" s="233"/>
      <c r="G216" s="233"/>
      <c r="H216" s="237"/>
      <c r="I216" s="53"/>
      <c r="J216" s="237"/>
      <c r="K216" s="24"/>
      <c r="L216" s="24"/>
      <c r="M216" s="24"/>
      <c r="N216" s="24"/>
      <c r="O216" s="24"/>
    </row>
    <row r="217" spans="5:15" s="22" customFormat="1" x14ac:dyDescent="0.25">
      <c r="E217" s="233"/>
      <c r="F217" s="233"/>
      <c r="G217" s="233"/>
      <c r="H217" s="237"/>
      <c r="I217" s="53"/>
      <c r="J217" s="237"/>
      <c r="K217" s="24"/>
      <c r="L217" s="24"/>
      <c r="M217" s="24"/>
      <c r="N217" s="24"/>
      <c r="O217" s="24"/>
    </row>
    <row r="218" spans="5:15" s="22" customFormat="1" x14ac:dyDescent="0.25">
      <c r="E218" s="233"/>
      <c r="F218" s="233"/>
      <c r="G218" s="233"/>
      <c r="H218" s="237"/>
      <c r="I218" s="53"/>
      <c r="J218" s="237"/>
      <c r="K218" s="24"/>
      <c r="L218" s="24"/>
      <c r="M218" s="24"/>
      <c r="N218" s="24"/>
      <c r="O218" s="24"/>
    </row>
    <row r="219" spans="5:15" s="22" customFormat="1" x14ac:dyDescent="0.25">
      <c r="E219" s="233"/>
      <c r="F219" s="233"/>
      <c r="G219" s="233"/>
      <c r="H219" s="237"/>
      <c r="I219" s="53"/>
      <c r="J219" s="237"/>
      <c r="K219" s="24"/>
      <c r="L219" s="24"/>
      <c r="M219" s="24"/>
      <c r="N219" s="24"/>
      <c r="O219" s="24"/>
    </row>
    <row r="220" spans="5:15" s="22" customFormat="1" x14ac:dyDescent="0.25">
      <c r="E220" s="233"/>
      <c r="F220" s="233"/>
      <c r="G220" s="233"/>
      <c r="H220" s="237"/>
      <c r="I220" s="53"/>
      <c r="J220" s="237"/>
      <c r="K220" s="24"/>
      <c r="L220" s="24"/>
      <c r="M220" s="24"/>
      <c r="N220" s="24"/>
      <c r="O220" s="24"/>
    </row>
    <row r="221" spans="5:15" s="22" customFormat="1" x14ac:dyDescent="0.25">
      <c r="E221" s="233"/>
      <c r="F221" s="233"/>
      <c r="G221" s="233"/>
      <c r="H221" s="237"/>
      <c r="I221" s="53"/>
      <c r="J221" s="237"/>
      <c r="K221" s="24"/>
      <c r="L221" s="24"/>
      <c r="M221" s="24"/>
      <c r="N221" s="24"/>
      <c r="O221" s="24"/>
    </row>
    <row r="222" spans="5:15" s="22" customFormat="1" x14ac:dyDescent="0.25">
      <c r="E222" s="233"/>
      <c r="F222" s="233"/>
      <c r="G222" s="233"/>
      <c r="H222" s="237"/>
      <c r="I222" s="53"/>
      <c r="J222" s="237"/>
      <c r="K222" s="24"/>
      <c r="L222" s="24"/>
      <c r="M222" s="24"/>
      <c r="N222" s="24"/>
      <c r="O222" s="24"/>
    </row>
    <row r="223" spans="5:15" s="22" customFormat="1" x14ac:dyDescent="0.25">
      <c r="E223" s="233"/>
      <c r="F223" s="233"/>
      <c r="G223" s="233"/>
      <c r="H223" s="237"/>
      <c r="I223" s="53"/>
      <c r="J223" s="237"/>
      <c r="K223" s="24"/>
      <c r="L223" s="24"/>
      <c r="M223" s="24"/>
      <c r="N223" s="24"/>
      <c r="O223" s="24"/>
    </row>
    <row r="224" spans="5:15" s="22" customFormat="1" x14ac:dyDescent="0.25">
      <c r="E224" s="233"/>
      <c r="F224" s="233"/>
      <c r="G224" s="233"/>
      <c r="H224" s="237"/>
      <c r="I224" s="53"/>
      <c r="J224" s="237"/>
      <c r="K224" s="24"/>
      <c r="L224" s="24"/>
      <c r="M224" s="24"/>
      <c r="N224" s="24"/>
      <c r="O224" s="24"/>
    </row>
    <row r="225" spans="5:15" s="22" customFormat="1" x14ac:dyDescent="0.25">
      <c r="E225" s="233"/>
      <c r="F225" s="233"/>
      <c r="G225" s="233"/>
      <c r="H225" s="237"/>
      <c r="I225" s="53"/>
      <c r="J225" s="237"/>
      <c r="K225" s="24"/>
      <c r="L225" s="24"/>
      <c r="M225" s="24"/>
      <c r="N225" s="24"/>
      <c r="O225" s="24"/>
    </row>
    <row r="226" spans="5:15" s="22" customFormat="1" x14ac:dyDescent="0.25">
      <c r="E226" s="233"/>
      <c r="F226" s="233"/>
      <c r="G226" s="233"/>
      <c r="H226" s="237"/>
      <c r="I226" s="53"/>
      <c r="J226" s="237"/>
      <c r="K226" s="24"/>
      <c r="L226" s="24"/>
      <c r="M226" s="24"/>
      <c r="N226" s="24"/>
      <c r="O226" s="24"/>
    </row>
    <row r="227" spans="5:15" s="22" customFormat="1" x14ac:dyDescent="0.25">
      <c r="E227" s="233"/>
      <c r="F227" s="233"/>
      <c r="G227" s="233"/>
      <c r="H227" s="237"/>
      <c r="I227" s="53"/>
      <c r="J227" s="237"/>
      <c r="K227" s="24"/>
      <c r="L227" s="24"/>
      <c r="M227" s="24"/>
      <c r="N227" s="24"/>
      <c r="O227" s="24"/>
    </row>
    <row r="228" spans="5:15" s="22" customFormat="1" x14ac:dyDescent="0.25">
      <c r="E228" s="233"/>
      <c r="F228" s="233"/>
      <c r="G228" s="233"/>
      <c r="H228" s="237"/>
      <c r="I228" s="53"/>
      <c r="J228" s="237"/>
      <c r="K228" s="24"/>
      <c r="L228" s="24"/>
      <c r="M228" s="24"/>
      <c r="N228" s="24"/>
      <c r="O228" s="24"/>
    </row>
    <row r="229" spans="5:15" s="22" customFormat="1" x14ac:dyDescent="0.25">
      <c r="E229" s="233"/>
      <c r="F229" s="233"/>
      <c r="G229" s="233"/>
      <c r="H229" s="237"/>
      <c r="I229" s="53"/>
      <c r="J229" s="237"/>
      <c r="K229" s="24"/>
      <c r="L229" s="24"/>
      <c r="M229" s="24"/>
      <c r="N229" s="24"/>
      <c r="O229" s="24"/>
    </row>
    <row r="230" spans="5:15" s="22" customFormat="1" x14ac:dyDescent="0.25">
      <c r="E230" s="233"/>
      <c r="F230" s="233"/>
      <c r="G230" s="233"/>
      <c r="H230" s="237"/>
      <c r="I230" s="53"/>
      <c r="J230" s="237"/>
      <c r="K230" s="24"/>
      <c r="L230" s="24"/>
      <c r="M230" s="24"/>
      <c r="N230" s="24"/>
      <c r="O230" s="24"/>
    </row>
    <row r="231" spans="5:15" s="22" customFormat="1" x14ac:dyDescent="0.25">
      <c r="E231" s="233"/>
      <c r="F231" s="233"/>
      <c r="G231" s="233"/>
      <c r="H231" s="237"/>
      <c r="I231" s="53"/>
      <c r="J231" s="237"/>
      <c r="K231" s="24"/>
      <c r="L231" s="24"/>
      <c r="M231" s="24"/>
      <c r="N231" s="24"/>
      <c r="O231" s="24"/>
    </row>
    <row r="232" spans="5:15" s="22" customFormat="1" x14ac:dyDescent="0.25">
      <c r="E232" s="233"/>
      <c r="F232" s="233"/>
      <c r="G232" s="233"/>
      <c r="H232" s="237"/>
      <c r="I232" s="53"/>
      <c r="J232" s="237"/>
      <c r="K232" s="24"/>
      <c r="L232" s="24"/>
      <c r="M232" s="24"/>
      <c r="N232" s="24"/>
      <c r="O232" s="24"/>
    </row>
    <row r="233" spans="5:15" s="22" customFormat="1" x14ac:dyDescent="0.25">
      <c r="E233" s="233"/>
      <c r="F233" s="233"/>
      <c r="G233" s="233"/>
      <c r="H233" s="237"/>
      <c r="I233" s="53"/>
      <c r="J233" s="237"/>
      <c r="K233" s="24"/>
      <c r="L233" s="24"/>
      <c r="M233" s="24"/>
      <c r="N233" s="24"/>
      <c r="O233" s="24"/>
    </row>
    <row r="234" spans="5:15" s="22" customFormat="1" x14ac:dyDescent="0.25">
      <c r="E234" s="233"/>
      <c r="F234" s="233"/>
      <c r="G234" s="233"/>
      <c r="H234" s="237"/>
      <c r="I234" s="53"/>
      <c r="J234" s="237"/>
      <c r="K234" s="24"/>
      <c r="L234" s="24"/>
      <c r="M234" s="24"/>
      <c r="N234" s="24"/>
      <c r="O234" s="24"/>
    </row>
    <row r="235" spans="5:15" s="22" customFormat="1" x14ac:dyDescent="0.25">
      <c r="E235" s="233"/>
      <c r="F235" s="233"/>
      <c r="G235" s="233"/>
      <c r="H235" s="237"/>
      <c r="I235" s="53"/>
      <c r="J235" s="237"/>
      <c r="K235" s="24"/>
      <c r="L235" s="24"/>
      <c r="M235" s="24"/>
      <c r="N235" s="24"/>
      <c r="O235" s="24"/>
    </row>
    <row r="236" spans="5:15" s="22" customFormat="1" x14ac:dyDescent="0.25">
      <c r="E236" s="233"/>
      <c r="F236" s="233"/>
      <c r="G236" s="233"/>
      <c r="H236" s="237"/>
      <c r="I236" s="53"/>
      <c r="J236" s="237"/>
      <c r="K236" s="24"/>
      <c r="L236" s="24"/>
      <c r="M236" s="24"/>
      <c r="N236" s="24"/>
      <c r="O236" s="24"/>
    </row>
    <row r="237" spans="5:15" s="22" customFormat="1" x14ac:dyDescent="0.25">
      <c r="E237" s="233"/>
      <c r="F237" s="233"/>
      <c r="G237" s="233"/>
      <c r="H237" s="237"/>
      <c r="I237" s="53"/>
      <c r="J237" s="237"/>
      <c r="K237" s="24"/>
      <c r="L237" s="24"/>
      <c r="M237" s="24"/>
      <c r="N237" s="24"/>
      <c r="O237" s="24"/>
    </row>
    <row r="238" spans="5:15" s="22" customFormat="1" x14ac:dyDescent="0.25">
      <c r="E238" s="233"/>
      <c r="F238" s="233"/>
      <c r="G238" s="233"/>
      <c r="H238" s="237"/>
      <c r="I238" s="53"/>
      <c r="J238" s="237"/>
      <c r="K238" s="24"/>
      <c r="L238" s="24"/>
      <c r="M238" s="24"/>
      <c r="N238" s="24"/>
      <c r="O238" s="24"/>
    </row>
    <row r="239" spans="5:15" s="22" customFormat="1" x14ac:dyDescent="0.25">
      <c r="E239" s="233"/>
      <c r="F239" s="233"/>
      <c r="G239" s="233"/>
      <c r="H239" s="237"/>
      <c r="I239" s="53"/>
      <c r="J239" s="237"/>
      <c r="K239" s="24"/>
      <c r="L239" s="24"/>
      <c r="M239" s="24"/>
      <c r="N239" s="24"/>
      <c r="O239" s="24"/>
    </row>
    <row r="240" spans="5:15" s="22" customFormat="1" x14ac:dyDescent="0.25">
      <c r="E240" s="233"/>
      <c r="F240" s="233"/>
      <c r="G240" s="233"/>
      <c r="H240" s="237"/>
      <c r="I240" s="53"/>
      <c r="J240" s="237"/>
      <c r="K240" s="24"/>
      <c r="L240" s="24"/>
      <c r="M240" s="24"/>
      <c r="N240" s="24"/>
      <c r="O240" s="24"/>
    </row>
    <row r="241" spans="5:15" s="22" customFormat="1" x14ac:dyDescent="0.25">
      <c r="E241" s="233"/>
      <c r="F241" s="233"/>
      <c r="G241" s="233"/>
      <c r="H241" s="237"/>
      <c r="I241" s="53"/>
      <c r="J241" s="237"/>
      <c r="K241" s="24"/>
      <c r="L241" s="24"/>
      <c r="M241" s="24"/>
      <c r="N241" s="24"/>
      <c r="O241" s="24"/>
    </row>
    <row r="242" spans="5:15" s="22" customFormat="1" x14ac:dyDescent="0.25">
      <c r="E242" s="233"/>
      <c r="F242" s="233"/>
      <c r="G242" s="233"/>
      <c r="H242" s="237"/>
      <c r="I242" s="53"/>
      <c r="J242" s="237"/>
      <c r="K242" s="24"/>
      <c r="L242" s="24"/>
      <c r="M242" s="24"/>
      <c r="N242" s="24"/>
      <c r="O242" s="24"/>
    </row>
    <row r="243" spans="5:15" s="22" customFormat="1" x14ac:dyDescent="0.25">
      <c r="E243" s="233"/>
      <c r="F243" s="233"/>
      <c r="G243" s="233"/>
      <c r="H243" s="237"/>
      <c r="I243" s="53"/>
      <c r="J243" s="237"/>
      <c r="K243" s="24"/>
      <c r="L243" s="24"/>
      <c r="M243" s="24"/>
      <c r="N243" s="24"/>
      <c r="O243" s="24"/>
    </row>
    <row r="244" spans="5:15" s="22" customFormat="1" x14ac:dyDescent="0.25">
      <c r="E244" s="233"/>
      <c r="F244" s="233"/>
      <c r="G244" s="233"/>
      <c r="H244" s="237"/>
      <c r="I244" s="53"/>
      <c r="J244" s="237"/>
      <c r="K244" s="24"/>
      <c r="L244" s="24"/>
      <c r="M244" s="24"/>
      <c r="N244" s="24"/>
      <c r="O244" s="24"/>
    </row>
    <row r="245" spans="5:15" s="22" customFormat="1" x14ac:dyDescent="0.25">
      <c r="E245" s="233"/>
      <c r="F245" s="233"/>
      <c r="G245" s="233"/>
      <c r="H245" s="237"/>
      <c r="I245" s="53"/>
      <c r="J245" s="237"/>
      <c r="K245" s="24"/>
      <c r="L245" s="24"/>
      <c r="M245" s="24"/>
      <c r="N245" s="24"/>
      <c r="O245" s="24"/>
    </row>
    <row r="246" spans="5:15" s="22" customFormat="1" x14ac:dyDescent="0.25">
      <c r="E246" s="233"/>
      <c r="F246" s="233"/>
      <c r="G246" s="233"/>
      <c r="H246" s="237"/>
      <c r="I246" s="53"/>
      <c r="J246" s="237"/>
      <c r="K246" s="24"/>
      <c r="L246" s="24"/>
      <c r="M246" s="24"/>
      <c r="N246" s="24"/>
      <c r="O246" s="24"/>
    </row>
    <row r="247" spans="5:15" s="22" customFormat="1" x14ac:dyDescent="0.25">
      <c r="E247" s="233"/>
      <c r="F247" s="233"/>
      <c r="G247" s="233"/>
      <c r="H247" s="237"/>
      <c r="I247" s="53"/>
      <c r="J247" s="237"/>
      <c r="K247" s="24"/>
      <c r="L247" s="24"/>
      <c r="M247" s="24"/>
      <c r="N247" s="24"/>
      <c r="O247" s="24"/>
    </row>
    <row r="248" spans="5:15" s="22" customFormat="1" x14ac:dyDescent="0.25">
      <c r="E248" s="233"/>
      <c r="F248" s="233"/>
      <c r="G248" s="233"/>
      <c r="H248" s="237"/>
      <c r="I248" s="53"/>
      <c r="J248" s="237"/>
      <c r="K248" s="24"/>
      <c r="L248" s="24"/>
      <c r="M248" s="24"/>
      <c r="N248" s="24"/>
      <c r="O248" s="24"/>
    </row>
    <row r="249" spans="5:15" s="22" customFormat="1" x14ac:dyDescent="0.25">
      <c r="E249" s="233"/>
      <c r="F249" s="233"/>
      <c r="G249" s="233"/>
      <c r="H249" s="237"/>
      <c r="I249" s="53"/>
      <c r="J249" s="237"/>
      <c r="K249" s="24"/>
      <c r="L249" s="24"/>
      <c r="M249" s="24"/>
      <c r="N249" s="24"/>
      <c r="O249" s="24"/>
    </row>
    <row r="250" spans="5:15" s="22" customFormat="1" x14ac:dyDescent="0.25">
      <c r="E250" s="233"/>
      <c r="F250" s="233"/>
      <c r="G250" s="233"/>
      <c r="H250" s="237"/>
      <c r="I250" s="53"/>
      <c r="J250" s="237"/>
      <c r="K250" s="24"/>
      <c r="L250" s="24"/>
      <c r="M250" s="24"/>
      <c r="N250" s="24"/>
      <c r="O250" s="24"/>
    </row>
    <row r="251" spans="5:15" s="22" customFormat="1" x14ac:dyDescent="0.25">
      <c r="E251" s="233"/>
      <c r="F251" s="233"/>
      <c r="G251" s="233"/>
      <c r="H251" s="237"/>
      <c r="I251" s="53"/>
      <c r="J251" s="237"/>
      <c r="K251" s="24"/>
      <c r="L251" s="24"/>
      <c r="M251" s="24"/>
      <c r="N251" s="24"/>
      <c r="O251" s="24"/>
    </row>
    <row r="252" spans="5:15" s="22" customFormat="1" x14ac:dyDescent="0.25">
      <c r="E252" s="233"/>
      <c r="F252" s="233"/>
      <c r="G252" s="233"/>
      <c r="H252" s="237"/>
      <c r="I252" s="53"/>
      <c r="J252" s="237"/>
      <c r="K252" s="24"/>
      <c r="L252" s="24"/>
      <c r="M252" s="24"/>
      <c r="N252" s="24"/>
      <c r="O252" s="24"/>
    </row>
    <row r="253" spans="5:15" s="22" customFormat="1" x14ac:dyDescent="0.25">
      <c r="E253" s="233"/>
      <c r="F253" s="233"/>
      <c r="G253" s="233"/>
      <c r="H253" s="237"/>
      <c r="I253" s="53"/>
      <c r="J253" s="237"/>
      <c r="K253" s="24"/>
      <c r="L253" s="24"/>
      <c r="M253" s="24"/>
      <c r="N253" s="24"/>
      <c r="O253" s="24"/>
    </row>
    <row r="254" spans="5:15" s="22" customFormat="1" x14ac:dyDescent="0.25">
      <c r="E254" s="233"/>
      <c r="F254" s="233"/>
      <c r="G254" s="233"/>
      <c r="H254" s="237"/>
      <c r="I254" s="53"/>
      <c r="J254" s="237"/>
      <c r="K254" s="24"/>
      <c r="L254" s="24"/>
      <c r="M254" s="24"/>
      <c r="N254" s="24"/>
      <c r="O254" s="24"/>
    </row>
    <row r="255" spans="5:15" s="22" customFormat="1" x14ac:dyDescent="0.25">
      <c r="E255" s="233"/>
      <c r="F255" s="233"/>
      <c r="G255" s="233"/>
      <c r="H255" s="237"/>
      <c r="I255" s="53"/>
      <c r="J255" s="237"/>
      <c r="K255" s="24"/>
      <c r="L255" s="24"/>
      <c r="M255" s="24"/>
      <c r="N255" s="24"/>
      <c r="O255" s="24"/>
    </row>
    <row r="256" spans="5:15" s="22" customFormat="1" x14ac:dyDescent="0.25">
      <c r="E256" s="233"/>
      <c r="F256" s="233"/>
      <c r="G256" s="233"/>
      <c r="H256" s="237"/>
      <c r="I256" s="53"/>
      <c r="J256" s="237"/>
      <c r="K256" s="24"/>
      <c r="L256" s="24"/>
      <c r="M256" s="24"/>
      <c r="N256" s="24"/>
      <c r="O256" s="24"/>
    </row>
    <row r="257" spans="5:15" s="22" customFormat="1" x14ac:dyDescent="0.25">
      <c r="E257" s="233"/>
      <c r="F257" s="233"/>
      <c r="G257" s="233"/>
      <c r="H257" s="237"/>
      <c r="I257" s="53"/>
      <c r="J257" s="237"/>
      <c r="K257" s="24"/>
      <c r="L257" s="24"/>
      <c r="M257" s="24"/>
      <c r="N257" s="24"/>
      <c r="O257" s="24"/>
    </row>
    <row r="258" spans="5:15" s="22" customFormat="1" x14ac:dyDescent="0.25">
      <c r="E258" s="233"/>
      <c r="F258" s="233"/>
      <c r="G258" s="233"/>
      <c r="H258" s="237"/>
      <c r="I258" s="53"/>
      <c r="J258" s="237"/>
      <c r="K258" s="24"/>
      <c r="L258" s="24"/>
      <c r="M258" s="24"/>
      <c r="N258" s="24"/>
      <c r="O258" s="24"/>
    </row>
    <row r="259" spans="5:15" s="22" customFormat="1" x14ac:dyDescent="0.25">
      <c r="E259" s="233"/>
      <c r="F259" s="233"/>
      <c r="G259" s="233"/>
      <c r="H259" s="237"/>
      <c r="I259" s="53"/>
      <c r="J259" s="237"/>
      <c r="K259" s="24"/>
      <c r="L259" s="24"/>
      <c r="M259" s="24"/>
      <c r="N259" s="24"/>
      <c r="O259" s="24"/>
    </row>
    <row r="260" spans="5:15" s="22" customFormat="1" x14ac:dyDescent="0.25">
      <c r="E260" s="233"/>
      <c r="F260" s="233"/>
      <c r="G260" s="233"/>
      <c r="H260" s="237"/>
      <c r="I260" s="53"/>
      <c r="J260" s="237"/>
      <c r="K260" s="24"/>
      <c r="L260" s="24"/>
      <c r="M260" s="24"/>
      <c r="N260" s="24"/>
      <c r="O260" s="24"/>
    </row>
    <row r="261" spans="5:15" s="22" customFormat="1" x14ac:dyDescent="0.25">
      <c r="E261" s="233"/>
      <c r="F261" s="233"/>
      <c r="G261" s="233"/>
      <c r="H261" s="237"/>
      <c r="I261" s="53"/>
      <c r="J261" s="237"/>
      <c r="K261" s="24"/>
      <c r="L261" s="24"/>
      <c r="M261" s="24"/>
      <c r="N261" s="24"/>
      <c r="O261" s="24"/>
    </row>
    <row r="262" spans="5:15" s="22" customFormat="1" x14ac:dyDescent="0.25">
      <c r="E262" s="233"/>
      <c r="F262" s="233"/>
      <c r="G262" s="233"/>
      <c r="H262" s="237"/>
      <c r="I262" s="53"/>
      <c r="J262" s="237"/>
      <c r="K262" s="24"/>
      <c r="L262" s="24"/>
      <c r="M262" s="24"/>
      <c r="N262" s="24"/>
      <c r="O262" s="24"/>
    </row>
    <row r="263" spans="5:15" s="22" customFormat="1" x14ac:dyDescent="0.25">
      <c r="E263" s="233"/>
      <c r="F263" s="233"/>
      <c r="G263" s="233"/>
      <c r="H263" s="237"/>
      <c r="I263" s="53"/>
      <c r="J263" s="237"/>
      <c r="K263" s="24"/>
      <c r="L263" s="24"/>
      <c r="M263" s="24"/>
      <c r="N263" s="24"/>
      <c r="O263" s="24"/>
    </row>
    <row r="264" spans="5:15" s="22" customFormat="1" x14ac:dyDescent="0.25">
      <c r="E264" s="233"/>
      <c r="F264" s="233"/>
      <c r="G264" s="233"/>
      <c r="H264" s="237"/>
      <c r="I264" s="53"/>
      <c r="J264" s="237"/>
      <c r="K264" s="24"/>
      <c r="L264" s="24"/>
      <c r="M264" s="24"/>
      <c r="N264" s="24"/>
      <c r="O264" s="24"/>
    </row>
    <row r="265" spans="5:15" s="22" customFormat="1" x14ac:dyDescent="0.25">
      <c r="E265" s="233"/>
      <c r="F265" s="233"/>
      <c r="G265" s="233"/>
      <c r="H265" s="237"/>
      <c r="I265" s="53"/>
      <c r="J265" s="237"/>
      <c r="K265" s="24"/>
      <c r="L265" s="24"/>
      <c r="M265" s="24"/>
      <c r="N265" s="24"/>
      <c r="O265" s="24"/>
    </row>
    <row r="266" spans="5:15" s="22" customFormat="1" x14ac:dyDescent="0.25">
      <c r="E266" s="233"/>
      <c r="F266" s="233"/>
      <c r="G266" s="233"/>
      <c r="H266" s="237"/>
      <c r="I266" s="53"/>
      <c r="J266" s="237"/>
      <c r="K266" s="24"/>
      <c r="L266" s="24"/>
      <c r="M266" s="24"/>
      <c r="N266" s="24"/>
      <c r="O266" s="24"/>
    </row>
    <row r="267" spans="5:15" s="22" customFormat="1" x14ac:dyDescent="0.25">
      <c r="E267" s="233"/>
      <c r="F267" s="233"/>
      <c r="G267" s="233"/>
      <c r="H267" s="237"/>
      <c r="I267" s="53"/>
      <c r="J267" s="237"/>
      <c r="K267" s="24"/>
      <c r="L267" s="24"/>
      <c r="M267" s="24"/>
      <c r="N267" s="24"/>
      <c r="O267" s="24"/>
    </row>
    <row r="268" spans="5:15" s="22" customFormat="1" x14ac:dyDescent="0.25">
      <c r="E268" s="233"/>
      <c r="F268" s="233"/>
      <c r="G268" s="233"/>
      <c r="H268" s="237"/>
      <c r="I268" s="53"/>
      <c r="J268" s="237"/>
      <c r="K268" s="24"/>
      <c r="L268" s="24"/>
      <c r="M268" s="24"/>
      <c r="N268" s="24"/>
      <c r="O268" s="24"/>
    </row>
    <row r="269" spans="5:15" s="22" customFormat="1" x14ac:dyDescent="0.25">
      <c r="E269" s="233"/>
      <c r="F269" s="233"/>
      <c r="G269" s="233"/>
      <c r="H269" s="237"/>
      <c r="I269" s="53"/>
      <c r="J269" s="237"/>
      <c r="K269" s="24"/>
      <c r="L269" s="24"/>
      <c r="M269" s="24"/>
      <c r="N269" s="24"/>
      <c r="O269" s="24"/>
    </row>
    <row r="270" spans="5:15" s="22" customFormat="1" x14ac:dyDescent="0.25">
      <c r="E270" s="233"/>
      <c r="F270" s="233"/>
      <c r="G270" s="233"/>
      <c r="H270" s="237"/>
      <c r="I270" s="53"/>
      <c r="J270" s="237"/>
      <c r="K270" s="24"/>
      <c r="L270" s="24"/>
      <c r="M270" s="24"/>
      <c r="N270" s="24"/>
      <c r="O270" s="24"/>
    </row>
    <row r="271" spans="5:15" s="22" customFormat="1" x14ac:dyDescent="0.25">
      <c r="E271" s="233"/>
      <c r="F271" s="233"/>
      <c r="G271" s="233"/>
      <c r="H271" s="237"/>
      <c r="I271" s="53"/>
      <c r="J271" s="237"/>
      <c r="K271" s="24"/>
      <c r="L271" s="24"/>
      <c r="M271" s="24"/>
      <c r="N271" s="24"/>
      <c r="O271" s="24"/>
    </row>
    <row r="272" spans="5:15" s="22" customFormat="1" x14ac:dyDescent="0.25">
      <c r="E272" s="233"/>
      <c r="F272" s="233"/>
      <c r="G272" s="233"/>
      <c r="H272" s="237"/>
      <c r="I272" s="53"/>
      <c r="J272" s="237"/>
      <c r="K272" s="24"/>
      <c r="L272" s="24"/>
      <c r="M272" s="24"/>
      <c r="N272" s="24"/>
      <c r="O272" s="24"/>
    </row>
    <row r="273" spans="5:15" s="22" customFormat="1" x14ac:dyDescent="0.25">
      <c r="E273" s="233"/>
      <c r="F273" s="233"/>
      <c r="G273" s="233"/>
      <c r="H273" s="237"/>
      <c r="I273" s="53"/>
      <c r="J273" s="237"/>
      <c r="K273" s="24"/>
      <c r="L273" s="24"/>
      <c r="M273" s="24"/>
      <c r="N273" s="24"/>
      <c r="O273" s="24"/>
    </row>
    <row r="274" spans="5:15" s="22" customFormat="1" x14ac:dyDescent="0.25">
      <c r="E274" s="233"/>
      <c r="F274" s="233"/>
      <c r="G274" s="233"/>
      <c r="H274" s="237"/>
      <c r="I274" s="53"/>
      <c r="J274" s="237"/>
      <c r="K274" s="24"/>
      <c r="L274" s="24"/>
      <c r="M274" s="24"/>
      <c r="N274" s="24"/>
      <c r="O274" s="24"/>
    </row>
    <row r="275" spans="5:15" s="22" customFormat="1" x14ac:dyDescent="0.25">
      <c r="E275" s="233"/>
      <c r="F275" s="233"/>
      <c r="G275" s="233"/>
      <c r="H275" s="237"/>
      <c r="I275" s="53"/>
      <c r="J275" s="237"/>
      <c r="K275" s="24"/>
      <c r="L275" s="24"/>
      <c r="M275" s="24"/>
      <c r="N275" s="24"/>
      <c r="O275" s="24"/>
    </row>
    <row r="276" spans="5:15" s="22" customFormat="1" x14ac:dyDescent="0.25">
      <c r="E276" s="233"/>
      <c r="F276" s="233"/>
      <c r="G276" s="233"/>
      <c r="H276" s="237"/>
      <c r="I276" s="53"/>
      <c r="J276" s="237"/>
      <c r="K276" s="24"/>
      <c r="L276" s="24"/>
      <c r="M276" s="24"/>
      <c r="N276" s="24"/>
      <c r="O276" s="24"/>
    </row>
    <row r="277" spans="5:15" s="22" customFormat="1" x14ac:dyDescent="0.25">
      <c r="E277" s="233"/>
      <c r="F277" s="233"/>
      <c r="G277" s="233"/>
      <c r="H277" s="237"/>
      <c r="I277" s="53"/>
      <c r="J277" s="237"/>
      <c r="K277" s="24"/>
      <c r="L277" s="24"/>
      <c r="M277" s="24"/>
      <c r="N277" s="24"/>
      <c r="O277" s="24"/>
    </row>
    <row r="278" spans="5:15" s="22" customFormat="1" x14ac:dyDescent="0.25">
      <c r="E278" s="233"/>
      <c r="F278" s="233"/>
      <c r="G278" s="233"/>
      <c r="H278" s="237"/>
      <c r="I278" s="53"/>
      <c r="J278" s="237"/>
      <c r="K278" s="24"/>
      <c r="L278" s="24"/>
      <c r="M278" s="24"/>
      <c r="N278" s="24"/>
      <c r="O278" s="24"/>
    </row>
    <row r="279" spans="5:15" s="22" customFormat="1" x14ac:dyDescent="0.25">
      <c r="E279" s="233"/>
      <c r="F279" s="233"/>
      <c r="G279" s="233"/>
      <c r="H279" s="237"/>
      <c r="I279" s="53"/>
      <c r="J279" s="237"/>
      <c r="K279" s="24"/>
      <c r="L279" s="24"/>
      <c r="M279" s="24"/>
      <c r="N279" s="24"/>
      <c r="O279" s="24"/>
    </row>
    <row r="280" spans="5:15" s="22" customFormat="1" x14ac:dyDescent="0.25">
      <c r="E280" s="233"/>
      <c r="F280" s="233"/>
      <c r="G280" s="233"/>
      <c r="H280" s="237"/>
      <c r="I280" s="53"/>
      <c r="J280" s="237"/>
      <c r="K280" s="24"/>
      <c r="L280" s="24"/>
      <c r="M280" s="24"/>
      <c r="N280" s="24"/>
      <c r="O280" s="24"/>
    </row>
    <row r="281" spans="5:15" s="22" customFormat="1" x14ac:dyDescent="0.25">
      <c r="E281" s="233"/>
      <c r="F281" s="233"/>
      <c r="G281" s="233"/>
      <c r="H281" s="237"/>
      <c r="I281" s="53"/>
      <c r="J281" s="237"/>
      <c r="K281" s="24"/>
      <c r="L281" s="24"/>
      <c r="M281" s="24"/>
      <c r="N281" s="24"/>
      <c r="O281" s="24"/>
    </row>
    <row r="282" spans="5:15" s="22" customFormat="1" x14ac:dyDescent="0.25">
      <c r="E282" s="233"/>
      <c r="F282" s="233"/>
      <c r="G282" s="233"/>
      <c r="H282" s="237"/>
      <c r="I282" s="53"/>
      <c r="J282" s="237"/>
      <c r="K282" s="24"/>
      <c r="L282" s="24"/>
      <c r="M282" s="24"/>
      <c r="N282" s="24"/>
      <c r="O282" s="24"/>
    </row>
    <row r="283" spans="5:15" s="22" customFormat="1" x14ac:dyDescent="0.25">
      <c r="E283" s="233"/>
      <c r="F283" s="233"/>
      <c r="G283" s="233"/>
      <c r="H283" s="237"/>
      <c r="I283" s="53"/>
      <c r="J283" s="237"/>
      <c r="K283" s="24"/>
      <c r="L283" s="24"/>
      <c r="M283" s="24"/>
      <c r="N283" s="24"/>
      <c r="O283" s="24"/>
    </row>
    <row r="284" spans="5:15" s="22" customFormat="1" x14ac:dyDescent="0.25">
      <c r="E284" s="233"/>
      <c r="F284" s="233"/>
      <c r="G284" s="233"/>
      <c r="H284" s="237"/>
      <c r="I284" s="53"/>
      <c r="J284" s="237"/>
      <c r="K284" s="24"/>
      <c r="L284" s="24"/>
      <c r="M284" s="24"/>
      <c r="N284" s="24"/>
      <c r="O284" s="24"/>
    </row>
    <row r="285" spans="5:15" s="22" customFormat="1" x14ac:dyDescent="0.25">
      <c r="E285" s="233"/>
      <c r="F285" s="233"/>
      <c r="G285" s="233"/>
      <c r="H285" s="237"/>
      <c r="I285" s="53"/>
      <c r="J285" s="237"/>
      <c r="K285" s="24"/>
      <c r="L285" s="24"/>
      <c r="M285" s="24"/>
      <c r="N285" s="24"/>
      <c r="O285" s="24"/>
    </row>
    <row r="286" spans="5:15" s="22" customFormat="1" x14ac:dyDescent="0.25">
      <c r="E286" s="233"/>
      <c r="F286" s="233"/>
      <c r="G286" s="233"/>
      <c r="H286" s="237"/>
      <c r="I286" s="53"/>
      <c r="J286" s="237"/>
      <c r="K286" s="24"/>
      <c r="L286" s="24"/>
      <c r="M286" s="24"/>
      <c r="N286" s="24"/>
      <c r="O286" s="24"/>
    </row>
    <row r="287" spans="5:15" s="22" customFormat="1" x14ac:dyDescent="0.25">
      <c r="E287" s="233"/>
      <c r="F287" s="233"/>
      <c r="G287" s="233"/>
      <c r="H287" s="237"/>
      <c r="I287" s="53"/>
      <c r="J287" s="237"/>
      <c r="K287" s="24"/>
      <c r="L287" s="24"/>
      <c r="M287" s="24"/>
      <c r="N287" s="24"/>
      <c r="O287" s="24"/>
    </row>
    <row r="288" spans="5:15" s="22" customFormat="1" x14ac:dyDescent="0.25">
      <c r="E288" s="233"/>
      <c r="F288" s="233"/>
      <c r="G288" s="233"/>
      <c r="H288" s="237"/>
      <c r="I288" s="53"/>
      <c r="J288" s="237"/>
      <c r="K288" s="24"/>
      <c r="L288" s="24"/>
      <c r="M288" s="24"/>
      <c r="N288" s="24"/>
      <c r="O288" s="24"/>
    </row>
    <row r="289" spans="5:15" s="22" customFormat="1" x14ac:dyDescent="0.25">
      <c r="E289" s="233"/>
      <c r="F289" s="233"/>
      <c r="G289" s="233"/>
      <c r="H289" s="237"/>
      <c r="I289" s="53"/>
      <c r="J289" s="237"/>
      <c r="K289" s="24"/>
      <c r="L289" s="24"/>
      <c r="M289" s="24"/>
      <c r="N289" s="24"/>
      <c r="O289" s="24"/>
    </row>
    <row r="290" spans="5:15" s="22" customFormat="1" x14ac:dyDescent="0.25">
      <c r="E290" s="233"/>
      <c r="F290" s="233"/>
      <c r="G290" s="233"/>
      <c r="H290" s="237"/>
      <c r="I290" s="53"/>
      <c r="J290" s="237"/>
      <c r="K290" s="24"/>
      <c r="L290" s="24"/>
      <c r="M290" s="24"/>
      <c r="N290" s="24"/>
      <c r="O290" s="24"/>
    </row>
    <row r="291" spans="5:15" s="22" customFormat="1" x14ac:dyDescent="0.25">
      <c r="E291" s="233"/>
      <c r="F291" s="233"/>
      <c r="G291" s="233"/>
      <c r="H291" s="237"/>
      <c r="I291" s="53"/>
      <c r="J291" s="237"/>
      <c r="K291" s="24"/>
      <c r="L291" s="24"/>
      <c r="M291" s="24"/>
      <c r="N291" s="24"/>
      <c r="O291" s="24"/>
    </row>
    <row r="292" spans="5:15" s="22" customFormat="1" x14ac:dyDescent="0.25">
      <c r="E292" s="233"/>
      <c r="F292" s="233"/>
      <c r="G292" s="233"/>
      <c r="H292" s="237"/>
      <c r="I292" s="53"/>
      <c r="J292" s="237"/>
      <c r="K292" s="24"/>
      <c r="L292" s="24"/>
      <c r="M292" s="24"/>
      <c r="N292" s="24"/>
      <c r="O292" s="24"/>
    </row>
    <row r="293" spans="5:15" s="22" customFormat="1" x14ac:dyDescent="0.25">
      <c r="E293" s="233"/>
      <c r="F293" s="233"/>
      <c r="G293" s="233"/>
      <c r="H293" s="237"/>
      <c r="I293" s="53"/>
      <c r="J293" s="237"/>
      <c r="K293" s="24"/>
      <c r="L293" s="24"/>
      <c r="M293" s="24"/>
      <c r="N293" s="24"/>
      <c r="O293" s="24"/>
    </row>
    <row r="294" spans="5:15" s="22" customFormat="1" x14ac:dyDescent="0.25">
      <c r="E294" s="233"/>
      <c r="F294" s="233"/>
      <c r="G294" s="233"/>
      <c r="H294" s="237"/>
      <c r="I294" s="53"/>
      <c r="J294" s="237"/>
      <c r="K294" s="24"/>
      <c r="L294" s="24"/>
      <c r="M294" s="24"/>
      <c r="N294" s="24"/>
      <c r="O294" s="24"/>
    </row>
    <row r="295" spans="5:15" s="22" customFormat="1" x14ac:dyDescent="0.25">
      <c r="E295" s="233"/>
      <c r="F295" s="233"/>
      <c r="G295" s="233"/>
      <c r="H295" s="237"/>
      <c r="I295" s="53"/>
      <c r="J295" s="237"/>
      <c r="K295" s="24"/>
      <c r="L295" s="24"/>
      <c r="M295" s="24"/>
      <c r="N295" s="24"/>
      <c r="O295" s="24"/>
    </row>
    <row r="296" spans="5:15" s="22" customFormat="1" x14ac:dyDescent="0.25">
      <c r="E296" s="233"/>
      <c r="F296" s="233"/>
      <c r="G296" s="233"/>
      <c r="H296" s="237"/>
      <c r="I296" s="53"/>
      <c r="J296" s="237"/>
      <c r="K296" s="24"/>
      <c r="L296" s="24"/>
      <c r="M296" s="24"/>
      <c r="N296" s="24"/>
      <c r="O296" s="24"/>
    </row>
    <row r="297" spans="5:15" s="22" customFormat="1" x14ac:dyDescent="0.25">
      <c r="E297" s="233"/>
      <c r="F297" s="233"/>
      <c r="G297" s="233"/>
      <c r="H297" s="237"/>
      <c r="I297" s="53"/>
      <c r="J297" s="237"/>
      <c r="K297" s="24"/>
      <c r="L297" s="24"/>
      <c r="M297" s="24"/>
      <c r="N297" s="24"/>
      <c r="O297" s="24"/>
    </row>
    <row r="298" spans="5:15" s="22" customFormat="1" x14ac:dyDescent="0.25">
      <c r="E298" s="233"/>
      <c r="F298" s="233"/>
      <c r="G298" s="233"/>
      <c r="H298" s="237"/>
      <c r="I298" s="53"/>
      <c r="J298" s="237"/>
      <c r="K298" s="24"/>
      <c r="L298" s="24"/>
      <c r="M298" s="24"/>
      <c r="N298" s="24"/>
      <c r="O298" s="24"/>
    </row>
    <row r="299" spans="5:15" s="22" customFormat="1" x14ac:dyDescent="0.25">
      <c r="E299" s="233"/>
      <c r="F299" s="233"/>
      <c r="G299" s="233"/>
      <c r="H299" s="237"/>
      <c r="I299" s="53"/>
      <c r="J299" s="237"/>
      <c r="K299" s="24"/>
      <c r="L299" s="24"/>
      <c r="M299" s="24"/>
      <c r="N299" s="24"/>
      <c r="O299" s="24"/>
    </row>
    <row r="300" spans="5:15" s="22" customFormat="1" x14ac:dyDescent="0.25">
      <c r="E300" s="233"/>
      <c r="F300" s="233"/>
      <c r="G300" s="233"/>
      <c r="H300" s="237"/>
      <c r="I300" s="53"/>
      <c r="J300" s="237"/>
      <c r="K300" s="24"/>
      <c r="L300" s="24"/>
      <c r="M300" s="24"/>
      <c r="N300" s="24"/>
      <c r="O300" s="24"/>
    </row>
    <row r="301" spans="5:15" s="22" customFormat="1" x14ac:dyDescent="0.25">
      <c r="E301" s="233"/>
      <c r="F301" s="233"/>
      <c r="G301" s="233"/>
      <c r="H301" s="237"/>
      <c r="I301" s="53"/>
      <c r="J301" s="237"/>
      <c r="K301" s="24"/>
      <c r="L301" s="24"/>
      <c r="M301" s="24"/>
      <c r="N301" s="24"/>
      <c r="O301" s="24"/>
    </row>
    <row r="302" spans="5:15" s="22" customFormat="1" x14ac:dyDescent="0.25">
      <c r="E302" s="233"/>
      <c r="F302" s="233"/>
      <c r="G302" s="233"/>
      <c r="H302" s="237"/>
      <c r="I302" s="53"/>
      <c r="J302" s="237"/>
      <c r="K302" s="24"/>
      <c r="L302" s="24"/>
      <c r="M302" s="24"/>
      <c r="N302" s="24"/>
      <c r="O302" s="24"/>
    </row>
    <row r="303" spans="5:15" s="22" customFormat="1" x14ac:dyDescent="0.25">
      <c r="E303" s="233"/>
      <c r="F303" s="233"/>
      <c r="G303" s="233"/>
      <c r="H303" s="237"/>
      <c r="I303" s="53"/>
      <c r="J303" s="237"/>
      <c r="K303" s="24"/>
      <c r="L303" s="24"/>
      <c r="M303" s="24"/>
      <c r="N303" s="24"/>
      <c r="O303" s="24"/>
    </row>
    <row r="304" spans="5:15" s="22" customFormat="1" x14ac:dyDescent="0.25">
      <c r="E304" s="233"/>
      <c r="F304" s="233"/>
      <c r="G304" s="233"/>
      <c r="H304" s="237"/>
      <c r="I304" s="53"/>
      <c r="J304" s="237"/>
      <c r="K304" s="24"/>
      <c r="L304" s="24"/>
      <c r="M304" s="24"/>
      <c r="N304" s="24"/>
      <c r="O304" s="24"/>
    </row>
    <row r="305" spans="5:15" s="22" customFormat="1" x14ac:dyDescent="0.25">
      <c r="E305" s="233"/>
      <c r="F305" s="233"/>
      <c r="G305" s="233"/>
      <c r="H305" s="237"/>
      <c r="I305" s="53"/>
      <c r="J305" s="237"/>
      <c r="K305" s="24"/>
      <c r="L305" s="24"/>
      <c r="M305" s="24"/>
      <c r="N305" s="24"/>
      <c r="O305" s="24"/>
    </row>
    <row r="306" spans="5:15" s="22" customFormat="1" x14ac:dyDescent="0.25">
      <c r="E306" s="233"/>
      <c r="F306" s="233"/>
      <c r="G306" s="233"/>
      <c r="H306" s="237"/>
      <c r="I306" s="53"/>
      <c r="J306" s="237"/>
      <c r="K306" s="24"/>
      <c r="L306" s="24"/>
      <c r="M306" s="24"/>
      <c r="N306" s="24"/>
      <c r="O306" s="24"/>
    </row>
    <row r="307" spans="5:15" s="22" customFormat="1" x14ac:dyDescent="0.25">
      <c r="E307" s="233"/>
      <c r="F307" s="233"/>
      <c r="G307" s="233"/>
      <c r="H307" s="237"/>
      <c r="I307" s="53"/>
      <c r="J307" s="237"/>
      <c r="K307" s="24"/>
      <c r="L307" s="24"/>
      <c r="M307" s="24"/>
      <c r="N307" s="24"/>
      <c r="O307" s="24"/>
    </row>
    <row r="308" spans="5:15" s="22" customFormat="1" x14ac:dyDescent="0.25">
      <c r="E308" s="233"/>
      <c r="F308" s="233"/>
      <c r="G308" s="233"/>
      <c r="H308" s="237"/>
      <c r="I308" s="53"/>
      <c r="J308" s="237"/>
      <c r="K308" s="24"/>
      <c r="L308" s="24"/>
      <c r="M308" s="24"/>
      <c r="N308" s="24"/>
      <c r="O308" s="24"/>
    </row>
    <row r="309" spans="5:15" s="22" customFormat="1" x14ac:dyDescent="0.25">
      <c r="E309" s="233"/>
      <c r="F309" s="233"/>
      <c r="G309" s="233"/>
      <c r="H309" s="237"/>
      <c r="I309" s="53"/>
      <c r="J309" s="237"/>
      <c r="K309" s="24"/>
      <c r="L309" s="24"/>
      <c r="M309" s="24"/>
      <c r="N309" s="24"/>
      <c r="O309" s="24"/>
    </row>
    <row r="310" spans="5:15" s="22" customFormat="1" x14ac:dyDescent="0.25">
      <c r="E310" s="233"/>
      <c r="F310" s="233"/>
      <c r="G310" s="233"/>
      <c r="H310" s="237"/>
      <c r="I310" s="53"/>
      <c r="J310" s="237"/>
      <c r="K310" s="24"/>
      <c r="L310" s="24"/>
      <c r="M310" s="24"/>
      <c r="N310" s="24"/>
      <c r="O310" s="24"/>
    </row>
    <row r="311" spans="5:15" s="22" customFormat="1" x14ac:dyDescent="0.25">
      <c r="E311" s="233"/>
      <c r="F311" s="233"/>
      <c r="G311" s="233"/>
      <c r="H311" s="237"/>
      <c r="I311" s="53"/>
      <c r="J311" s="237"/>
      <c r="K311" s="24"/>
      <c r="L311" s="24"/>
      <c r="M311" s="24"/>
      <c r="N311" s="24"/>
      <c r="O311" s="24"/>
    </row>
    <row r="312" spans="5:15" s="22" customFormat="1" x14ac:dyDescent="0.25">
      <c r="E312" s="233"/>
      <c r="F312" s="233"/>
      <c r="G312" s="233"/>
      <c r="H312" s="237"/>
      <c r="I312" s="53"/>
      <c r="J312" s="237"/>
      <c r="K312" s="24"/>
      <c r="L312" s="24"/>
      <c r="M312" s="24"/>
      <c r="N312" s="24"/>
      <c r="O312" s="24"/>
    </row>
    <row r="313" spans="5:15" s="22" customFormat="1" x14ac:dyDescent="0.25">
      <c r="E313" s="233"/>
      <c r="F313" s="233"/>
      <c r="G313" s="233"/>
      <c r="H313" s="237"/>
      <c r="I313" s="53"/>
      <c r="J313" s="237"/>
      <c r="K313" s="24"/>
      <c r="L313" s="24"/>
      <c r="M313" s="24"/>
      <c r="N313" s="24"/>
      <c r="O313" s="24"/>
    </row>
    <row r="314" spans="5:15" s="22" customFormat="1" x14ac:dyDescent="0.25">
      <c r="E314" s="233"/>
      <c r="F314" s="233"/>
      <c r="G314" s="233"/>
      <c r="H314" s="237"/>
      <c r="I314" s="53"/>
      <c r="J314" s="237"/>
      <c r="K314" s="24"/>
      <c r="L314" s="24"/>
      <c r="M314" s="24"/>
      <c r="N314" s="24"/>
      <c r="O314" s="24"/>
    </row>
    <row r="315" spans="5:15" s="22" customFormat="1" x14ac:dyDescent="0.25">
      <c r="E315" s="233"/>
      <c r="F315" s="233"/>
      <c r="G315" s="233"/>
      <c r="H315" s="237"/>
      <c r="I315" s="53"/>
      <c r="J315" s="237"/>
      <c r="K315" s="24"/>
      <c r="L315" s="24"/>
      <c r="M315" s="24"/>
      <c r="N315" s="24"/>
      <c r="O315" s="24"/>
    </row>
    <row r="316" spans="5:15" s="22" customFormat="1" x14ac:dyDescent="0.25">
      <c r="E316" s="233"/>
      <c r="F316" s="233"/>
      <c r="G316" s="233"/>
      <c r="H316" s="237"/>
      <c r="I316" s="53"/>
      <c r="J316" s="237"/>
      <c r="K316" s="24"/>
      <c r="L316" s="24"/>
      <c r="M316" s="24"/>
      <c r="N316" s="24"/>
      <c r="O316" s="24"/>
    </row>
    <row r="317" spans="5:15" s="22" customFormat="1" x14ac:dyDescent="0.25">
      <c r="E317" s="233"/>
      <c r="F317" s="233"/>
      <c r="G317" s="233"/>
      <c r="H317" s="237"/>
      <c r="I317" s="53"/>
      <c r="J317" s="237"/>
      <c r="K317" s="24"/>
      <c r="L317" s="24"/>
      <c r="M317" s="24"/>
      <c r="N317" s="24"/>
      <c r="O317" s="24"/>
    </row>
    <row r="318" spans="5:15" s="22" customFormat="1" x14ac:dyDescent="0.25">
      <c r="E318" s="233"/>
      <c r="F318" s="233"/>
      <c r="G318" s="233"/>
      <c r="H318" s="237"/>
      <c r="I318" s="53"/>
      <c r="J318" s="237"/>
      <c r="K318" s="24"/>
      <c r="L318" s="24"/>
      <c r="M318" s="24"/>
      <c r="N318" s="24"/>
      <c r="O318" s="24"/>
    </row>
    <row r="319" spans="5:15" s="22" customFormat="1" x14ac:dyDescent="0.25">
      <c r="E319" s="233"/>
      <c r="F319" s="233"/>
      <c r="G319" s="233"/>
      <c r="H319" s="237"/>
      <c r="I319" s="53"/>
      <c r="J319" s="237"/>
      <c r="K319" s="24"/>
      <c r="L319" s="24"/>
      <c r="M319" s="24"/>
      <c r="N319" s="24"/>
      <c r="O319" s="24"/>
    </row>
    <row r="320" spans="5:15" s="22" customFormat="1" x14ac:dyDescent="0.25">
      <c r="E320" s="233"/>
      <c r="F320" s="233"/>
      <c r="G320" s="233"/>
      <c r="H320" s="237"/>
      <c r="I320" s="53"/>
      <c r="J320" s="237"/>
      <c r="K320" s="24"/>
      <c r="L320" s="24"/>
      <c r="M320" s="24"/>
      <c r="N320" s="24"/>
      <c r="O320" s="24"/>
    </row>
    <row r="321" spans="5:15" s="22" customFormat="1" x14ac:dyDescent="0.25">
      <c r="E321" s="233"/>
      <c r="F321" s="233"/>
      <c r="G321" s="233"/>
      <c r="H321" s="237"/>
      <c r="I321" s="53"/>
      <c r="J321" s="237"/>
      <c r="K321" s="24"/>
      <c r="L321" s="24"/>
      <c r="M321" s="24"/>
      <c r="N321" s="24"/>
      <c r="O321" s="24"/>
    </row>
    <row r="322" spans="5:15" s="22" customFormat="1" x14ac:dyDescent="0.25">
      <c r="E322" s="233"/>
      <c r="F322" s="233"/>
      <c r="G322" s="233"/>
      <c r="H322" s="237"/>
      <c r="I322" s="53"/>
      <c r="J322" s="237"/>
      <c r="K322" s="24"/>
      <c r="L322" s="24"/>
      <c r="M322" s="24"/>
      <c r="N322" s="24"/>
      <c r="O322" s="24"/>
    </row>
    <row r="323" spans="5:15" s="22" customFormat="1" x14ac:dyDescent="0.25">
      <c r="E323" s="233"/>
      <c r="F323" s="233"/>
      <c r="G323" s="233"/>
      <c r="H323" s="237"/>
      <c r="I323" s="53"/>
      <c r="J323" s="237"/>
      <c r="K323" s="24"/>
      <c r="L323" s="24"/>
      <c r="M323" s="24"/>
      <c r="N323" s="24"/>
      <c r="O323" s="24"/>
    </row>
    <row r="324" spans="5:15" s="22" customFormat="1" x14ac:dyDescent="0.25">
      <c r="E324" s="233"/>
      <c r="F324" s="233"/>
      <c r="G324" s="233"/>
      <c r="H324" s="237"/>
      <c r="I324" s="53"/>
      <c r="J324" s="237"/>
      <c r="K324" s="24"/>
      <c r="L324" s="24"/>
      <c r="M324" s="24"/>
      <c r="N324" s="24"/>
      <c r="O324" s="24"/>
    </row>
    <row r="325" spans="5:15" s="22" customFormat="1" x14ac:dyDescent="0.25">
      <c r="E325" s="233"/>
      <c r="F325" s="233"/>
      <c r="G325" s="233"/>
      <c r="H325" s="237"/>
      <c r="I325" s="53"/>
      <c r="J325" s="237"/>
      <c r="K325" s="24"/>
      <c r="L325" s="24"/>
      <c r="M325" s="24"/>
      <c r="N325" s="24"/>
      <c r="O325" s="24"/>
    </row>
    <row r="326" spans="5:15" s="22" customFormat="1" x14ac:dyDescent="0.25">
      <c r="E326" s="233"/>
      <c r="F326" s="233"/>
      <c r="G326" s="233"/>
      <c r="H326" s="237"/>
      <c r="I326" s="53"/>
      <c r="J326" s="237"/>
      <c r="K326" s="24"/>
      <c r="L326" s="24"/>
      <c r="M326" s="24"/>
      <c r="N326" s="24"/>
      <c r="O326" s="24"/>
    </row>
    <row r="327" spans="5:15" s="22" customFormat="1" x14ac:dyDescent="0.25">
      <c r="E327" s="233"/>
      <c r="F327" s="233"/>
      <c r="G327" s="233"/>
      <c r="H327" s="237"/>
      <c r="I327" s="53"/>
      <c r="J327" s="237"/>
      <c r="K327" s="24"/>
      <c r="L327" s="24"/>
      <c r="M327" s="24"/>
      <c r="N327" s="24"/>
      <c r="O327" s="24"/>
    </row>
    <row r="328" spans="5:15" s="22" customFormat="1" x14ac:dyDescent="0.25">
      <c r="E328" s="233"/>
      <c r="F328" s="233"/>
      <c r="G328" s="233"/>
      <c r="H328" s="237"/>
      <c r="I328" s="53"/>
      <c r="J328" s="237"/>
      <c r="K328" s="24"/>
      <c r="L328" s="24"/>
      <c r="M328" s="24"/>
      <c r="N328" s="24"/>
      <c r="O328" s="24"/>
    </row>
    <row r="329" spans="5:15" s="22" customFormat="1" x14ac:dyDescent="0.25">
      <c r="E329" s="233"/>
      <c r="F329" s="233"/>
      <c r="G329" s="233"/>
      <c r="H329" s="237"/>
      <c r="I329" s="53"/>
      <c r="J329" s="237"/>
      <c r="K329" s="24"/>
      <c r="L329" s="24"/>
      <c r="M329" s="24"/>
      <c r="N329" s="24"/>
      <c r="O329" s="24"/>
    </row>
    <row r="330" spans="5:15" s="22" customFormat="1" x14ac:dyDescent="0.25">
      <c r="E330" s="233"/>
      <c r="F330" s="233"/>
      <c r="G330" s="233"/>
      <c r="H330" s="237"/>
      <c r="I330" s="53"/>
      <c r="J330" s="237"/>
      <c r="K330" s="24"/>
      <c r="L330" s="24"/>
      <c r="M330" s="24"/>
      <c r="N330" s="24"/>
      <c r="O330" s="24"/>
    </row>
    <row r="331" spans="5:15" s="22" customFormat="1" x14ac:dyDescent="0.25">
      <c r="E331" s="233"/>
      <c r="F331" s="233"/>
      <c r="G331" s="233"/>
      <c r="H331" s="237"/>
      <c r="I331" s="53"/>
      <c r="J331" s="237"/>
      <c r="K331" s="24"/>
      <c r="L331" s="24"/>
      <c r="M331" s="24"/>
      <c r="N331" s="24"/>
      <c r="O331" s="24"/>
    </row>
    <row r="332" spans="5:15" s="22" customFormat="1" x14ac:dyDescent="0.25">
      <c r="E332" s="233"/>
      <c r="F332" s="233"/>
      <c r="G332" s="233"/>
      <c r="H332" s="237"/>
      <c r="I332" s="53"/>
      <c r="J332" s="237"/>
      <c r="K332" s="24"/>
      <c r="L332" s="24"/>
      <c r="M332" s="24"/>
      <c r="N332" s="24"/>
      <c r="O332" s="24"/>
    </row>
    <row r="333" spans="5:15" s="22" customFormat="1" x14ac:dyDescent="0.25">
      <c r="E333" s="233"/>
      <c r="F333" s="233"/>
      <c r="G333" s="233"/>
      <c r="H333" s="237"/>
      <c r="I333" s="53"/>
      <c r="J333" s="237"/>
      <c r="K333" s="24"/>
      <c r="L333" s="24"/>
      <c r="M333" s="24"/>
      <c r="N333" s="24"/>
      <c r="O333" s="24"/>
    </row>
    <row r="334" spans="5:15" s="22" customFormat="1" x14ac:dyDescent="0.25">
      <c r="E334" s="233"/>
      <c r="F334" s="233"/>
      <c r="G334" s="233"/>
      <c r="H334" s="237"/>
      <c r="I334" s="53"/>
      <c r="J334" s="237"/>
      <c r="K334" s="24"/>
      <c r="L334" s="24"/>
      <c r="M334" s="24"/>
      <c r="N334" s="24"/>
      <c r="O334" s="24"/>
    </row>
    <row r="335" spans="5:15" s="22" customFormat="1" x14ac:dyDescent="0.25">
      <c r="E335" s="233"/>
      <c r="F335" s="233"/>
      <c r="G335" s="233"/>
      <c r="H335" s="237"/>
      <c r="I335" s="53"/>
      <c r="J335" s="237"/>
      <c r="K335" s="24"/>
      <c r="L335" s="24"/>
      <c r="M335" s="24"/>
      <c r="N335" s="24"/>
      <c r="O335" s="24"/>
    </row>
    <row r="336" spans="5:15" s="22" customFormat="1" x14ac:dyDescent="0.25">
      <c r="E336" s="233"/>
      <c r="F336" s="233"/>
      <c r="G336" s="233"/>
      <c r="H336" s="237"/>
      <c r="I336" s="53"/>
      <c r="J336" s="237"/>
      <c r="K336" s="24"/>
      <c r="L336" s="24"/>
      <c r="M336" s="24"/>
      <c r="N336" s="24"/>
      <c r="O336" s="24"/>
    </row>
    <row r="337" spans="5:15" s="22" customFormat="1" x14ac:dyDescent="0.25">
      <c r="E337" s="233"/>
      <c r="F337" s="233"/>
      <c r="G337" s="233"/>
      <c r="H337" s="237"/>
      <c r="I337" s="53"/>
      <c r="J337" s="237"/>
      <c r="K337" s="24"/>
      <c r="L337" s="24"/>
      <c r="M337" s="24"/>
      <c r="N337" s="24"/>
      <c r="O337" s="24"/>
    </row>
    <row r="338" spans="5:15" s="22" customFormat="1" x14ac:dyDescent="0.25">
      <c r="E338" s="233"/>
      <c r="F338" s="233"/>
      <c r="G338" s="233"/>
      <c r="H338" s="237"/>
      <c r="I338" s="53"/>
      <c r="J338" s="237"/>
      <c r="K338" s="24"/>
      <c r="L338" s="24"/>
      <c r="M338" s="24"/>
      <c r="N338" s="24"/>
      <c r="O338" s="24"/>
    </row>
    <row r="339" spans="5:15" s="22" customFormat="1" x14ac:dyDescent="0.25">
      <c r="E339" s="233"/>
      <c r="F339" s="233"/>
      <c r="G339" s="233"/>
      <c r="H339" s="237"/>
      <c r="I339" s="53"/>
      <c r="J339" s="237"/>
      <c r="K339" s="24"/>
      <c r="L339" s="24"/>
      <c r="M339" s="24"/>
      <c r="N339" s="24"/>
      <c r="O339" s="24"/>
    </row>
    <row r="340" spans="5:15" s="22" customFormat="1" x14ac:dyDescent="0.25">
      <c r="E340" s="233"/>
      <c r="F340" s="233"/>
      <c r="G340" s="233"/>
      <c r="H340" s="237"/>
      <c r="I340" s="53"/>
      <c r="J340" s="237"/>
      <c r="K340" s="24"/>
      <c r="L340" s="24"/>
      <c r="M340" s="24"/>
      <c r="N340" s="24"/>
      <c r="O340" s="24"/>
    </row>
    <row r="341" spans="5:15" s="22" customFormat="1" x14ac:dyDescent="0.25">
      <c r="E341" s="233"/>
      <c r="F341" s="233"/>
      <c r="G341" s="233"/>
      <c r="H341" s="237"/>
      <c r="I341" s="53"/>
      <c r="J341" s="237"/>
      <c r="K341" s="24"/>
      <c r="L341" s="24"/>
      <c r="M341" s="24"/>
      <c r="N341" s="24"/>
      <c r="O341" s="24"/>
    </row>
    <row r="342" spans="5:15" s="22" customFormat="1" x14ac:dyDescent="0.25">
      <c r="E342" s="233"/>
      <c r="F342" s="233"/>
      <c r="G342" s="233"/>
      <c r="H342" s="237"/>
      <c r="I342" s="53"/>
      <c r="J342" s="237"/>
      <c r="K342" s="24"/>
      <c r="L342" s="24"/>
      <c r="M342" s="24"/>
      <c r="N342" s="24"/>
      <c r="O342" s="24"/>
    </row>
    <row r="343" spans="5:15" s="22" customFormat="1" x14ac:dyDescent="0.25">
      <c r="E343" s="233"/>
      <c r="F343" s="233"/>
      <c r="G343" s="233"/>
      <c r="H343" s="237"/>
      <c r="I343" s="53"/>
      <c r="J343" s="237"/>
      <c r="K343" s="24"/>
      <c r="L343" s="24"/>
      <c r="M343" s="24"/>
      <c r="N343" s="24"/>
      <c r="O343" s="24"/>
    </row>
    <row r="344" spans="5:15" s="22" customFormat="1" x14ac:dyDescent="0.25">
      <c r="E344" s="233"/>
      <c r="F344" s="233"/>
      <c r="G344" s="233"/>
      <c r="H344" s="237"/>
      <c r="I344" s="53"/>
      <c r="J344" s="237"/>
      <c r="K344" s="24"/>
      <c r="L344" s="24"/>
      <c r="M344" s="24"/>
      <c r="N344" s="24"/>
      <c r="O344" s="24"/>
    </row>
    <row r="345" spans="5:15" s="22" customFormat="1" x14ac:dyDescent="0.25">
      <c r="E345" s="233"/>
      <c r="F345" s="233"/>
      <c r="G345" s="233"/>
      <c r="H345" s="237"/>
      <c r="I345" s="53"/>
      <c r="J345" s="237"/>
      <c r="K345" s="24"/>
      <c r="L345" s="24"/>
      <c r="M345" s="24"/>
      <c r="N345" s="24"/>
      <c r="O345" s="24"/>
    </row>
    <row r="346" spans="5:15" s="22" customFormat="1" x14ac:dyDescent="0.25">
      <c r="E346" s="233"/>
      <c r="F346" s="233"/>
      <c r="G346" s="233"/>
      <c r="H346" s="237"/>
      <c r="I346" s="53"/>
      <c r="J346" s="237"/>
      <c r="K346" s="24"/>
      <c r="L346" s="24"/>
      <c r="M346" s="24"/>
      <c r="N346" s="24"/>
      <c r="O346" s="24"/>
    </row>
    <row r="347" spans="5:15" s="22" customFormat="1" x14ac:dyDescent="0.25">
      <c r="E347" s="233"/>
      <c r="F347" s="233"/>
      <c r="G347" s="233"/>
      <c r="H347" s="237"/>
      <c r="I347" s="53"/>
      <c r="J347" s="237"/>
      <c r="K347" s="24"/>
      <c r="L347" s="24"/>
      <c r="M347" s="24"/>
      <c r="N347" s="24"/>
      <c r="O347" s="24"/>
    </row>
    <row r="348" spans="5:15" s="22" customFormat="1" x14ac:dyDescent="0.25">
      <c r="E348" s="233"/>
      <c r="F348" s="233"/>
      <c r="G348" s="233"/>
      <c r="H348" s="237"/>
      <c r="I348" s="53"/>
      <c r="J348" s="237"/>
      <c r="K348" s="24"/>
      <c r="L348" s="24"/>
      <c r="M348" s="24"/>
      <c r="N348" s="24"/>
      <c r="O348" s="24"/>
    </row>
    <row r="349" spans="5:15" s="22" customFormat="1" x14ac:dyDescent="0.25">
      <c r="E349" s="233"/>
      <c r="F349" s="233"/>
      <c r="G349" s="233"/>
      <c r="H349" s="237"/>
      <c r="I349" s="53"/>
      <c r="J349" s="237"/>
      <c r="K349" s="24"/>
      <c r="L349" s="24"/>
      <c r="M349" s="24"/>
      <c r="N349" s="24"/>
      <c r="O349" s="24"/>
    </row>
    <row r="350" spans="5:15" s="22" customFormat="1" x14ac:dyDescent="0.25">
      <c r="E350" s="233"/>
      <c r="F350" s="233"/>
      <c r="G350" s="233"/>
      <c r="H350" s="237"/>
      <c r="I350" s="53"/>
      <c r="J350" s="237"/>
      <c r="K350" s="24"/>
      <c r="L350" s="24"/>
      <c r="M350" s="24"/>
      <c r="N350" s="24"/>
      <c r="O350" s="24"/>
    </row>
    <row r="351" spans="5:15" s="22" customFormat="1" x14ac:dyDescent="0.25">
      <c r="E351" s="233"/>
      <c r="F351" s="233"/>
      <c r="G351" s="233"/>
      <c r="H351" s="237"/>
      <c r="I351" s="53"/>
      <c r="J351" s="237"/>
      <c r="K351" s="24"/>
      <c r="L351" s="24"/>
      <c r="M351" s="24"/>
      <c r="N351" s="24"/>
      <c r="O351" s="24"/>
    </row>
    <row r="352" spans="5:15" s="22" customFormat="1" x14ac:dyDescent="0.25">
      <c r="E352" s="233"/>
      <c r="F352" s="233"/>
      <c r="G352" s="233"/>
      <c r="H352" s="237"/>
      <c r="I352" s="53"/>
      <c r="J352" s="237"/>
      <c r="K352" s="24"/>
      <c r="L352" s="24"/>
      <c r="M352" s="24"/>
      <c r="N352" s="24"/>
      <c r="O352" s="24"/>
    </row>
    <row r="353" spans="5:15" s="22" customFormat="1" x14ac:dyDescent="0.25">
      <c r="E353" s="233"/>
      <c r="F353" s="233"/>
      <c r="G353" s="233"/>
      <c r="H353" s="237"/>
      <c r="I353" s="53"/>
      <c r="J353" s="237"/>
      <c r="K353" s="24"/>
      <c r="L353" s="24"/>
      <c r="M353" s="24"/>
      <c r="N353" s="24"/>
      <c r="O353" s="24"/>
    </row>
    <row r="354" spans="5:15" s="22" customFormat="1" x14ac:dyDescent="0.25">
      <c r="E354" s="233"/>
      <c r="F354" s="233"/>
      <c r="G354" s="233"/>
      <c r="H354" s="237"/>
      <c r="I354" s="53"/>
      <c r="J354" s="237"/>
      <c r="K354" s="24"/>
      <c r="L354" s="24"/>
      <c r="M354" s="24"/>
      <c r="N354" s="24"/>
      <c r="O354" s="24"/>
    </row>
    <row r="355" spans="5:15" s="22" customFormat="1" x14ac:dyDescent="0.25">
      <c r="E355" s="233"/>
      <c r="F355" s="233"/>
      <c r="G355" s="233"/>
      <c r="H355" s="237"/>
      <c r="I355" s="53"/>
      <c r="J355" s="237"/>
      <c r="K355" s="24"/>
      <c r="L355" s="24"/>
      <c r="M355" s="24"/>
      <c r="N355" s="24"/>
      <c r="O355" s="24"/>
    </row>
    <row r="356" spans="5:15" s="22" customFormat="1" x14ac:dyDescent="0.25">
      <c r="E356" s="233"/>
      <c r="F356" s="233"/>
      <c r="G356" s="233"/>
      <c r="H356" s="237"/>
      <c r="I356" s="53"/>
      <c r="J356" s="237"/>
      <c r="K356" s="24"/>
      <c r="L356" s="24"/>
      <c r="M356" s="24"/>
      <c r="N356" s="24"/>
      <c r="O356" s="24"/>
    </row>
    <row r="357" spans="5:15" s="22" customFormat="1" x14ac:dyDescent="0.25">
      <c r="E357" s="233"/>
      <c r="F357" s="233"/>
      <c r="G357" s="233"/>
      <c r="H357" s="237"/>
      <c r="I357" s="53"/>
      <c r="J357" s="237"/>
      <c r="K357" s="24"/>
      <c r="L357" s="24"/>
      <c r="M357" s="24"/>
      <c r="N357" s="24"/>
      <c r="O357" s="24"/>
    </row>
    <row r="358" spans="5:15" s="22" customFormat="1" x14ac:dyDescent="0.25">
      <c r="E358" s="233"/>
      <c r="F358" s="233"/>
      <c r="G358" s="233"/>
      <c r="H358" s="237"/>
      <c r="I358" s="53"/>
      <c r="J358" s="237"/>
      <c r="K358" s="24"/>
      <c r="L358" s="24"/>
      <c r="M358" s="24"/>
      <c r="N358" s="24"/>
      <c r="O358" s="24"/>
    </row>
    <row r="359" spans="5:15" s="22" customFormat="1" x14ac:dyDescent="0.25">
      <c r="E359" s="233"/>
      <c r="F359" s="233"/>
      <c r="G359" s="233"/>
      <c r="H359" s="237"/>
      <c r="I359" s="53"/>
      <c r="J359" s="237"/>
      <c r="K359" s="24"/>
      <c r="L359" s="24"/>
      <c r="M359" s="24"/>
      <c r="N359" s="24"/>
      <c r="O359" s="24"/>
    </row>
    <row r="360" spans="5:15" s="22" customFormat="1" x14ac:dyDescent="0.25">
      <c r="E360" s="233"/>
      <c r="F360" s="233"/>
      <c r="G360" s="233"/>
      <c r="H360" s="237"/>
      <c r="I360" s="53"/>
      <c r="J360" s="237"/>
      <c r="K360" s="24"/>
      <c r="L360" s="24"/>
      <c r="M360" s="24"/>
      <c r="N360" s="24"/>
      <c r="O360" s="24"/>
    </row>
    <row r="361" spans="5:15" s="22" customFormat="1" x14ac:dyDescent="0.25">
      <c r="E361" s="233"/>
      <c r="F361" s="233"/>
      <c r="G361" s="233"/>
      <c r="H361" s="237"/>
      <c r="I361" s="53"/>
      <c r="J361" s="237"/>
      <c r="K361" s="24"/>
      <c r="L361" s="24"/>
      <c r="M361" s="24"/>
      <c r="N361" s="24"/>
      <c r="O361" s="24"/>
    </row>
    <row r="362" spans="5:15" s="22" customFormat="1" x14ac:dyDescent="0.25">
      <c r="E362" s="233"/>
      <c r="F362" s="233"/>
      <c r="G362" s="233"/>
      <c r="H362" s="237"/>
      <c r="I362" s="53"/>
      <c r="J362" s="237"/>
      <c r="K362" s="24"/>
      <c r="L362" s="24"/>
      <c r="M362" s="24"/>
      <c r="N362" s="24"/>
      <c r="O362" s="24"/>
    </row>
    <row r="363" spans="5:15" s="22" customFormat="1" x14ac:dyDescent="0.25">
      <c r="E363" s="233"/>
      <c r="F363" s="233"/>
      <c r="G363" s="233"/>
      <c r="H363" s="237"/>
      <c r="I363" s="53"/>
      <c r="J363" s="237"/>
      <c r="K363" s="24"/>
      <c r="L363" s="24"/>
      <c r="M363" s="24"/>
      <c r="N363" s="24"/>
      <c r="O363" s="24"/>
    </row>
    <row r="364" spans="5:15" s="22" customFormat="1" x14ac:dyDescent="0.25">
      <c r="E364" s="233"/>
      <c r="F364" s="233"/>
      <c r="G364" s="233"/>
      <c r="H364" s="237"/>
      <c r="I364" s="53"/>
      <c r="J364" s="237"/>
      <c r="K364" s="24"/>
      <c r="L364" s="24"/>
      <c r="M364" s="24"/>
      <c r="N364" s="24"/>
      <c r="O364" s="24"/>
    </row>
    <row r="365" spans="5:15" s="22" customFormat="1" x14ac:dyDescent="0.25">
      <c r="E365" s="233"/>
      <c r="F365" s="233"/>
      <c r="G365" s="233"/>
      <c r="H365" s="237"/>
      <c r="I365" s="53"/>
      <c r="J365" s="237"/>
      <c r="K365" s="24"/>
      <c r="L365" s="24"/>
      <c r="M365" s="24"/>
      <c r="N365" s="24"/>
      <c r="O365" s="24"/>
    </row>
    <row r="366" spans="5:15" s="22" customFormat="1" x14ac:dyDescent="0.25">
      <c r="E366" s="233"/>
      <c r="F366" s="233"/>
      <c r="G366" s="233"/>
      <c r="H366" s="237"/>
      <c r="I366" s="53"/>
      <c r="J366" s="237"/>
      <c r="K366" s="24"/>
      <c r="L366" s="24"/>
      <c r="M366" s="24"/>
      <c r="N366" s="24"/>
      <c r="O366" s="24"/>
    </row>
    <row r="367" spans="5:15" s="22" customFormat="1" x14ac:dyDescent="0.25">
      <c r="E367" s="233"/>
      <c r="F367" s="233"/>
      <c r="G367" s="233"/>
      <c r="H367" s="237"/>
      <c r="I367" s="53"/>
      <c r="J367" s="237"/>
      <c r="K367" s="24"/>
      <c r="L367" s="24"/>
      <c r="M367" s="24"/>
      <c r="N367" s="24"/>
      <c r="O367" s="24"/>
    </row>
    <row r="368" spans="5:15" s="22" customFormat="1" x14ac:dyDescent="0.25">
      <c r="E368" s="233"/>
      <c r="F368" s="233"/>
      <c r="G368" s="233"/>
      <c r="H368" s="237"/>
      <c r="I368" s="53"/>
      <c r="J368" s="237"/>
      <c r="K368" s="24"/>
      <c r="L368" s="24"/>
      <c r="M368" s="24"/>
      <c r="N368" s="24"/>
      <c r="O368" s="24"/>
    </row>
    <row r="369" spans="5:15" s="22" customFormat="1" x14ac:dyDescent="0.25">
      <c r="E369" s="233"/>
      <c r="F369" s="233"/>
      <c r="G369" s="233"/>
      <c r="H369" s="237"/>
      <c r="I369" s="53"/>
      <c r="J369" s="237"/>
      <c r="K369" s="24"/>
      <c r="L369" s="24"/>
      <c r="M369" s="24"/>
      <c r="N369" s="24"/>
      <c r="O369" s="24"/>
    </row>
    <row r="370" spans="5:15" s="22" customFormat="1" x14ac:dyDescent="0.25">
      <c r="E370" s="233"/>
      <c r="F370" s="233"/>
      <c r="G370" s="233"/>
      <c r="H370" s="237"/>
      <c r="I370" s="53"/>
      <c r="J370" s="237"/>
      <c r="K370" s="24"/>
      <c r="L370" s="24"/>
      <c r="M370" s="24"/>
      <c r="N370" s="24"/>
      <c r="O370" s="24"/>
    </row>
    <row r="371" spans="5:15" s="22" customFormat="1" x14ac:dyDescent="0.25">
      <c r="E371" s="233"/>
      <c r="F371" s="233"/>
      <c r="G371" s="233"/>
      <c r="H371" s="237"/>
      <c r="I371" s="53"/>
      <c r="J371" s="237"/>
      <c r="K371" s="24"/>
      <c r="L371" s="24"/>
      <c r="M371" s="24"/>
      <c r="N371" s="24"/>
      <c r="O371" s="24"/>
    </row>
    <row r="372" spans="5:15" s="22" customFormat="1" x14ac:dyDescent="0.25">
      <c r="E372" s="233"/>
      <c r="F372" s="233"/>
      <c r="G372" s="233"/>
      <c r="H372" s="237"/>
      <c r="I372" s="53"/>
      <c r="J372" s="237"/>
      <c r="K372" s="24"/>
      <c r="L372" s="24"/>
      <c r="M372" s="24"/>
      <c r="N372" s="24"/>
      <c r="O372" s="24"/>
    </row>
    <row r="373" spans="5:15" s="22" customFormat="1" x14ac:dyDescent="0.25">
      <c r="E373" s="233"/>
      <c r="F373" s="233"/>
      <c r="G373" s="233"/>
      <c r="H373" s="237"/>
      <c r="I373" s="53"/>
      <c r="J373" s="237"/>
      <c r="K373" s="24"/>
      <c r="L373" s="24"/>
      <c r="M373" s="24"/>
      <c r="N373" s="24"/>
      <c r="O373" s="24"/>
    </row>
    <row r="374" spans="5:15" s="22" customFormat="1" x14ac:dyDescent="0.25">
      <c r="E374" s="233"/>
      <c r="F374" s="233"/>
      <c r="G374" s="233"/>
      <c r="H374" s="237"/>
      <c r="I374" s="53"/>
      <c r="J374" s="237"/>
      <c r="K374" s="24"/>
      <c r="L374" s="24"/>
      <c r="M374" s="24"/>
      <c r="N374" s="24"/>
      <c r="O374" s="24"/>
    </row>
    <row r="375" spans="5:15" s="22" customFormat="1" x14ac:dyDescent="0.25">
      <c r="E375" s="233"/>
      <c r="F375" s="233"/>
      <c r="G375" s="233"/>
      <c r="H375" s="237"/>
      <c r="I375" s="53"/>
      <c r="J375" s="237"/>
      <c r="K375" s="24"/>
      <c r="L375" s="24"/>
      <c r="M375" s="24"/>
      <c r="N375" s="24"/>
      <c r="O375" s="24"/>
    </row>
    <row r="376" spans="5:15" s="22" customFormat="1" x14ac:dyDescent="0.25">
      <c r="E376" s="233"/>
      <c r="F376" s="233"/>
      <c r="G376" s="233"/>
      <c r="H376" s="237"/>
      <c r="I376" s="53"/>
      <c r="J376" s="237"/>
      <c r="K376" s="24"/>
      <c r="L376" s="24"/>
      <c r="M376" s="24"/>
      <c r="N376" s="24"/>
      <c r="O376" s="24"/>
    </row>
    <row r="377" spans="5:15" s="22" customFormat="1" x14ac:dyDescent="0.25">
      <c r="E377" s="233"/>
      <c r="F377" s="233"/>
      <c r="G377" s="233"/>
      <c r="H377" s="237"/>
      <c r="I377" s="53"/>
      <c r="J377" s="237"/>
      <c r="K377" s="24"/>
      <c r="L377" s="24"/>
      <c r="M377" s="24"/>
      <c r="N377" s="24"/>
      <c r="O377" s="24"/>
    </row>
    <row r="378" spans="5:15" s="22" customFormat="1" x14ac:dyDescent="0.25">
      <c r="E378" s="233"/>
      <c r="F378" s="233"/>
      <c r="G378" s="233"/>
      <c r="H378" s="237"/>
      <c r="I378" s="53"/>
      <c r="J378" s="237"/>
      <c r="K378" s="24"/>
      <c r="L378" s="24"/>
      <c r="M378" s="24"/>
      <c r="N378" s="24"/>
      <c r="O378" s="24"/>
    </row>
    <row r="379" spans="5:15" s="22" customFormat="1" x14ac:dyDescent="0.25">
      <c r="E379" s="233"/>
      <c r="F379" s="233"/>
      <c r="G379" s="233"/>
      <c r="H379" s="237"/>
      <c r="I379" s="53"/>
      <c r="J379" s="237"/>
      <c r="K379" s="24"/>
      <c r="L379" s="24"/>
      <c r="M379" s="24"/>
      <c r="N379" s="24"/>
      <c r="O379" s="24"/>
    </row>
    <row r="380" spans="5:15" s="22" customFormat="1" x14ac:dyDescent="0.25">
      <c r="E380" s="233"/>
      <c r="F380" s="233"/>
      <c r="G380" s="233"/>
      <c r="H380" s="237"/>
      <c r="I380" s="53"/>
      <c r="J380" s="237"/>
      <c r="K380" s="24"/>
      <c r="L380" s="24"/>
      <c r="M380" s="24"/>
      <c r="N380" s="24"/>
      <c r="O380" s="24"/>
    </row>
    <row r="381" spans="5:15" s="22" customFormat="1" x14ac:dyDescent="0.25">
      <c r="E381" s="233"/>
      <c r="F381" s="233"/>
      <c r="G381" s="233"/>
      <c r="H381" s="237"/>
      <c r="I381" s="53"/>
      <c r="J381" s="237"/>
      <c r="K381" s="24"/>
      <c r="L381" s="24"/>
      <c r="M381" s="24"/>
      <c r="N381" s="24"/>
      <c r="O381" s="24"/>
    </row>
    <row r="382" spans="5:15" s="22" customFormat="1" x14ac:dyDescent="0.25">
      <c r="E382" s="233"/>
      <c r="F382" s="233"/>
      <c r="G382" s="233"/>
      <c r="H382" s="237"/>
      <c r="I382" s="53"/>
      <c r="J382" s="237"/>
      <c r="K382" s="24"/>
      <c r="L382" s="24"/>
      <c r="M382" s="24"/>
      <c r="N382" s="24"/>
      <c r="O382" s="24"/>
    </row>
    <row r="383" spans="5:15" s="22" customFormat="1" x14ac:dyDescent="0.25">
      <c r="E383" s="233"/>
      <c r="F383" s="233"/>
      <c r="G383" s="233"/>
      <c r="H383" s="237"/>
      <c r="I383" s="53"/>
      <c r="J383" s="237"/>
      <c r="K383" s="24"/>
      <c r="L383" s="24"/>
      <c r="M383" s="24"/>
      <c r="N383" s="24"/>
      <c r="O383" s="24"/>
    </row>
    <row r="384" spans="5:15" s="22" customFormat="1" x14ac:dyDescent="0.25">
      <c r="E384" s="233"/>
      <c r="F384" s="233"/>
      <c r="G384" s="233"/>
      <c r="H384" s="237"/>
      <c r="I384" s="53"/>
      <c r="J384" s="237"/>
      <c r="K384" s="24"/>
      <c r="L384" s="24"/>
      <c r="M384" s="24"/>
      <c r="N384" s="24"/>
      <c r="O384" s="24"/>
    </row>
    <row r="385" spans="5:15" s="22" customFormat="1" x14ac:dyDescent="0.25">
      <c r="E385" s="233"/>
      <c r="F385" s="233"/>
      <c r="G385" s="233"/>
      <c r="H385" s="237"/>
      <c r="I385" s="53"/>
      <c r="J385" s="237"/>
      <c r="K385" s="24"/>
      <c r="L385" s="24"/>
      <c r="M385" s="24"/>
      <c r="N385" s="24"/>
      <c r="O385" s="24"/>
    </row>
    <row r="386" spans="5:15" s="22" customFormat="1" x14ac:dyDescent="0.25">
      <c r="E386" s="233"/>
      <c r="F386" s="233"/>
      <c r="G386" s="233"/>
      <c r="H386" s="237"/>
      <c r="I386" s="53"/>
      <c r="J386" s="237"/>
      <c r="K386" s="24"/>
      <c r="L386" s="24"/>
      <c r="M386" s="24"/>
      <c r="N386" s="24"/>
      <c r="O386" s="24"/>
    </row>
    <row r="387" spans="5:15" s="22" customFormat="1" x14ac:dyDescent="0.25">
      <c r="E387" s="233"/>
      <c r="F387" s="233"/>
      <c r="G387" s="233"/>
      <c r="H387" s="237"/>
      <c r="I387" s="53"/>
      <c r="J387" s="237"/>
      <c r="K387" s="24"/>
      <c r="L387" s="24"/>
      <c r="M387" s="24"/>
      <c r="N387" s="24"/>
      <c r="O387" s="24"/>
    </row>
    <row r="388" spans="5:15" s="22" customFormat="1" x14ac:dyDescent="0.25">
      <c r="E388" s="233"/>
      <c r="F388" s="233"/>
      <c r="G388" s="233"/>
      <c r="H388" s="237"/>
      <c r="I388" s="53"/>
      <c r="J388" s="237"/>
      <c r="K388" s="24"/>
      <c r="L388" s="24"/>
      <c r="M388" s="24"/>
      <c r="N388" s="24"/>
      <c r="O388" s="24"/>
    </row>
    <row r="389" spans="5:15" s="22" customFormat="1" x14ac:dyDescent="0.25">
      <c r="E389" s="233"/>
      <c r="F389" s="233"/>
      <c r="G389" s="233"/>
      <c r="H389" s="237"/>
      <c r="I389" s="53"/>
      <c r="J389" s="237"/>
      <c r="K389" s="24"/>
      <c r="L389" s="24"/>
      <c r="M389" s="24"/>
      <c r="N389" s="24"/>
      <c r="O389" s="24"/>
    </row>
    <row r="390" spans="5:15" s="22" customFormat="1" x14ac:dyDescent="0.25">
      <c r="E390" s="233"/>
      <c r="F390" s="233"/>
      <c r="G390" s="233"/>
      <c r="H390" s="237"/>
      <c r="I390" s="53"/>
      <c r="J390" s="237"/>
      <c r="K390" s="24"/>
      <c r="L390" s="24"/>
      <c r="M390" s="24"/>
      <c r="N390" s="24"/>
      <c r="O390" s="24"/>
    </row>
    <row r="391" spans="5:15" s="22" customFormat="1" x14ac:dyDescent="0.25">
      <c r="E391" s="233"/>
      <c r="F391" s="233"/>
      <c r="G391" s="233"/>
      <c r="H391" s="237"/>
      <c r="I391" s="53"/>
      <c r="J391" s="237"/>
      <c r="K391" s="24"/>
      <c r="L391" s="24"/>
      <c r="M391" s="24"/>
      <c r="N391" s="24"/>
      <c r="O391" s="24"/>
    </row>
    <row r="392" spans="5:15" s="22" customFormat="1" x14ac:dyDescent="0.25">
      <c r="E392" s="233"/>
      <c r="F392" s="233"/>
      <c r="G392" s="233"/>
      <c r="H392" s="237"/>
      <c r="I392" s="53"/>
      <c r="J392" s="237"/>
      <c r="K392" s="24"/>
      <c r="L392" s="24"/>
      <c r="M392" s="24"/>
      <c r="N392" s="24"/>
      <c r="O392" s="24"/>
    </row>
    <row r="393" spans="5:15" s="22" customFormat="1" x14ac:dyDescent="0.25">
      <c r="E393" s="233"/>
      <c r="F393" s="233"/>
      <c r="G393" s="233"/>
      <c r="H393" s="237"/>
      <c r="I393" s="53"/>
      <c r="J393" s="237"/>
      <c r="K393" s="24"/>
      <c r="L393" s="24"/>
      <c r="M393" s="24"/>
      <c r="N393" s="24"/>
      <c r="O393" s="24"/>
    </row>
    <row r="394" spans="5:15" s="22" customFormat="1" x14ac:dyDescent="0.25">
      <c r="E394" s="233"/>
      <c r="F394" s="233"/>
      <c r="G394" s="233"/>
      <c r="H394" s="237"/>
      <c r="I394" s="53"/>
      <c r="J394" s="237"/>
      <c r="K394" s="24"/>
      <c r="L394" s="24"/>
      <c r="M394" s="24"/>
      <c r="N394" s="24"/>
      <c r="O394" s="24"/>
    </row>
    <row r="395" spans="5:15" s="22" customFormat="1" x14ac:dyDescent="0.25">
      <c r="E395" s="233"/>
      <c r="F395" s="233"/>
      <c r="G395" s="233"/>
      <c r="H395" s="237"/>
      <c r="I395" s="53"/>
      <c r="J395" s="237"/>
      <c r="K395" s="24"/>
      <c r="L395" s="24"/>
      <c r="M395" s="24"/>
      <c r="N395" s="24"/>
      <c r="O395" s="24"/>
    </row>
    <row r="396" spans="5:15" s="22" customFormat="1" x14ac:dyDescent="0.25">
      <c r="E396" s="233"/>
      <c r="F396" s="233"/>
      <c r="G396" s="233"/>
      <c r="H396" s="237"/>
      <c r="I396" s="53"/>
      <c r="J396" s="237"/>
      <c r="K396" s="24"/>
      <c r="L396" s="24"/>
      <c r="M396" s="24"/>
      <c r="N396" s="24"/>
      <c r="O396" s="24"/>
    </row>
    <row r="397" spans="5:15" s="22" customFormat="1" x14ac:dyDescent="0.25">
      <c r="E397" s="233"/>
      <c r="F397" s="233"/>
      <c r="G397" s="233"/>
      <c r="H397" s="237"/>
      <c r="I397" s="53"/>
      <c r="J397" s="237"/>
      <c r="K397" s="24"/>
      <c r="L397" s="24"/>
      <c r="M397" s="24"/>
      <c r="N397" s="24"/>
      <c r="O397" s="24"/>
    </row>
    <row r="398" spans="5:15" s="22" customFormat="1" x14ac:dyDescent="0.25">
      <c r="E398" s="233"/>
      <c r="F398" s="233"/>
      <c r="G398" s="233"/>
      <c r="H398" s="237"/>
      <c r="I398" s="53"/>
      <c r="J398" s="237"/>
      <c r="K398" s="24"/>
      <c r="L398" s="24"/>
      <c r="M398" s="24"/>
      <c r="N398" s="24"/>
      <c r="O398" s="24"/>
    </row>
    <row r="399" spans="5:15" s="22" customFormat="1" x14ac:dyDescent="0.25">
      <c r="E399" s="233"/>
      <c r="F399" s="233"/>
      <c r="G399" s="233"/>
      <c r="H399" s="237"/>
      <c r="I399" s="53"/>
      <c r="J399" s="237"/>
      <c r="K399" s="24"/>
      <c r="L399" s="24"/>
      <c r="M399" s="24"/>
      <c r="N399" s="24"/>
      <c r="O399" s="24"/>
    </row>
    <row r="400" spans="5:15" s="22" customFormat="1" x14ac:dyDescent="0.25">
      <c r="E400" s="233"/>
      <c r="F400" s="233"/>
      <c r="G400" s="233"/>
      <c r="H400" s="237"/>
      <c r="I400" s="53"/>
      <c r="J400" s="237"/>
      <c r="K400" s="24"/>
      <c r="L400" s="24"/>
      <c r="M400" s="24"/>
      <c r="N400" s="24"/>
      <c r="O400" s="24"/>
    </row>
    <row r="401" spans="5:15" s="22" customFormat="1" x14ac:dyDescent="0.25">
      <c r="E401" s="233"/>
      <c r="F401" s="233"/>
      <c r="G401" s="233"/>
      <c r="H401" s="237"/>
      <c r="I401" s="53"/>
      <c r="J401" s="237"/>
      <c r="K401" s="24"/>
      <c r="L401" s="24"/>
      <c r="M401" s="24"/>
      <c r="N401" s="24"/>
      <c r="O401" s="24"/>
    </row>
    <row r="402" spans="5:15" s="22" customFormat="1" x14ac:dyDescent="0.25">
      <c r="E402" s="233"/>
      <c r="F402" s="233"/>
      <c r="G402" s="233"/>
      <c r="H402" s="237"/>
      <c r="I402" s="53"/>
      <c r="J402" s="237"/>
      <c r="K402" s="24"/>
      <c r="L402" s="24"/>
      <c r="M402" s="24"/>
      <c r="N402" s="24"/>
      <c r="O402" s="24"/>
    </row>
    <row r="403" spans="5:15" s="22" customFormat="1" x14ac:dyDescent="0.25">
      <c r="E403" s="233"/>
      <c r="F403" s="233"/>
      <c r="G403" s="233"/>
      <c r="H403" s="237"/>
      <c r="I403" s="53"/>
      <c r="J403" s="237"/>
      <c r="K403" s="24"/>
      <c r="L403" s="24"/>
      <c r="M403" s="24"/>
      <c r="N403" s="24"/>
      <c r="O403" s="24"/>
    </row>
    <row r="404" spans="5:15" s="22" customFormat="1" x14ac:dyDescent="0.25">
      <c r="E404" s="233"/>
      <c r="F404" s="233"/>
      <c r="G404" s="233"/>
      <c r="H404" s="237"/>
      <c r="I404" s="53"/>
      <c r="J404" s="237"/>
      <c r="K404" s="24"/>
      <c r="L404" s="24"/>
      <c r="M404" s="24"/>
      <c r="N404" s="24"/>
      <c r="O404" s="24"/>
    </row>
    <row r="405" spans="5:15" s="22" customFormat="1" x14ac:dyDescent="0.25">
      <c r="E405" s="233"/>
      <c r="F405" s="233"/>
      <c r="G405" s="233"/>
      <c r="H405" s="237"/>
      <c r="I405" s="53"/>
      <c r="J405" s="237"/>
      <c r="K405" s="24"/>
      <c r="L405" s="24"/>
      <c r="M405" s="24"/>
      <c r="N405" s="24"/>
      <c r="O405" s="24"/>
    </row>
    <row r="406" spans="5:15" s="22" customFormat="1" x14ac:dyDescent="0.25">
      <c r="E406" s="233"/>
      <c r="F406" s="233"/>
      <c r="G406" s="233"/>
      <c r="H406" s="237"/>
      <c r="I406" s="53"/>
      <c r="J406" s="237"/>
      <c r="K406" s="24"/>
      <c r="L406" s="24"/>
      <c r="M406" s="24"/>
      <c r="N406" s="24"/>
      <c r="O406" s="24"/>
    </row>
    <row r="407" spans="5:15" s="22" customFormat="1" x14ac:dyDescent="0.25">
      <c r="E407" s="233"/>
      <c r="F407" s="233"/>
      <c r="G407" s="233"/>
      <c r="H407" s="237"/>
      <c r="I407" s="53"/>
      <c r="J407" s="237"/>
      <c r="K407" s="24"/>
      <c r="L407" s="24"/>
      <c r="M407" s="24"/>
      <c r="N407" s="24"/>
      <c r="O407" s="24"/>
    </row>
    <row r="408" spans="5:15" s="22" customFormat="1" x14ac:dyDescent="0.25">
      <c r="E408" s="233"/>
      <c r="F408" s="233"/>
      <c r="G408" s="233"/>
      <c r="H408" s="237"/>
      <c r="I408" s="53"/>
      <c r="J408" s="237"/>
      <c r="K408" s="24"/>
      <c r="L408" s="24"/>
      <c r="M408" s="24"/>
      <c r="N408" s="24"/>
      <c r="O408" s="24"/>
    </row>
    <row r="409" spans="5:15" s="22" customFormat="1" x14ac:dyDescent="0.25">
      <c r="E409" s="233"/>
      <c r="F409" s="233"/>
      <c r="G409" s="233"/>
      <c r="H409" s="237"/>
      <c r="I409" s="53"/>
      <c r="J409" s="237"/>
      <c r="K409" s="24"/>
      <c r="L409" s="24"/>
      <c r="M409" s="24"/>
      <c r="N409" s="24"/>
      <c r="O409" s="24"/>
    </row>
    <row r="410" spans="5:15" s="22" customFormat="1" x14ac:dyDescent="0.25">
      <c r="E410" s="233"/>
      <c r="F410" s="233"/>
      <c r="G410" s="233"/>
      <c r="H410" s="237"/>
      <c r="I410" s="53"/>
      <c r="J410" s="237"/>
      <c r="K410" s="24"/>
      <c r="L410" s="24"/>
      <c r="M410" s="24"/>
      <c r="N410" s="24"/>
      <c r="O410" s="24"/>
    </row>
    <row r="411" spans="5:15" s="22" customFormat="1" x14ac:dyDescent="0.25">
      <c r="E411" s="233"/>
      <c r="F411" s="233"/>
      <c r="G411" s="233"/>
      <c r="H411" s="237"/>
      <c r="I411" s="53"/>
      <c r="J411" s="237"/>
      <c r="K411" s="24"/>
      <c r="L411" s="24"/>
      <c r="M411" s="24"/>
      <c r="N411" s="24"/>
      <c r="O411" s="24"/>
    </row>
    <row r="412" spans="5:15" s="22" customFormat="1" x14ac:dyDescent="0.25">
      <c r="E412" s="233"/>
      <c r="F412" s="233"/>
      <c r="G412" s="233"/>
      <c r="H412" s="237"/>
      <c r="I412" s="53"/>
      <c r="J412" s="237"/>
      <c r="K412" s="24"/>
      <c r="L412" s="24"/>
      <c r="M412" s="24"/>
      <c r="N412" s="24"/>
      <c r="O412" s="24"/>
    </row>
    <row r="413" spans="5:15" s="22" customFormat="1" x14ac:dyDescent="0.25">
      <c r="E413" s="233"/>
      <c r="F413" s="233"/>
      <c r="G413" s="233"/>
      <c r="H413" s="237"/>
      <c r="I413" s="53"/>
      <c r="J413" s="237"/>
      <c r="K413" s="24"/>
      <c r="L413" s="24"/>
      <c r="M413" s="24"/>
      <c r="N413" s="24"/>
      <c r="O413" s="24"/>
    </row>
    <row r="414" spans="5:15" s="22" customFormat="1" x14ac:dyDescent="0.25">
      <c r="E414" s="233"/>
      <c r="F414" s="233"/>
      <c r="G414" s="233"/>
      <c r="H414" s="237"/>
      <c r="I414" s="53"/>
      <c r="J414" s="237"/>
      <c r="K414" s="24"/>
      <c r="L414" s="24"/>
      <c r="M414" s="24"/>
      <c r="N414" s="24"/>
      <c r="O414" s="24"/>
    </row>
    <row r="415" spans="5:15" s="22" customFormat="1" x14ac:dyDescent="0.25">
      <c r="E415" s="233"/>
      <c r="F415" s="233"/>
      <c r="G415" s="233"/>
      <c r="H415" s="237"/>
      <c r="I415" s="53"/>
      <c r="J415" s="237"/>
      <c r="K415" s="24"/>
      <c r="L415" s="24"/>
      <c r="M415" s="24"/>
      <c r="N415" s="24"/>
      <c r="O415" s="24"/>
    </row>
    <row r="416" spans="5:15" s="22" customFormat="1" x14ac:dyDescent="0.25">
      <c r="E416" s="233"/>
      <c r="F416" s="233"/>
      <c r="G416" s="233"/>
      <c r="H416" s="237"/>
      <c r="I416" s="53"/>
      <c r="J416" s="237"/>
      <c r="K416" s="24"/>
      <c r="L416" s="24"/>
      <c r="M416" s="24"/>
      <c r="N416" s="24"/>
      <c r="O416" s="24"/>
    </row>
    <row r="417" spans="5:15" s="22" customFormat="1" x14ac:dyDescent="0.25">
      <c r="E417" s="233"/>
      <c r="F417" s="233"/>
      <c r="G417" s="233"/>
      <c r="H417" s="237"/>
      <c r="I417" s="53"/>
      <c r="J417" s="237"/>
      <c r="K417" s="24"/>
      <c r="L417" s="24"/>
      <c r="M417" s="24"/>
      <c r="N417" s="24"/>
      <c r="O417" s="24"/>
    </row>
    <row r="418" spans="5:15" s="22" customFormat="1" x14ac:dyDescent="0.25">
      <c r="E418" s="233"/>
      <c r="F418" s="233"/>
      <c r="G418" s="233"/>
      <c r="H418" s="237"/>
      <c r="I418" s="53"/>
      <c r="J418" s="237"/>
      <c r="K418" s="24"/>
      <c r="L418" s="24"/>
      <c r="M418" s="24"/>
      <c r="N418" s="24"/>
      <c r="O418" s="24"/>
    </row>
    <row r="419" spans="5:15" s="22" customFormat="1" x14ac:dyDescent="0.25">
      <c r="E419" s="233"/>
      <c r="F419" s="233"/>
      <c r="G419" s="233"/>
      <c r="H419" s="237"/>
      <c r="I419" s="53"/>
      <c r="J419" s="237"/>
      <c r="K419" s="24"/>
      <c r="L419" s="24"/>
      <c r="M419" s="24"/>
      <c r="N419" s="24"/>
      <c r="O419" s="24"/>
    </row>
    <row r="420" spans="5:15" s="22" customFormat="1" x14ac:dyDescent="0.25">
      <c r="E420" s="233"/>
      <c r="F420" s="233"/>
      <c r="G420" s="233"/>
      <c r="H420" s="237"/>
      <c r="I420" s="53"/>
      <c r="J420" s="237"/>
      <c r="K420" s="24"/>
      <c r="L420" s="24"/>
      <c r="M420" s="24"/>
      <c r="N420" s="24"/>
      <c r="O420" s="24"/>
    </row>
    <row r="421" spans="5:15" s="22" customFormat="1" x14ac:dyDescent="0.25">
      <c r="E421" s="233"/>
      <c r="F421" s="233"/>
      <c r="G421" s="233"/>
      <c r="H421" s="237"/>
      <c r="I421" s="53"/>
      <c r="J421" s="237"/>
      <c r="K421" s="24"/>
      <c r="L421" s="24"/>
      <c r="M421" s="24"/>
      <c r="N421" s="24"/>
      <c r="O421" s="24"/>
    </row>
    <row r="422" spans="5:15" s="22" customFormat="1" x14ac:dyDescent="0.25">
      <c r="E422" s="233"/>
      <c r="F422" s="233"/>
      <c r="G422" s="233"/>
      <c r="H422" s="237"/>
      <c r="I422" s="53"/>
      <c r="J422" s="237"/>
      <c r="K422" s="24"/>
      <c r="L422" s="24"/>
      <c r="M422" s="24"/>
      <c r="N422" s="24"/>
      <c r="O422" s="24"/>
    </row>
    <row r="423" spans="5:15" s="22" customFormat="1" x14ac:dyDescent="0.25">
      <c r="E423" s="233"/>
      <c r="F423" s="233"/>
      <c r="G423" s="233"/>
      <c r="H423" s="237"/>
      <c r="I423" s="53"/>
      <c r="J423" s="237"/>
      <c r="K423" s="24"/>
      <c r="L423" s="24"/>
      <c r="M423" s="24"/>
      <c r="N423" s="24"/>
      <c r="O423" s="24"/>
    </row>
    <row r="424" spans="5:15" s="22" customFormat="1" x14ac:dyDescent="0.25">
      <c r="E424" s="233"/>
      <c r="F424" s="233"/>
      <c r="G424" s="233"/>
      <c r="H424" s="237"/>
      <c r="I424" s="53"/>
      <c r="J424" s="237"/>
      <c r="K424" s="24"/>
      <c r="L424" s="24"/>
      <c r="M424" s="24"/>
      <c r="N424" s="24"/>
      <c r="O424" s="24"/>
    </row>
    <row r="425" spans="5:15" s="22" customFormat="1" x14ac:dyDescent="0.25">
      <c r="E425" s="233"/>
      <c r="F425" s="233"/>
      <c r="G425" s="233"/>
      <c r="H425" s="237"/>
      <c r="I425" s="53"/>
      <c r="J425" s="237"/>
      <c r="K425" s="24"/>
      <c r="L425" s="24"/>
      <c r="M425" s="24"/>
      <c r="N425" s="24"/>
      <c r="O425" s="24"/>
    </row>
    <row r="426" spans="5:15" s="22" customFormat="1" x14ac:dyDescent="0.25">
      <c r="E426" s="233"/>
      <c r="F426" s="233"/>
      <c r="G426" s="233"/>
      <c r="H426" s="237"/>
      <c r="I426" s="53"/>
      <c r="J426" s="237"/>
      <c r="K426" s="24"/>
      <c r="L426" s="24"/>
      <c r="M426" s="24"/>
      <c r="N426" s="24"/>
      <c r="O426" s="24"/>
    </row>
    <row r="427" spans="5:15" s="22" customFormat="1" x14ac:dyDescent="0.25">
      <c r="E427" s="233"/>
      <c r="F427" s="233"/>
      <c r="G427" s="233"/>
      <c r="H427" s="237"/>
      <c r="I427" s="53"/>
      <c r="J427" s="237"/>
      <c r="K427" s="24"/>
      <c r="L427" s="24"/>
      <c r="M427" s="24"/>
      <c r="N427" s="24"/>
      <c r="O427" s="24"/>
    </row>
    <row r="428" spans="5:15" s="22" customFormat="1" x14ac:dyDescent="0.25">
      <c r="E428" s="233"/>
      <c r="F428" s="233"/>
      <c r="G428" s="233"/>
      <c r="H428" s="237"/>
      <c r="I428" s="53"/>
      <c r="J428" s="237"/>
      <c r="K428" s="24"/>
      <c r="L428" s="24"/>
      <c r="M428" s="24"/>
      <c r="N428" s="24"/>
      <c r="O428" s="24"/>
    </row>
    <row r="429" spans="5:15" s="22" customFormat="1" x14ac:dyDescent="0.25">
      <c r="E429" s="233"/>
      <c r="F429" s="233"/>
      <c r="G429" s="233"/>
      <c r="H429" s="237"/>
      <c r="I429" s="53"/>
      <c r="J429" s="237"/>
      <c r="K429" s="24"/>
      <c r="L429" s="24"/>
      <c r="M429" s="24"/>
      <c r="N429" s="24"/>
      <c r="O429" s="24"/>
    </row>
    <row r="430" spans="5:15" s="22" customFormat="1" x14ac:dyDescent="0.25">
      <c r="E430" s="233"/>
      <c r="F430" s="233"/>
      <c r="G430" s="233"/>
      <c r="H430" s="237"/>
      <c r="I430" s="53"/>
      <c r="J430" s="237"/>
      <c r="K430" s="24"/>
      <c r="L430" s="24"/>
      <c r="M430" s="24"/>
      <c r="N430" s="24"/>
      <c r="O430" s="24"/>
    </row>
    <row r="431" spans="5:15" s="22" customFormat="1" x14ac:dyDescent="0.25">
      <c r="E431" s="233"/>
      <c r="F431" s="233"/>
      <c r="G431" s="233"/>
      <c r="H431" s="237"/>
      <c r="I431" s="53"/>
      <c r="J431" s="237"/>
      <c r="K431" s="24"/>
      <c r="L431" s="24"/>
      <c r="M431" s="24"/>
      <c r="N431" s="24"/>
      <c r="O431" s="24"/>
    </row>
    <row r="432" spans="5:15" s="22" customFormat="1" x14ac:dyDescent="0.25">
      <c r="E432" s="233"/>
      <c r="F432" s="233"/>
      <c r="G432" s="233"/>
      <c r="H432" s="237"/>
      <c r="I432" s="53"/>
      <c r="J432" s="237"/>
      <c r="K432" s="24"/>
      <c r="L432" s="24"/>
      <c r="M432" s="24"/>
      <c r="N432" s="24"/>
      <c r="O432" s="24"/>
    </row>
    <row r="433" spans="5:15" s="22" customFormat="1" x14ac:dyDescent="0.25">
      <c r="E433" s="233"/>
      <c r="F433" s="233"/>
      <c r="G433" s="233"/>
      <c r="H433" s="237"/>
      <c r="I433" s="53"/>
      <c r="J433" s="237"/>
      <c r="K433" s="24"/>
      <c r="L433" s="24"/>
      <c r="M433" s="24"/>
      <c r="N433" s="24"/>
      <c r="O433" s="24"/>
    </row>
    <row r="434" spans="5:15" s="22" customFormat="1" x14ac:dyDescent="0.25">
      <c r="E434" s="233"/>
      <c r="F434" s="233"/>
      <c r="G434" s="233"/>
      <c r="H434" s="237"/>
      <c r="I434" s="53"/>
      <c r="J434" s="237"/>
      <c r="K434" s="24"/>
      <c r="L434" s="24"/>
      <c r="M434" s="24"/>
      <c r="N434" s="24"/>
      <c r="O434" s="24"/>
    </row>
    <row r="435" spans="5:15" s="22" customFormat="1" x14ac:dyDescent="0.25">
      <c r="E435" s="233"/>
      <c r="F435" s="233"/>
      <c r="G435" s="233"/>
      <c r="H435" s="237"/>
      <c r="I435" s="53"/>
      <c r="J435" s="237"/>
      <c r="K435" s="24"/>
      <c r="L435" s="24"/>
      <c r="M435" s="24"/>
      <c r="N435" s="24"/>
      <c r="O435" s="24"/>
    </row>
    <row r="436" spans="5:15" s="22" customFormat="1" x14ac:dyDescent="0.25">
      <c r="E436" s="233"/>
      <c r="F436" s="233"/>
      <c r="G436" s="233"/>
      <c r="H436" s="237"/>
      <c r="I436" s="53"/>
      <c r="J436" s="237"/>
      <c r="K436" s="24"/>
      <c r="L436" s="24"/>
      <c r="M436" s="24"/>
      <c r="N436" s="24"/>
      <c r="O436" s="24"/>
    </row>
    <row r="437" spans="5:15" s="22" customFormat="1" x14ac:dyDescent="0.25">
      <c r="E437" s="233"/>
      <c r="F437" s="233"/>
      <c r="G437" s="233"/>
      <c r="H437" s="237"/>
      <c r="I437" s="53"/>
      <c r="J437" s="237"/>
      <c r="K437" s="24"/>
      <c r="L437" s="24"/>
      <c r="M437" s="24"/>
      <c r="N437" s="24"/>
      <c r="O437" s="24"/>
    </row>
    <row r="438" spans="5:15" s="22" customFormat="1" x14ac:dyDescent="0.25">
      <c r="E438" s="233"/>
      <c r="F438" s="233"/>
      <c r="G438" s="233"/>
      <c r="H438" s="237"/>
      <c r="I438" s="53"/>
      <c r="J438" s="237"/>
      <c r="K438" s="24"/>
      <c r="L438" s="24"/>
      <c r="M438" s="24"/>
      <c r="N438" s="24"/>
      <c r="O438" s="24"/>
    </row>
    <row r="439" spans="5:15" s="22" customFormat="1" x14ac:dyDescent="0.25">
      <c r="E439" s="233"/>
      <c r="F439" s="233"/>
      <c r="G439" s="233"/>
      <c r="H439" s="237"/>
      <c r="I439" s="53"/>
      <c r="J439" s="237"/>
      <c r="K439" s="24"/>
      <c r="L439" s="24"/>
      <c r="M439" s="24"/>
      <c r="N439" s="24"/>
      <c r="O439" s="24"/>
    </row>
    <row r="440" spans="5:15" s="22" customFormat="1" x14ac:dyDescent="0.25">
      <c r="E440" s="233"/>
      <c r="F440" s="233"/>
      <c r="G440" s="233"/>
      <c r="H440" s="237"/>
      <c r="I440" s="53"/>
      <c r="J440" s="237"/>
      <c r="K440" s="24"/>
      <c r="L440" s="24"/>
      <c r="M440" s="24"/>
      <c r="N440" s="24"/>
      <c r="O440" s="24"/>
    </row>
    <row r="441" spans="5:15" s="22" customFormat="1" x14ac:dyDescent="0.25">
      <c r="E441" s="233"/>
      <c r="F441" s="233"/>
      <c r="G441" s="233"/>
      <c r="H441" s="237"/>
      <c r="I441" s="53"/>
      <c r="J441" s="237"/>
      <c r="K441" s="24"/>
      <c r="L441" s="24"/>
      <c r="M441" s="24"/>
      <c r="N441" s="24"/>
      <c r="O441" s="24"/>
    </row>
    <row r="442" spans="5:15" s="22" customFormat="1" x14ac:dyDescent="0.25">
      <c r="E442" s="233"/>
      <c r="F442" s="233"/>
      <c r="G442" s="233"/>
      <c r="H442" s="237"/>
      <c r="I442" s="53"/>
      <c r="J442" s="237"/>
      <c r="K442" s="24"/>
      <c r="L442" s="24"/>
      <c r="M442" s="24"/>
      <c r="N442" s="24"/>
      <c r="O442" s="24"/>
    </row>
    <row r="443" spans="5:15" s="22" customFormat="1" x14ac:dyDescent="0.25">
      <c r="E443" s="233"/>
      <c r="F443" s="233"/>
      <c r="G443" s="233"/>
      <c r="H443" s="237"/>
      <c r="I443" s="53"/>
      <c r="J443" s="237"/>
      <c r="K443" s="24"/>
      <c r="L443" s="24"/>
      <c r="M443" s="24"/>
      <c r="N443" s="24"/>
      <c r="O443" s="24"/>
    </row>
    <row r="444" spans="5:15" s="22" customFormat="1" x14ac:dyDescent="0.25">
      <c r="E444" s="233"/>
      <c r="F444" s="233"/>
      <c r="G444" s="233"/>
      <c r="H444" s="237"/>
      <c r="I444" s="53"/>
      <c r="J444" s="237"/>
      <c r="K444" s="24"/>
      <c r="L444" s="24"/>
      <c r="M444" s="24"/>
      <c r="N444" s="24"/>
      <c r="O444" s="24"/>
    </row>
    <row r="445" spans="5:15" s="22" customFormat="1" x14ac:dyDescent="0.25">
      <c r="E445" s="233"/>
      <c r="F445" s="233"/>
      <c r="G445" s="233"/>
      <c r="H445" s="237"/>
      <c r="I445" s="53"/>
      <c r="J445" s="237"/>
      <c r="K445" s="24"/>
      <c r="L445" s="24"/>
      <c r="M445" s="24"/>
      <c r="N445" s="24"/>
      <c r="O445" s="24"/>
    </row>
    <row r="446" spans="5:15" s="22" customFormat="1" x14ac:dyDescent="0.25">
      <c r="E446" s="233"/>
      <c r="F446" s="233"/>
      <c r="G446" s="233"/>
      <c r="H446" s="237"/>
      <c r="I446" s="53"/>
      <c r="J446" s="237"/>
      <c r="K446" s="24"/>
      <c r="L446" s="24"/>
      <c r="M446" s="24"/>
      <c r="N446" s="24"/>
      <c r="O446" s="24"/>
    </row>
    <row r="447" spans="5:15" s="22" customFormat="1" x14ac:dyDescent="0.25">
      <c r="E447" s="233"/>
      <c r="F447" s="233"/>
      <c r="G447" s="233"/>
      <c r="H447" s="237"/>
      <c r="I447" s="53"/>
      <c r="J447" s="237"/>
      <c r="K447" s="24"/>
      <c r="L447" s="24"/>
      <c r="M447" s="24"/>
      <c r="N447" s="24"/>
      <c r="O447" s="24"/>
    </row>
    <row r="448" spans="5:15" s="22" customFormat="1" x14ac:dyDescent="0.25">
      <c r="E448" s="233"/>
      <c r="F448" s="233"/>
      <c r="G448" s="233"/>
      <c r="H448" s="237"/>
      <c r="I448" s="53"/>
      <c r="J448" s="237"/>
      <c r="K448" s="24"/>
      <c r="L448" s="24"/>
      <c r="M448" s="24"/>
      <c r="N448" s="24"/>
      <c r="O448" s="24"/>
    </row>
    <row r="449" spans="5:15" s="22" customFormat="1" x14ac:dyDescent="0.25">
      <c r="E449" s="233"/>
      <c r="F449" s="233"/>
      <c r="G449" s="233"/>
      <c r="H449" s="237"/>
      <c r="I449" s="53"/>
      <c r="J449" s="237"/>
      <c r="K449" s="24"/>
      <c r="L449" s="24"/>
      <c r="M449" s="24"/>
      <c r="N449" s="24"/>
      <c r="O449" s="24"/>
    </row>
    <row r="450" spans="5:15" s="22" customFormat="1" x14ac:dyDescent="0.25">
      <c r="E450" s="233"/>
      <c r="F450" s="233"/>
      <c r="G450" s="233"/>
      <c r="H450" s="237"/>
      <c r="I450" s="53"/>
      <c r="J450" s="237"/>
      <c r="K450" s="24"/>
      <c r="L450" s="24"/>
      <c r="M450" s="24"/>
      <c r="N450" s="24"/>
      <c r="O450" s="24"/>
    </row>
    <row r="451" spans="5:15" s="22" customFormat="1" x14ac:dyDescent="0.25">
      <c r="E451" s="233"/>
      <c r="F451" s="233"/>
      <c r="G451" s="233"/>
      <c r="H451" s="237"/>
      <c r="I451" s="53"/>
      <c r="J451" s="237"/>
      <c r="K451" s="24"/>
      <c r="L451" s="24"/>
      <c r="M451" s="24"/>
      <c r="N451" s="24"/>
      <c r="O451" s="24"/>
    </row>
    <row r="452" spans="5:15" s="22" customFormat="1" x14ac:dyDescent="0.25">
      <c r="E452" s="233"/>
      <c r="F452" s="233"/>
      <c r="G452" s="233"/>
      <c r="H452" s="237"/>
      <c r="I452" s="53"/>
      <c r="J452" s="237"/>
      <c r="K452" s="24"/>
      <c r="L452" s="24"/>
      <c r="M452" s="24"/>
      <c r="N452" s="24"/>
      <c r="O452" s="24"/>
    </row>
    <row r="453" spans="5:15" s="22" customFormat="1" x14ac:dyDescent="0.25">
      <c r="E453" s="233"/>
      <c r="F453" s="233"/>
      <c r="G453" s="233"/>
      <c r="H453" s="237"/>
      <c r="I453" s="53"/>
      <c r="J453" s="237"/>
      <c r="K453" s="24"/>
      <c r="L453" s="24"/>
      <c r="M453" s="24"/>
      <c r="N453" s="24"/>
      <c r="O453" s="24"/>
    </row>
    <row r="454" spans="5:15" s="22" customFormat="1" x14ac:dyDescent="0.25">
      <c r="E454" s="233"/>
      <c r="F454" s="233"/>
      <c r="G454" s="233"/>
      <c r="H454" s="237"/>
      <c r="I454" s="53"/>
      <c r="J454" s="237"/>
      <c r="K454" s="24"/>
      <c r="L454" s="24"/>
      <c r="M454" s="24"/>
      <c r="N454" s="24"/>
      <c r="O454" s="24"/>
    </row>
    <row r="455" spans="5:15" s="22" customFormat="1" x14ac:dyDescent="0.25">
      <c r="E455" s="233"/>
      <c r="F455" s="233"/>
      <c r="G455" s="233"/>
      <c r="H455" s="237"/>
      <c r="I455" s="53"/>
      <c r="J455" s="237"/>
      <c r="K455" s="24"/>
      <c r="L455" s="24"/>
      <c r="M455" s="24"/>
      <c r="N455" s="24"/>
      <c r="O455" s="24"/>
    </row>
    <row r="456" spans="5:15" s="22" customFormat="1" x14ac:dyDescent="0.25">
      <c r="E456" s="233"/>
      <c r="F456" s="233"/>
      <c r="G456" s="233"/>
      <c r="H456" s="237"/>
      <c r="I456" s="53"/>
      <c r="J456" s="237"/>
      <c r="K456" s="24"/>
      <c r="L456" s="24"/>
      <c r="M456" s="24"/>
      <c r="N456" s="24"/>
      <c r="O456" s="24"/>
    </row>
    <row r="457" spans="5:15" s="22" customFormat="1" x14ac:dyDescent="0.25">
      <c r="E457" s="233"/>
      <c r="F457" s="233"/>
      <c r="G457" s="233"/>
      <c r="H457" s="237"/>
      <c r="I457" s="53"/>
      <c r="J457" s="237"/>
      <c r="K457" s="24"/>
      <c r="L457" s="24"/>
      <c r="M457" s="24"/>
      <c r="N457" s="24"/>
      <c r="O457" s="24"/>
    </row>
    <row r="458" spans="5:15" s="22" customFormat="1" x14ac:dyDescent="0.25">
      <c r="E458" s="233"/>
      <c r="F458" s="233"/>
      <c r="G458" s="233"/>
      <c r="H458" s="237"/>
      <c r="I458" s="53"/>
      <c r="J458" s="237"/>
      <c r="K458" s="24"/>
      <c r="L458" s="24"/>
      <c r="M458" s="24"/>
      <c r="N458" s="24"/>
      <c r="O458" s="24"/>
    </row>
    <row r="459" spans="5:15" s="22" customFormat="1" x14ac:dyDescent="0.25">
      <c r="E459" s="233"/>
      <c r="F459" s="233"/>
      <c r="G459" s="233"/>
      <c r="H459" s="237"/>
      <c r="I459" s="53"/>
      <c r="J459" s="237"/>
      <c r="K459" s="24"/>
      <c r="L459" s="24"/>
      <c r="M459" s="24"/>
      <c r="N459" s="24"/>
      <c r="O459" s="24"/>
    </row>
    <row r="460" spans="5:15" s="22" customFormat="1" x14ac:dyDescent="0.25">
      <c r="E460" s="233"/>
      <c r="F460" s="233"/>
      <c r="G460" s="233"/>
      <c r="H460" s="237"/>
      <c r="I460" s="53"/>
      <c r="J460" s="237"/>
      <c r="K460" s="24"/>
      <c r="L460" s="24"/>
      <c r="M460" s="24"/>
      <c r="N460" s="24"/>
      <c r="O460" s="24"/>
    </row>
    <row r="461" spans="5:15" s="22" customFormat="1" x14ac:dyDescent="0.25">
      <c r="E461" s="233"/>
      <c r="F461" s="233"/>
      <c r="G461" s="233"/>
      <c r="H461" s="237"/>
      <c r="I461" s="53"/>
      <c r="J461" s="237"/>
      <c r="K461" s="24"/>
      <c r="L461" s="24"/>
      <c r="M461" s="24"/>
      <c r="N461" s="24"/>
      <c r="O461" s="24"/>
    </row>
    <row r="462" spans="5:15" s="22" customFormat="1" x14ac:dyDescent="0.25">
      <c r="E462" s="233"/>
      <c r="F462" s="233"/>
      <c r="G462" s="233"/>
      <c r="H462" s="237"/>
      <c r="I462" s="53"/>
      <c r="J462" s="237"/>
      <c r="K462" s="24"/>
      <c r="L462" s="24"/>
      <c r="M462" s="24"/>
      <c r="N462" s="24"/>
      <c r="O462" s="24"/>
    </row>
    <row r="463" spans="5:15" s="22" customFormat="1" x14ac:dyDescent="0.25">
      <c r="E463" s="233"/>
      <c r="F463" s="233"/>
      <c r="G463" s="233"/>
      <c r="H463" s="237"/>
      <c r="I463" s="53"/>
      <c r="J463" s="237"/>
      <c r="K463" s="24"/>
      <c r="L463" s="24"/>
      <c r="M463" s="24"/>
      <c r="N463" s="24"/>
      <c r="O463" s="24"/>
    </row>
    <row r="464" spans="5:15" s="22" customFormat="1" x14ac:dyDescent="0.25">
      <c r="E464" s="233"/>
      <c r="F464" s="233"/>
      <c r="G464" s="233"/>
      <c r="H464" s="237"/>
      <c r="I464" s="53"/>
      <c r="J464" s="237"/>
      <c r="K464" s="24"/>
      <c r="L464" s="24"/>
      <c r="M464" s="24"/>
      <c r="N464" s="24"/>
      <c r="O464" s="24"/>
    </row>
    <row r="465" spans="5:15" s="22" customFormat="1" x14ac:dyDescent="0.25">
      <c r="E465" s="233"/>
      <c r="F465" s="233"/>
      <c r="G465" s="233"/>
      <c r="H465" s="237"/>
      <c r="I465" s="53"/>
      <c r="J465" s="237"/>
      <c r="K465" s="24"/>
      <c r="L465" s="24"/>
      <c r="M465" s="24"/>
      <c r="N465" s="24"/>
      <c r="O465" s="24"/>
    </row>
    <row r="466" spans="5:15" s="22" customFormat="1" x14ac:dyDescent="0.25">
      <c r="E466" s="233"/>
      <c r="F466" s="233"/>
      <c r="G466" s="233"/>
      <c r="H466" s="237"/>
      <c r="I466" s="53"/>
      <c r="J466" s="237"/>
      <c r="K466" s="24"/>
      <c r="L466" s="24"/>
      <c r="M466" s="24"/>
      <c r="N466" s="24"/>
      <c r="O466" s="24"/>
    </row>
    <row r="467" spans="5:15" s="22" customFormat="1" x14ac:dyDescent="0.25">
      <c r="E467" s="233"/>
      <c r="F467" s="233"/>
      <c r="G467" s="233"/>
      <c r="H467" s="237"/>
      <c r="I467" s="53"/>
      <c r="J467" s="237"/>
      <c r="K467" s="24"/>
      <c r="L467" s="24"/>
      <c r="M467" s="24"/>
      <c r="N467" s="24"/>
      <c r="O467" s="24"/>
    </row>
    <row r="468" spans="5:15" s="22" customFormat="1" x14ac:dyDescent="0.25">
      <c r="E468" s="233"/>
      <c r="F468" s="233"/>
      <c r="G468" s="233"/>
      <c r="H468" s="237"/>
      <c r="I468" s="53"/>
      <c r="J468" s="237"/>
      <c r="K468" s="24"/>
      <c r="L468" s="24"/>
      <c r="M468" s="24"/>
      <c r="N468" s="24"/>
      <c r="O468" s="24"/>
    </row>
    <row r="469" spans="5:15" s="22" customFormat="1" x14ac:dyDescent="0.25">
      <c r="E469" s="233"/>
      <c r="F469" s="233"/>
      <c r="G469" s="233"/>
      <c r="H469" s="237"/>
      <c r="I469" s="53"/>
      <c r="J469" s="237"/>
      <c r="K469" s="24"/>
      <c r="L469" s="24"/>
      <c r="M469" s="24"/>
      <c r="N469" s="24"/>
      <c r="O469" s="24"/>
    </row>
    <row r="470" spans="5:15" s="22" customFormat="1" x14ac:dyDescent="0.25">
      <c r="E470" s="233"/>
      <c r="F470" s="233"/>
      <c r="G470" s="233"/>
      <c r="H470" s="237"/>
      <c r="I470" s="53"/>
      <c r="J470" s="237"/>
      <c r="K470" s="24"/>
      <c r="L470" s="24"/>
      <c r="M470" s="24"/>
      <c r="N470" s="24"/>
      <c r="O470" s="24"/>
    </row>
    <row r="471" spans="5:15" s="22" customFormat="1" x14ac:dyDescent="0.25">
      <c r="E471" s="233"/>
      <c r="F471" s="233"/>
      <c r="G471" s="233"/>
      <c r="H471" s="237"/>
      <c r="I471" s="53"/>
      <c r="J471" s="237"/>
      <c r="K471" s="24"/>
      <c r="L471" s="24"/>
      <c r="M471" s="24"/>
      <c r="N471" s="24"/>
      <c r="O471" s="24"/>
    </row>
    <row r="472" spans="5:15" s="22" customFormat="1" x14ac:dyDescent="0.25">
      <c r="E472" s="233"/>
      <c r="F472" s="233"/>
      <c r="G472" s="233"/>
      <c r="H472" s="237"/>
      <c r="I472" s="53"/>
      <c r="J472" s="237"/>
      <c r="K472" s="24"/>
      <c r="L472" s="24"/>
      <c r="M472" s="24"/>
      <c r="N472" s="24"/>
      <c r="O472" s="24"/>
    </row>
    <row r="473" spans="5:15" s="22" customFormat="1" x14ac:dyDescent="0.25">
      <c r="E473" s="233"/>
      <c r="F473" s="233"/>
      <c r="G473" s="233"/>
      <c r="H473" s="237"/>
      <c r="I473" s="53"/>
      <c r="J473" s="237"/>
      <c r="K473" s="24"/>
      <c r="L473" s="24"/>
      <c r="M473" s="24"/>
      <c r="N473" s="24"/>
      <c r="O473" s="24"/>
    </row>
    <row r="474" spans="5:15" s="22" customFormat="1" x14ac:dyDescent="0.25">
      <c r="E474" s="233"/>
      <c r="F474" s="233"/>
      <c r="G474" s="233"/>
      <c r="H474" s="237"/>
      <c r="I474" s="53"/>
      <c r="J474" s="237"/>
      <c r="K474" s="24"/>
      <c r="L474" s="24"/>
      <c r="M474" s="24"/>
      <c r="N474" s="24"/>
      <c r="O474" s="24"/>
    </row>
    <row r="475" spans="5:15" s="22" customFormat="1" x14ac:dyDescent="0.25">
      <c r="E475" s="233"/>
      <c r="F475" s="233"/>
      <c r="G475" s="233"/>
      <c r="H475" s="237"/>
      <c r="I475" s="53"/>
      <c r="J475" s="237"/>
      <c r="K475" s="24"/>
      <c r="L475" s="24"/>
      <c r="M475" s="24"/>
      <c r="N475" s="24"/>
      <c r="O475" s="24"/>
    </row>
    <row r="476" spans="5:15" s="22" customFormat="1" x14ac:dyDescent="0.25">
      <c r="E476" s="233"/>
      <c r="F476" s="233"/>
      <c r="G476" s="233"/>
      <c r="H476" s="237"/>
      <c r="I476" s="53"/>
      <c r="J476" s="237"/>
      <c r="K476" s="24"/>
      <c r="L476" s="24"/>
      <c r="M476" s="24"/>
      <c r="N476" s="24"/>
      <c r="O476" s="24"/>
    </row>
    <row r="477" spans="5:15" s="22" customFormat="1" x14ac:dyDescent="0.25">
      <c r="E477" s="233"/>
      <c r="F477" s="233"/>
      <c r="G477" s="233"/>
      <c r="H477" s="237"/>
      <c r="I477" s="53"/>
      <c r="J477" s="237"/>
      <c r="K477" s="24"/>
      <c r="L477" s="24"/>
      <c r="M477" s="24"/>
      <c r="N477" s="24"/>
      <c r="O477" s="24"/>
    </row>
    <row r="478" spans="5:15" s="22" customFormat="1" x14ac:dyDescent="0.25">
      <c r="E478" s="233"/>
      <c r="F478" s="233"/>
      <c r="G478" s="233"/>
      <c r="H478" s="237"/>
      <c r="I478" s="53"/>
      <c r="J478" s="237"/>
      <c r="K478" s="24"/>
      <c r="L478" s="24"/>
      <c r="M478" s="24"/>
      <c r="N478" s="24"/>
      <c r="O478" s="24"/>
    </row>
    <row r="479" spans="5:15" s="22" customFormat="1" x14ac:dyDescent="0.25">
      <c r="E479" s="233"/>
      <c r="F479" s="233"/>
      <c r="G479" s="233"/>
      <c r="H479" s="237"/>
      <c r="I479" s="53"/>
      <c r="J479" s="237"/>
      <c r="K479" s="24"/>
      <c r="L479" s="24"/>
      <c r="M479" s="24"/>
      <c r="N479" s="24"/>
      <c r="O479" s="24"/>
    </row>
    <row r="480" spans="5:15" s="22" customFormat="1" x14ac:dyDescent="0.25">
      <c r="E480" s="233"/>
      <c r="F480" s="233"/>
      <c r="G480" s="233"/>
      <c r="H480" s="237"/>
      <c r="I480" s="53"/>
      <c r="J480" s="237"/>
      <c r="K480" s="24"/>
      <c r="L480" s="24"/>
      <c r="M480" s="24"/>
      <c r="N480" s="24"/>
      <c r="O480" s="24"/>
    </row>
    <row r="481" spans="1:334" s="22" customFormat="1" x14ac:dyDescent="0.25">
      <c r="E481" s="233"/>
      <c r="F481" s="233"/>
      <c r="G481" s="233"/>
      <c r="H481" s="237"/>
      <c r="I481" s="53"/>
      <c r="J481" s="237"/>
      <c r="K481" s="24"/>
      <c r="L481" s="24"/>
      <c r="M481" s="24"/>
      <c r="N481" s="24"/>
      <c r="O481" s="24"/>
    </row>
    <row r="482" spans="1:334" x14ac:dyDescent="0.25">
      <c r="A482" s="22"/>
      <c r="B482" s="22"/>
      <c r="C482" s="22"/>
      <c r="D482" s="22"/>
      <c r="E482" s="233"/>
      <c r="F482" s="233"/>
      <c r="G482" s="233"/>
      <c r="H482" s="237"/>
      <c r="I482" s="53"/>
      <c r="J482" s="237"/>
      <c r="K482" s="24"/>
      <c r="L482" s="24"/>
      <c r="M482" s="24"/>
      <c r="N482" s="24"/>
      <c r="O482" s="24"/>
      <c r="P482" s="22"/>
      <c r="Q482" s="22"/>
      <c r="R482" s="22"/>
      <c r="S482" s="25"/>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c r="FS482" s="4"/>
      <c r="FT482" s="4"/>
      <c r="FU482" s="4"/>
      <c r="FV482" s="4"/>
      <c r="FW482" s="4"/>
      <c r="FX482" s="4"/>
      <c r="FY482" s="4"/>
      <c r="FZ482" s="4"/>
      <c r="GA482" s="4"/>
      <c r="GB482" s="4"/>
      <c r="GC482" s="4"/>
      <c r="GD482" s="4"/>
      <c r="GE482" s="4"/>
      <c r="GF482" s="4"/>
      <c r="GG482" s="4"/>
      <c r="GH482" s="4"/>
      <c r="GI482" s="4"/>
      <c r="GJ482" s="4"/>
      <c r="GK482" s="4"/>
      <c r="GL482" s="4"/>
      <c r="GM482" s="4"/>
      <c r="GN482" s="4"/>
      <c r="GO482" s="4"/>
      <c r="GP482" s="4"/>
      <c r="GQ482" s="4"/>
      <c r="GR482" s="4"/>
      <c r="GS482" s="4"/>
      <c r="GT482" s="4"/>
      <c r="GU482" s="4"/>
      <c r="GV482" s="4"/>
      <c r="GW482" s="4"/>
      <c r="GX482" s="4"/>
      <c r="GY482" s="4"/>
      <c r="GZ482" s="4"/>
      <c r="HA482" s="4"/>
      <c r="HB482" s="4"/>
      <c r="HC482" s="4"/>
      <c r="HD482" s="4"/>
      <c r="HE482" s="4"/>
      <c r="HF482" s="4"/>
      <c r="HG482" s="4"/>
      <c r="HH482" s="4"/>
      <c r="HI482" s="4"/>
      <c r="HJ482" s="4"/>
      <c r="HK482" s="4"/>
      <c r="HL482" s="4"/>
      <c r="HM482" s="4"/>
      <c r="HN482" s="4"/>
      <c r="HO482" s="4"/>
      <c r="HP482" s="4"/>
      <c r="HQ482" s="4"/>
      <c r="HR482" s="4"/>
      <c r="HS482" s="4"/>
      <c r="HT482" s="4"/>
      <c r="HU482" s="4"/>
      <c r="HV482" s="4"/>
      <c r="HW482" s="4"/>
      <c r="HX482" s="4"/>
      <c r="HY482" s="4"/>
      <c r="HZ482" s="4"/>
      <c r="IA482" s="4"/>
      <c r="IB482" s="4"/>
      <c r="IC482" s="4"/>
      <c r="ID482" s="4"/>
      <c r="IE482" s="4"/>
      <c r="IF482" s="4"/>
      <c r="IG482" s="4"/>
      <c r="IH482" s="4"/>
      <c r="II482" s="4"/>
      <c r="IJ482" s="4"/>
      <c r="IK482" s="4"/>
      <c r="IL482" s="4"/>
      <c r="IM482" s="4"/>
      <c r="IN482" s="4"/>
      <c r="IO482" s="4"/>
      <c r="IP482" s="4"/>
      <c r="IQ482" s="4"/>
      <c r="IR482" s="4"/>
      <c r="IS482" s="4"/>
      <c r="IT482" s="4"/>
      <c r="IU482" s="4"/>
      <c r="IV482" s="4"/>
      <c r="IW482" s="4"/>
      <c r="IX482" s="4"/>
      <c r="IY482" s="4"/>
      <c r="IZ482" s="4"/>
      <c r="JA482" s="4"/>
      <c r="JB482" s="4"/>
      <c r="JC482" s="4"/>
      <c r="JD482" s="4"/>
      <c r="JE482" s="4"/>
      <c r="JF482" s="4"/>
      <c r="JG482" s="4"/>
      <c r="JH482" s="4"/>
      <c r="JI482" s="4"/>
      <c r="JJ482" s="4"/>
      <c r="JK482" s="4"/>
      <c r="JL482" s="4"/>
      <c r="JM482" s="4"/>
      <c r="JN482" s="4"/>
      <c r="JO482" s="4"/>
      <c r="JP482" s="4"/>
      <c r="JQ482" s="4"/>
      <c r="JR482" s="4"/>
      <c r="JS482" s="4"/>
      <c r="JT482" s="4"/>
      <c r="JU482" s="4"/>
      <c r="JV482" s="4"/>
      <c r="JW482" s="4"/>
      <c r="JX482" s="4"/>
      <c r="JY482" s="4"/>
      <c r="JZ482" s="4"/>
      <c r="KA482" s="4"/>
      <c r="KB482" s="4"/>
      <c r="KC482" s="4"/>
      <c r="KD482" s="4"/>
      <c r="KE482" s="4"/>
      <c r="KF482" s="4"/>
      <c r="KG482" s="4"/>
      <c r="KH482" s="4"/>
      <c r="KI482" s="4"/>
      <c r="KJ482" s="4"/>
      <c r="KK482" s="4"/>
      <c r="KL482" s="4"/>
      <c r="KM482" s="4"/>
      <c r="KN482" s="4"/>
      <c r="KO482" s="4"/>
      <c r="KP482" s="4"/>
      <c r="KQ482" s="4"/>
      <c r="KR482" s="4"/>
      <c r="KS482" s="4"/>
      <c r="KT482" s="4"/>
      <c r="KU482" s="4"/>
      <c r="KV482" s="4"/>
      <c r="KW482" s="4"/>
      <c r="KX482" s="4"/>
      <c r="KY482" s="4"/>
      <c r="KZ482" s="4"/>
      <c r="LA482" s="4"/>
      <c r="LB482" s="4"/>
      <c r="LC482" s="4"/>
      <c r="LD482" s="4"/>
      <c r="LE482" s="4"/>
      <c r="LF482" s="4"/>
      <c r="LG482" s="4"/>
      <c r="LH482" s="4"/>
      <c r="LI482" s="4"/>
      <c r="LJ482" s="4"/>
      <c r="LK482" s="4"/>
      <c r="LL482" s="4"/>
      <c r="LM482" s="4"/>
      <c r="LN482" s="4"/>
      <c r="LO482" s="4"/>
      <c r="LP482" s="4"/>
      <c r="LQ482" s="4"/>
      <c r="LR482" s="4"/>
      <c r="LS482" s="4"/>
      <c r="LT482" s="4"/>
      <c r="LU482" s="4"/>
      <c r="LV482" s="4"/>
    </row>
    <row r="483" spans="1:334" x14ac:dyDescent="0.25">
      <c r="A483" s="22"/>
      <c r="B483" s="22"/>
      <c r="C483" s="22"/>
      <c r="D483" s="22"/>
      <c r="E483" s="233"/>
      <c r="F483" s="233"/>
      <c r="G483" s="233"/>
      <c r="H483" s="237"/>
      <c r="I483" s="53"/>
      <c r="J483" s="237"/>
      <c r="K483" s="24"/>
      <c r="L483" s="24"/>
      <c r="M483" s="24"/>
      <c r="N483" s="24"/>
      <c r="O483" s="24"/>
      <c r="P483" s="25"/>
      <c r="Q483" s="25"/>
      <c r="R483" s="25"/>
      <c r="S483" s="25"/>
    </row>
  </sheetData>
  <sheetProtection algorithmName="SHA-512" hashValue="w5/+esNLDSk5PYjzrgUZjJwWoraIpXPpMx+PNjdwTq2HEaPfVqrs9JPBXy1Z9Oh065MLYAPhjrcxWqDff5dp6g==" saltValue="HWQ+b1+lrPmsakt9bV2maA==" spinCount="100000" sheet="1" sort="0" autoFilter="0"/>
  <autoFilter ref="A2:LV21" xr:uid="{00000000-0009-0000-0000-000002000000}"/>
  <sortState xmlns:xlrd2="http://schemas.microsoft.com/office/spreadsheetml/2017/richdata2" ref="A1:J949">
    <sortCondition ref="C1:C2"/>
  </sortState>
  <mergeCells count="24">
    <mergeCell ref="A1:A2"/>
    <mergeCell ref="I1:I2"/>
    <mergeCell ref="M1:M2"/>
    <mergeCell ref="O1:O2"/>
    <mergeCell ref="Q1:Q2"/>
    <mergeCell ref="P1:P2"/>
    <mergeCell ref="K1:K2"/>
    <mergeCell ref="F1:F2"/>
    <mergeCell ref="H1:H2"/>
    <mergeCell ref="B1:B2"/>
    <mergeCell ref="C1:C2"/>
    <mergeCell ref="D1:D2"/>
    <mergeCell ref="E1:E2"/>
    <mergeCell ref="G1:G2"/>
    <mergeCell ref="N1:N2"/>
    <mergeCell ref="J1:J2"/>
    <mergeCell ref="L1:L2"/>
    <mergeCell ref="Z1:Z2"/>
    <mergeCell ref="R1:R2"/>
    <mergeCell ref="V1:V2"/>
    <mergeCell ref="Y1:Y2"/>
    <mergeCell ref="T1:T2"/>
    <mergeCell ref="W1:W2"/>
    <mergeCell ref="S1:S2"/>
  </mergeCells>
  <printOptions horizontalCentered="1"/>
  <pageMargins left="0.15748031496062992" right="0.15748031496062992" top="0.82677165354330717" bottom="0.59055118110236227" header="0.27559055118110237" footer="0.31496062992125984"/>
  <pageSetup paperSize="9" scale="52" orientation="landscape" r:id="rId1"/>
  <headerFooter>
    <oddHeader>&amp;C&amp;"-,Negrito"&amp;12PLANILHA DE COMPOSIÇÃO DE CUSTOS
RELATÓRIO DE CUSTO DETALHADO</oddHead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9EEF5A-585E-4009-9249-FB6F660F55FA}">
  <sheetPr>
    <tabColor theme="0" tint="-0.249977111117893"/>
  </sheetPr>
  <dimension ref="A1:R14"/>
  <sheetViews>
    <sheetView zoomScaleNormal="100" workbookViewId="0">
      <selection activeCell="E11" sqref="E11"/>
    </sheetView>
  </sheetViews>
  <sheetFormatPr defaultRowHeight="15" x14ac:dyDescent="0.25"/>
  <cols>
    <col min="3" max="3" width="46.28515625" customWidth="1"/>
    <col min="5" max="5" width="33.5703125" customWidth="1"/>
    <col min="8" max="10" width="12" customWidth="1"/>
    <col min="11" max="11" width="11.42578125" customWidth="1"/>
    <col min="15" max="15" width="11.140625" customWidth="1"/>
    <col min="17" max="17" width="11.28515625" customWidth="1"/>
  </cols>
  <sheetData>
    <row r="1" spans="1:18" ht="24" customHeight="1" x14ac:dyDescent="0.25">
      <c r="A1" s="399" t="s">
        <v>127</v>
      </c>
      <c r="B1" s="399" t="s">
        <v>95</v>
      </c>
      <c r="C1" s="399" t="s">
        <v>140</v>
      </c>
      <c r="D1" s="399" t="s">
        <v>141</v>
      </c>
      <c r="E1" s="399" t="s">
        <v>142</v>
      </c>
      <c r="F1" s="400" t="s">
        <v>143</v>
      </c>
      <c r="G1" s="400" t="s">
        <v>163</v>
      </c>
      <c r="H1" s="400" t="s">
        <v>149</v>
      </c>
      <c r="I1" s="400" t="s">
        <v>164</v>
      </c>
      <c r="J1" s="400" t="s">
        <v>165</v>
      </c>
      <c r="K1" s="400" t="s">
        <v>150</v>
      </c>
      <c r="L1" s="400" t="s">
        <v>166</v>
      </c>
      <c r="M1" s="400" t="s">
        <v>152</v>
      </c>
      <c r="N1" s="400" t="s">
        <v>153</v>
      </c>
      <c r="O1" s="400" t="s">
        <v>167</v>
      </c>
      <c r="P1" s="400" t="s">
        <v>155</v>
      </c>
      <c r="Q1" s="400" t="s">
        <v>168</v>
      </c>
    </row>
    <row r="2" spans="1:18" ht="24" customHeight="1" x14ac:dyDescent="0.25">
      <c r="A2" s="399"/>
      <c r="B2" s="399"/>
      <c r="C2" s="399"/>
      <c r="D2" s="399"/>
      <c r="E2" s="399"/>
      <c r="F2" s="400"/>
      <c r="G2" s="400"/>
      <c r="H2" s="400"/>
      <c r="I2" s="400"/>
      <c r="J2" s="400"/>
      <c r="K2" s="400"/>
      <c r="L2" s="400"/>
      <c r="M2" s="400"/>
      <c r="N2" s="400"/>
      <c r="O2" s="400"/>
      <c r="P2" s="400"/>
      <c r="Q2" s="400"/>
    </row>
    <row r="3" spans="1:18" ht="26.25" x14ac:dyDescent="0.25">
      <c r="A3" s="281">
        <v>5</v>
      </c>
      <c r="B3" s="281">
        <v>2</v>
      </c>
      <c r="C3" s="273" t="str">
        <f>VLOOKUP(A3,'Indicadores Financeiros'!$A$114:$F$118,2,FALSE)</f>
        <v>São Paulo - Fórum Criminal - Complexo Judiciário Ministro Mário Guimarães</v>
      </c>
      <c r="D3" s="211">
        <v>551195</v>
      </c>
      <c r="E3" s="273" t="str">
        <f>VLOOKUP(D3,'Tabela de Códigos e Valores'!$A$5:$B$15,2,FALSE)</f>
        <v>Técnico em Refrigeração Mecânico - Hora Extra Noturna</v>
      </c>
      <c r="F3" s="271" t="str">
        <f>VLOOKUP(D3,'Tabela de Códigos e Valores'!$A$5:$E$15,5,FALSE)</f>
        <v>Hora Extra</v>
      </c>
      <c r="G3" s="279"/>
      <c r="H3" s="277">
        <f>ROUND(VLOOKUP(B3,'Indicadores Financeiros'!$A$84:$J$88,10,FALSE)/220,2)</f>
        <v>0</v>
      </c>
      <c r="I3" s="274">
        <f>ROUND(H3*(1+'Indicadores Financeiros'!$H$77)*(1+'Indicadores Financeiros'!$H$78)-H3,2)</f>
        <v>0</v>
      </c>
      <c r="J3" s="275">
        <f t="shared" ref="J3:J9" si="0">ROUND(H3+I3,2)</f>
        <v>0</v>
      </c>
      <c r="K3" s="302">
        <f>ROUND(J3*'Indicadores Financeiros'!$J$64,2)</f>
        <v>0</v>
      </c>
      <c r="L3" s="277">
        <f>IF(OR(D3=551195,D3=551198),0,ROUND('Indicadores Financeiros'!$J$101/6,2))</f>
        <v>0</v>
      </c>
      <c r="M3" s="277">
        <f>IF(OR(D3=551195,D3=551198),0,ROUND(VLOOKUP(A3,'Indicadores Financeiros'!$A$114:$J$118,9,FALSE)/8,2))</f>
        <v>0</v>
      </c>
      <c r="N3" s="276"/>
      <c r="O3" s="276">
        <f t="shared" ref="O3:O9" si="1">ROUND(SUM(J3:N3),2)</f>
        <v>0</v>
      </c>
      <c r="P3" s="278">
        <f>VLOOKUP(A3,'Indicadores Financeiros'!$A$114:$J$118,8,FALSE)</f>
        <v>5.2600000000000001E-2</v>
      </c>
      <c r="Q3" s="284">
        <f t="shared" ref="Q3:Q9" si="2">ROUND(G3*ROUND(O3*(1+P3),2),2)</f>
        <v>0</v>
      </c>
      <c r="R3" s="282">
        <f>Q3-'Tabela de Códigos e Valores'!AE10</f>
        <v>0</v>
      </c>
    </row>
    <row r="4" spans="1:18" ht="26.25" x14ac:dyDescent="0.25">
      <c r="A4" s="281">
        <v>5</v>
      </c>
      <c r="B4" s="281">
        <v>2</v>
      </c>
      <c r="C4" s="273" t="str">
        <f>VLOOKUP(A4,'Indicadores Financeiros'!$A$114:$F$118,2,FALSE)</f>
        <v>São Paulo - Fórum Criminal - Complexo Judiciário Ministro Mário Guimarães</v>
      </c>
      <c r="D4" s="211">
        <v>551196</v>
      </c>
      <c r="E4" s="273" t="str">
        <f>VLOOKUP(D4,'Tabela de Códigos e Valores'!$A$5:$B$15,2,FALSE)</f>
        <v>Técnico em Refrigeração Mecânico - Hora Extra Sábado</v>
      </c>
      <c r="F4" s="271" t="str">
        <f>VLOOKUP(D4,'Tabela de Códigos e Valores'!$A$5:$E$15,5,FALSE)</f>
        <v>Hora Extra</v>
      </c>
      <c r="G4" s="279"/>
      <c r="H4" s="277">
        <f>ROUND(VLOOKUP(B4,'Indicadores Financeiros'!$A$84:$J$88,10,FALSE)/220,2)</f>
        <v>0</v>
      </c>
      <c r="I4" s="274">
        <f>ROUND('Indicadores Financeiros'!$H$79*H4,2)</f>
        <v>0</v>
      </c>
      <c r="J4" s="275">
        <f t="shared" si="0"/>
        <v>0</v>
      </c>
      <c r="K4" s="302">
        <f>ROUND(J4*'Indicadores Financeiros'!$J$64,2)</f>
        <v>0</v>
      </c>
      <c r="L4" s="277">
        <f>IF(OR(D4=551195,D4=551198),0,ROUND('Indicadores Financeiros'!$J$101/6,2))</f>
        <v>0</v>
      </c>
      <c r="M4" s="277">
        <f>IF(OR(D4=551195,D4=551198),0,ROUND(VLOOKUP(A4,'Indicadores Financeiros'!$A$114:$J$118,9,FALSE)/8,2))</f>
        <v>0</v>
      </c>
      <c r="N4" s="276"/>
      <c r="O4" s="276">
        <f t="shared" si="1"/>
        <v>0</v>
      </c>
      <c r="P4" s="278">
        <f>VLOOKUP(A4,'Indicadores Financeiros'!$A$114:$J$118,8,FALSE)</f>
        <v>5.2600000000000001E-2</v>
      </c>
      <c r="Q4" s="284">
        <f t="shared" si="2"/>
        <v>0</v>
      </c>
      <c r="R4" s="282">
        <f>Q4-'Tabela de Códigos e Valores'!AE11</f>
        <v>0</v>
      </c>
    </row>
    <row r="5" spans="1:18" ht="26.25" x14ac:dyDescent="0.25">
      <c r="A5" s="281">
        <v>5</v>
      </c>
      <c r="B5" s="281">
        <v>2</v>
      </c>
      <c r="C5" s="273" t="str">
        <f>VLOOKUP(A5,'Indicadores Financeiros'!$A$114:$F$118,2,FALSE)</f>
        <v>São Paulo - Fórum Criminal - Complexo Judiciário Ministro Mário Guimarães</v>
      </c>
      <c r="D5" s="211">
        <v>551197</v>
      </c>
      <c r="E5" s="273" t="str">
        <f>VLOOKUP(D5,'Tabela de Códigos e Valores'!$A$5:$B$15,2,FALSE)</f>
        <v>Técnico em Refrigeração Mecânico - Hora Extra Domingo e Feriado</v>
      </c>
      <c r="F5" s="271" t="str">
        <f>VLOOKUP(D5,'Tabela de Códigos e Valores'!$A$5:$E$15,5,FALSE)</f>
        <v>Hora Extra</v>
      </c>
      <c r="G5" s="279"/>
      <c r="H5" s="277">
        <f>ROUND(VLOOKUP(B5,'Indicadores Financeiros'!$A$84:$J$88,10,FALSE)/220,2)</f>
        <v>0</v>
      </c>
      <c r="I5" s="274">
        <f>ROUND('Indicadores Financeiros'!$H$80*H5,2)</f>
        <v>0</v>
      </c>
      <c r="J5" s="275">
        <f t="shared" si="0"/>
        <v>0</v>
      </c>
      <c r="K5" s="302">
        <f>ROUND(J5*'Indicadores Financeiros'!$J$64,2)</f>
        <v>0</v>
      </c>
      <c r="L5" s="277">
        <f>IF(OR(D5=551195,D5=551198),0,ROUND('Indicadores Financeiros'!$J$101/6,2))</f>
        <v>0</v>
      </c>
      <c r="M5" s="277">
        <f>IF(OR(D5=551195,D5=551198),0,ROUND(VLOOKUP(A5,'Indicadores Financeiros'!$A$114:$J$118,9,FALSE)/8,2))</f>
        <v>0</v>
      </c>
      <c r="N5" s="276"/>
      <c r="O5" s="276">
        <f t="shared" si="1"/>
        <v>0</v>
      </c>
      <c r="P5" s="278">
        <f>VLOOKUP(A5,'Indicadores Financeiros'!$A$114:$J$118,8,FALSE)</f>
        <v>5.2600000000000001E-2</v>
      </c>
      <c r="Q5" s="284">
        <f t="shared" si="2"/>
        <v>0</v>
      </c>
      <c r="R5" s="282">
        <f>Q5-'Tabela de Códigos e Valores'!AE12</f>
        <v>0</v>
      </c>
    </row>
    <row r="6" spans="1:18" ht="26.25" x14ac:dyDescent="0.25">
      <c r="A6" s="281">
        <v>5</v>
      </c>
      <c r="B6" s="281">
        <v>5</v>
      </c>
      <c r="C6" s="273" t="str">
        <f>VLOOKUP(A6,'Indicadores Financeiros'!$A$114:$F$118,2,FALSE)</f>
        <v>São Paulo - Fórum Criminal - Complexo Judiciário Ministro Mário Guimarães</v>
      </c>
      <c r="D6" s="211">
        <v>551198</v>
      </c>
      <c r="E6" s="273" t="str">
        <f>VLOOKUP(D6,'Tabela de Códigos e Valores'!$A$5:$B$15,2,FALSE)</f>
        <v>Auxiliar Técnico em Refrigeração - Hora Extra Noturna</v>
      </c>
      <c r="F6" s="271" t="str">
        <f>VLOOKUP(D6,'Tabela de Códigos e Valores'!$A$5:$E$15,5,FALSE)</f>
        <v>Hora Extra</v>
      </c>
      <c r="G6" s="279"/>
      <c r="H6" s="277">
        <f>ROUND(VLOOKUP(B6,'Indicadores Financeiros'!$A$84:$J$88,10,FALSE)/220,2)</f>
        <v>0</v>
      </c>
      <c r="I6" s="274">
        <f>ROUND(H6*(1+'Indicadores Financeiros'!$H$77)*(1+'Indicadores Financeiros'!$H$78)-H6,2)</f>
        <v>0</v>
      </c>
      <c r="J6" s="275">
        <f t="shared" si="0"/>
        <v>0</v>
      </c>
      <c r="K6" s="302">
        <f>ROUND(J6*'Indicadores Financeiros'!$J$64,2)</f>
        <v>0</v>
      </c>
      <c r="L6" s="277">
        <f>IF(OR(D6=551195,D6=551198),0,ROUND('Indicadores Financeiros'!$J$101/6,2))</f>
        <v>0</v>
      </c>
      <c r="M6" s="277">
        <f>IF(OR(D6=551195,D6=551198),0,ROUND(VLOOKUP(A6,'Indicadores Financeiros'!$A$114:$J$118,9,FALSE)/8,2))</f>
        <v>0</v>
      </c>
      <c r="N6" s="276"/>
      <c r="O6" s="276">
        <f t="shared" si="1"/>
        <v>0</v>
      </c>
      <c r="P6" s="278">
        <f>VLOOKUP(A6,'Indicadores Financeiros'!$A$114:$J$118,8,FALSE)</f>
        <v>5.2600000000000001E-2</v>
      </c>
      <c r="Q6" s="284">
        <f t="shared" si="2"/>
        <v>0</v>
      </c>
      <c r="R6" s="282">
        <f>Q6-'Tabela de Códigos e Valores'!AE13</f>
        <v>0</v>
      </c>
    </row>
    <row r="7" spans="1:18" ht="26.25" x14ac:dyDescent="0.25">
      <c r="A7" s="281">
        <v>5</v>
      </c>
      <c r="B7" s="281">
        <v>5</v>
      </c>
      <c r="C7" s="273" t="str">
        <f>VLOOKUP(A7,'Indicadores Financeiros'!$A$114:$F$118,2,FALSE)</f>
        <v>São Paulo - Fórum Criminal - Complexo Judiciário Ministro Mário Guimarães</v>
      </c>
      <c r="D7" s="211">
        <v>551199</v>
      </c>
      <c r="E7" s="273" t="str">
        <f>VLOOKUP(D7,'Tabela de Códigos e Valores'!$A$5:$B$15,2,FALSE)</f>
        <v>Auxiliar Técnico em Refrigeração - Hora Extra Sábado</v>
      </c>
      <c r="F7" s="271" t="str">
        <f>VLOOKUP(D7,'Tabela de Códigos e Valores'!$A$5:$E$15,5,FALSE)</f>
        <v>Hora Extra</v>
      </c>
      <c r="G7" s="279"/>
      <c r="H7" s="277">
        <f>ROUND(VLOOKUP(B7,'Indicadores Financeiros'!$A$84:$J$88,10,FALSE)/220,2)</f>
        <v>0</v>
      </c>
      <c r="I7" s="274">
        <f>ROUND('Indicadores Financeiros'!$H$79*H7,2)</f>
        <v>0</v>
      </c>
      <c r="J7" s="275">
        <f t="shared" si="0"/>
        <v>0</v>
      </c>
      <c r="K7" s="302">
        <f>ROUND(J7*'Indicadores Financeiros'!$J$64,2)</f>
        <v>0</v>
      </c>
      <c r="L7" s="277">
        <f>IF(OR(D7=551195,D7=551198),0,ROUND('Indicadores Financeiros'!$J$101/6,2))</f>
        <v>0</v>
      </c>
      <c r="M7" s="277">
        <f>IF(OR(D7=551195,D7=551198),0,ROUND(VLOOKUP(A7,'Indicadores Financeiros'!$A$114:$J$118,9,FALSE)/8,2))</f>
        <v>0</v>
      </c>
      <c r="N7" s="276"/>
      <c r="O7" s="276">
        <f t="shared" si="1"/>
        <v>0</v>
      </c>
      <c r="P7" s="278">
        <f>VLOOKUP(A7,'Indicadores Financeiros'!$A$114:$J$118,8,FALSE)</f>
        <v>5.2600000000000001E-2</v>
      </c>
      <c r="Q7" s="284">
        <f t="shared" si="2"/>
        <v>0</v>
      </c>
      <c r="R7" s="282">
        <f>Q7-'Tabela de Códigos e Valores'!AE14</f>
        <v>0</v>
      </c>
    </row>
    <row r="8" spans="1:18" ht="26.25" x14ac:dyDescent="0.25">
      <c r="A8" s="281">
        <v>5</v>
      </c>
      <c r="B8" s="281">
        <v>5</v>
      </c>
      <c r="C8" s="273" t="str">
        <f>VLOOKUP(A8,'Indicadores Financeiros'!$A$114:$F$118,2,FALSE)</f>
        <v>São Paulo - Fórum Criminal - Complexo Judiciário Ministro Mário Guimarães</v>
      </c>
      <c r="D8" s="211">
        <v>551200</v>
      </c>
      <c r="E8" s="273" t="str">
        <f>VLOOKUP(D8,'Tabela de Códigos e Valores'!$A$5:$B$15,2,FALSE)</f>
        <v>Auxiliar Técnico em Refrigeração - Hora Extra Domingos e Feriados</v>
      </c>
      <c r="F8" s="271" t="str">
        <f>VLOOKUP(D8,'Tabela de Códigos e Valores'!$A$5:$E$15,5,FALSE)</f>
        <v>Hora Extra</v>
      </c>
      <c r="G8" s="279"/>
      <c r="H8" s="277">
        <f>ROUND(VLOOKUP(B8,'Indicadores Financeiros'!$A$84:$J$88,10,FALSE)/220,2)</f>
        <v>0</v>
      </c>
      <c r="I8" s="274">
        <f>ROUND('Indicadores Financeiros'!$H$80*H8,2)</f>
        <v>0</v>
      </c>
      <c r="J8" s="275">
        <f t="shared" si="0"/>
        <v>0</v>
      </c>
      <c r="K8" s="302">
        <f>ROUND(J8*'Indicadores Financeiros'!$J$64,2)</f>
        <v>0</v>
      </c>
      <c r="L8" s="277">
        <f>IF(OR(D8=551195,D8=551198),0,ROUND('Indicadores Financeiros'!$J$101/6,2))</f>
        <v>0</v>
      </c>
      <c r="M8" s="277">
        <f>IF(OR(D8=551195,D8=551198),0,ROUND(VLOOKUP(A8,'Indicadores Financeiros'!$A$114:$J$118,9,FALSE)/8,2))</f>
        <v>0</v>
      </c>
      <c r="N8" s="276"/>
      <c r="O8" s="276">
        <f t="shared" si="1"/>
        <v>0</v>
      </c>
      <c r="P8" s="278">
        <f>VLOOKUP(A8,'Indicadores Financeiros'!$A$114:$J$118,8,FALSE)</f>
        <v>5.2600000000000001E-2</v>
      </c>
      <c r="Q8" s="284">
        <f t="shared" si="2"/>
        <v>0</v>
      </c>
      <c r="R8" s="282">
        <f>Q8-'Tabela de Códigos e Valores'!AE15</f>
        <v>0</v>
      </c>
    </row>
    <row r="9" spans="1:18" ht="26.25" x14ac:dyDescent="0.25">
      <c r="A9" s="281">
        <v>15</v>
      </c>
      <c r="B9" s="281">
        <v>2</v>
      </c>
      <c r="C9" s="273" t="str">
        <f>VLOOKUP(A9,'Indicadores Financeiros'!$A$114:$F$118,2,FALSE)</f>
        <v>São Paulo - Unidade Administrativa I - Praça do Patriarca</v>
      </c>
      <c r="D9" s="211">
        <v>551196</v>
      </c>
      <c r="E9" s="273" t="str">
        <f>VLOOKUP(D9,'Tabela de Códigos e Valores'!$A$5:$B$15,2,FALSE)</f>
        <v>Técnico em Refrigeração Mecânico - Hora Extra Sábado</v>
      </c>
      <c r="F9" s="271" t="str">
        <f>VLOOKUP(D9,'Tabela de Códigos e Valores'!$A$5:$E$15,5,FALSE)</f>
        <v>Hora Extra</v>
      </c>
      <c r="G9" s="279"/>
      <c r="H9" s="277">
        <f>ROUND(VLOOKUP(B9,'Indicadores Financeiros'!$A$84:$J$88,10,FALSE)/220,2)</f>
        <v>0</v>
      </c>
      <c r="I9" s="274">
        <f>ROUND('Indicadores Financeiros'!$H$79*H9,2)</f>
        <v>0</v>
      </c>
      <c r="J9" s="275">
        <f t="shared" si="0"/>
        <v>0</v>
      </c>
      <c r="K9" s="302">
        <f>ROUND(J9*'Indicadores Financeiros'!$J$64,2)</f>
        <v>0</v>
      </c>
      <c r="L9" s="277">
        <f>IF(OR(D9=551195,D9=551198),0,ROUND('Indicadores Financeiros'!$J$101/6,2))</f>
        <v>0</v>
      </c>
      <c r="M9" s="277">
        <f>IF(OR(D9=551195,D9=551198),0,ROUND(VLOOKUP(A9,'Indicadores Financeiros'!$A$114:$J$118,9,FALSE)/8,2))</f>
        <v>0</v>
      </c>
      <c r="N9" s="276"/>
      <c r="O9" s="276">
        <f t="shared" si="1"/>
        <v>0</v>
      </c>
      <c r="P9" s="278">
        <f>VLOOKUP(A9,'Indicadores Financeiros'!$A$114:$J$118,8,FALSE)</f>
        <v>5.2600000000000001E-2</v>
      </c>
      <c r="Q9" s="284">
        <f t="shared" si="2"/>
        <v>0</v>
      </c>
      <c r="R9" s="282">
        <f>Q9-'Tabela de Códigos e Valores'!AE11</f>
        <v>0</v>
      </c>
    </row>
    <row r="10" spans="1:18" x14ac:dyDescent="0.25">
      <c r="A10" s="272"/>
      <c r="B10" s="272"/>
      <c r="C10" s="272"/>
      <c r="D10" s="272"/>
      <c r="E10" s="272"/>
      <c r="F10" s="272"/>
      <c r="G10" s="272"/>
      <c r="H10" s="272"/>
      <c r="I10" s="272"/>
      <c r="J10" s="272"/>
      <c r="K10" s="272"/>
      <c r="L10" s="272"/>
      <c r="M10" s="272"/>
      <c r="N10" s="272"/>
      <c r="O10" s="272"/>
      <c r="P10" s="272"/>
      <c r="Q10" s="272"/>
    </row>
    <row r="11" spans="1:18" x14ac:dyDescent="0.25">
      <c r="I11" s="283"/>
      <c r="J11" s="282"/>
    </row>
    <row r="12" spans="1:18" x14ac:dyDescent="0.25">
      <c r="I12" s="282"/>
    </row>
    <row r="14" spans="1:18" x14ac:dyDescent="0.25">
      <c r="D14" s="280"/>
    </row>
  </sheetData>
  <sheetProtection algorithmName="SHA-512" hashValue="GsfpDkwpvubgMWwAdh5ErlvMqk636Pkxv7ts+CXll+eVjCUYfQD/3qB8aGup6BEHWop3I2sKik9oE7ZXA77U4g==" saltValue="x2dpeTacpbI+MW+H0xjCrg==" spinCount="100000" sheet="1" objects="1" scenarios="1"/>
  <mergeCells count="17">
    <mergeCell ref="Q1:Q2"/>
    <mergeCell ref="B1:B2"/>
    <mergeCell ref="I1:I2"/>
    <mergeCell ref="J1:J2"/>
    <mergeCell ref="G1:G2"/>
    <mergeCell ref="K1:K2"/>
    <mergeCell ref="L1:L2"/>
    <mergeCell ref="M1:M2"/>
    <mergeCell ref="N1:N2"/>
    <mergeCell ref="O1:O2"/>
    <mergeCell ref="P1:P2"/>
    <mergeCell ref="H1:H2"/>
    <mergeCell ref="A1:A2"/>
    <mergeCell ref="C1:C2"/>
    <mergeCell ref="D1:D2"/>
    <mergeCell ref="E1:E2"/>
    <mergeCell ref="F1:F2"/>
  </mergeCells>
  <conditionalFormatting sqref="G3:G9">
    <cfRule type="cellIs" dxfId="2" priority="1" operator="greaterThan">
      <formula>0</formula>
    </cfRule>
  </conditionalFormatting>
  <printOptions horizontalCentered="1"/>
  <pageMargins left="0.51181102362204722" right="0.51181102362204722" top="0.78740157480314965" bottom="0.78740157480314965" header="0.31496062992125984" footer="0.31496062992125984"/>
  <pageSetup paperSize="9" scale="58" orientation="landscape" r:id="rId1"/>
  <headerFooter>
    <oddFooter>&amp;C&amp;P</oddFooter>
  </headerFooter>
  <ignoredErrors>
    <ignoredError sqref="I8"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pageSetUpPr fitToPage="1"/>
  </sheetPr>
  <dimension ref="A1:GK465"/>
  <sheetViews>
    <sheetView showGridLines="0" zoomScaleNormal="100" workbookViewId="0">
      <selection activeCell="L2" sqref="L2"/>
    </sheetView>
  </sheetViews>
  <sheetFormatPr defaultRowHeight="15" x14ac:dyDescent="0.25"/>
  <cols>
    <col min="1" max="1" width="9.28515625" customWidth="1"/>
    <col min="2" max="2" width="39" customWidth="1"/>
    <col min="3" max="3" width="10.85546875" bestFit="1" customWidth="1"/>
    <col min="4" max="4" width="5" style="123" customWidth="1"/>
    <col min="5" max="5" width="1" customWidth="1"/>
    <col min="6" max="6" width="11.28515625" customWidth="1"/>
    <col min="7" max="7" width="11" customWidth="1"/>
    <col min="8" max="8" width="9.5703125" bestFit="1" customWidth="1"/>
    <col min="9" max="9" width="14" customWidth="1"/>
    <col min="10" max="10" width="12" customWidth="1"/>
    <col min="11" max="11" width="15" customWidth="1"/>
    <col min="12" max="12" width="10.85546875" style="70" customWidth="1"/>
    <col min="13" max="13" width="11.42578125" style="70" bestFit="1" customWidth="1"/>
    <col min="14" max="14" width="9.140625" style="70"/>
    <col min="15" max="15" width="10.5703125" style="70" bestFit="1" customWidth="1"/>
    <col min="16" max="193" width="9.140625" style="70"/>
  </cols>
  <sheetData>
    <row r="1" spans="1:15" x14ac:dyDescent="0.25">
      <c r="A1" s="401" t="s">
        <v>169</v>
      </c>
      <c r="B1" s="402"/>
      <c r="C1" s="402"/>
      <c r="D1" s="402"/>
      <c r="E1" s="402"/>
      <c r="F1" s="402"/>
      <c r="G1" s="402"/>
      <c r="H1" s="402"/>
      <c r="I1" s="402"/>
      <c r="J1" s="402"/>
      <c r="K1" s="403"/>
    </row>
    <row r="2" spans="1:15" ht="22.5" x14ac:dyDescent="0.25">
      <c r="A2" s="117" t="s">
        <v>141</v>
      </c>
      <c r="B2" s="416" t="s">
        <v>142</v>
      </c>
      <c r="C2" s="417"/>
      <c r="D2" s="417"/>
      <c r="E2" s="418"/>
      <c r="F2" s="118" t="s">
        <v>143</v>
      </c>
      <c r="G2" s="118" t="s">
        <v>145</v>
      </c>
      <c r="H2" s="116" t="s">
        <v>170</v>
      </c>
      <c r="I2" s="118" t="s">
        <v>171</v>
      </c>
      <c r="J2" s="119" t="s">
        <v>172</v>
      </c>
      <c r="K2" s="119" t="s">
        <v>173</v>
      </c>
    </row>
    <row r="3" spans="1:15" ht="22.5" x14ac:dyDescent="0.25">
      <c r="A3" s="211">
        <v>551188</v>
      </c>
      <c r="B3" s="198" t="str">
        <f>VLOOKUP(A3,'Tabela de Códigos e Valores'!A:B,2,FALSE)</f>
        <v>Supervisor geral especializado em refrigeração, controle e administração</v>
      </c>
      <c r="C3" s="199"/>
      <c r="D3" s="199"/>
      <c r="E3" s="200"/>
      <c r="F3" s="110" t="str">
        <f>VLOOKUP($A3,'Tabela de Códigos e Valores'!$A:$J,5,FALSE)</f>
        <v>Posto</v>
      </c>
      <c r="G3" s="110" t="str">
        <f>VLOOKUP($A3,'Tabela de Códigos e Valores'!$A:$J,6,FALSE)</f>
        <v>Mensal</v>
      </c>
      <c r="H3" s="124">
        <f>SUMIF('Relatório Custo'!$C:$C,$A3,'Relatório Custo'!$J:$J)</f>
        <v>1</v>
      </c>
      <c r="I3" s="71">
        <f>SUMIF('Relatório Custo'!$C:$C,$A3,'Relatório Custo'!$V:$V)</f>
        <v>0</v>
      </c>
      <c r="J3" s="71">
        <f>SUMIF('Relatório Custo'!$C:$C,$A3,'Relatório Custo'!$S:$S)</f>
        <v>0</v>
      </c>
      <c r="K3" s="71">
        <f>SUMIF('Relatório Custo'!$C:$C,$A3,'Relatório Custo'!$T:$T)</f>
        <v>0</v>
      </c>
      <c r="L3" s="72"/>
      <c r="M3" s="72"/>
      <c r="N3" s="73"/>
    </row>
    <row r="4" spans="1:15" x14ac:dyDescent="0.25">
      <c r="A4" s="211">
        <v>551189</v>
      </c>
      <c r="B4" s="198" t="str">
        <f>VLOOKUP(A4,'Tabela de Códigos e Valores'!A:B,2,FALSE)</f>
        <v>Técnico mecânico especializado em Refrigeração</v>
      </c>
      <c r="C4" s="199"/>
      <c r="D4" s="199"/>
      <c r="E4" s="200"/>
      <c r="F4" s="110" t="str">
        <f>VLOOKUP($A4,'Tabela de Códigos e Valores'!$A:$J,5,FALSE)</f>
        <v>Posto</v>
      </c>
      <c r="G4" s="110" t="str">
        <f>VLOOKUP($A4,'Tabela de Códigos e Valores'!$A:$J,6,FALSE)</f>
        <v>Mensal</v>
      </c>
      <c r="H4" s="124">
        <f>SUMIF('Relatório Custo'!$C:$C,$A4,'Relatório Custo'!$J:$J)</f>
        <v>9</v>
      </c>
      <c r="I4" s="71">
        <f>SUMIF('Relatório Custo'!$C:$C,$A4,'Relatório Custo'!$V:$V)</f>
        <v>0</v>
      </c>
      <c r="J4" s="71">
        <f>SUMIF('Relatório Custo'!$C:$C,$A4,'Relatório Custo'!$S:$S)</f>
        <v>0</v>
      </c>
      <c r="K4" s="71">
        <f>SUMIF('Relatório Custo'!$C:$C,$A4,'Relatório Custo'!$T:$T)</f>
        <v>0</v>
      </c>
      <c r="L4" s="72"/>
      <c r="M4" s="72"/>
    </row>
    <row r="5" spans="1:15" x14ac:dyDescent="0.25">
      <c r="A5" s="211">
        <v>551190</v>
      </c>
      <c r="B5" s="198" t="str">
        <f>VLOOKUP(A5,'Tabela de Códigos e Valores'!A:B,2,FALSE)</f>
        <v>Operador</v>
      </c>
      <c r="C5" s="199"/>
      <c r="D5" s="199"/>
      <c r="E5" s="200"/>
      <c r="F5" s="110" t="str">
        <f>VLOOKUP($A5,'Tabela de Códigos e Valores'!$A:$J,5,FALSE)</f>
        <v>Posto</v>
      </c>
      <c r="G5" s="110" t="str">
        <f>VLOOKUP($A5,'Tabela de Códigos e Valores'!$A:$J,6,FALSE)</f>
        <v>Mensal</v>
      </c>
      <c r="H5" s="124">
        <f>SUMIF('Relatório Custo'!$C:$C,$A5,'Relatório Custo'!$J:$J)</f>
        <v>2</v>
      </c>
      <c r="I5" s="71">
        <f>SUMIF('Relatório Custo'!$C:$C,$A5,'Relatório Custo'!$V:$V)</f>
        <v>0</v>
      </c>
      <c r="J5" s="71">
        <f>SUMIF('Relatório Custo'!$C:$C,$A5,'Relatório Custo'!$S:$S)</f>
        <v>0</v>
      </c>
      <c r="K5" s="71">
        <f>SUMIF('Relatório Custo'!$C:$C,$A5,'Relatório Custo'!$T:$T)</f>
        <v>0</v>
      </c>
      <c r="L5" s="72"/>
      <c r="M5" s="72"/>
    </row>
    <row r="6" spans="1:15" x14ac:dyDescent="0.25">
      <c r="A6" s="211">
        <v>551191</v>
      </c>
      <c r="B6" s="198" t="str">
        <f>VLOOKUP(A6,'Tabela de Códigos e Valores'!A:B,2,FALSE)</f>
        <v>Auxiliar Técnico especializado em Refrigeração</v>
      </c>
      <c r="C6" s="199"/>
      <c r="D6" s="199"/>
      <c r="E6" s="200"/>
      <c r="F6" s="110" t="str">
        <f>VLOOKUP($A6,'Tabela de Códigos e Valores'!$A:$J,5,FALSE)</f>
        <v>Posto</v>
      </c>
      <c r="G6" s="110" t="str">
        <f>VLOOKUP($A6,'Tabela de Códigos e Valores'!$A:$J,6,FALSE)</f>
        <v>Mensal</v>
      </c>
      <c r="H6" s="124">
        <f>SUMIF('Relatório Custo'!$C:$C,$A6,'Relatório Custo'!$J:$J)</f>
        <v>4</v>
      </c>
      <c r="I6" s="71">
        <f>SUMIF('Relatório Custo'!$C:$C,$A6,'Relatório Custo'!$V:$V)</f>
        <v>0</v>
      </c>
      <c r="J6" s="71">
        <f>SUMIF('Relatório Custo'!$C:$C,$A6,'Relatório Custo'!$S:$S)</f>
        <v>0</v>
      </c>
      <c r="K6" s="71">
        <f>SUMIF('Relatório Custo'!$C:$C,$A6,'Relatório Custo'!$T:$T)</f>
        <v>0</v>
      </c>
      <c r="L6" s="72"/>
      <c r="M6" s="72"/>
    </row>
    <row r="7" spans="1:15" ht="22.5" x14ac:dyDescent="0.25">
      <c r="A7" s="211">
        <v>551192</v>
      </c>
      <c r="B7" s="198" t="str">
        <f>VLOOKUP(A7,'Tabela de Códigos e Valores'!A:B,2,FALSE)</f>
        <v xml:space="preserve">Técnico Elétrico/ Eletrônico/ Eletrotécnico, especializado em refrigeração </v>
      </c>
      <c r="C7" s="199"/>
      <c r="D7" s="199"/>
      <c r="E7" s="200"/>
      <c r="F7" s="110" t="str">
        <f>VLOOKUP($A7,'Tabela de Códigos e Valores'!$A:$J,5,FALSE)</f>
        <v>Posto</v>
      </c>
      <c r="G7" s="110" t="str">
        <f>VLOOKUP($A7,'Tabela de Códigos e Valores'!$A:$J,6,FALSE)</f>
        <v>Mensal</v>
      </c>
      <c r="H7" s="124">
        <f>SUMIF('Relatório Custo'!$C:$C,$A7,'Relatório Custo'!$J:$J)</f>
        <v>5</v>
      </c>
      <c r="I7" s="71">
        <f>SUMIF('Relatório Custo'!$C:$C,$A7,'Relatório Custo'!$V:$V)</f>
        <v>0</v>
      </c>
      <c r="J7" s="71">
        <f>SUMIF('Relatório Custo'!$C:$C,$A7,'Relatório Custo'!$S:$S)</f>
        <v>0</v>
      </c>
      <c r="K7" s="71">
        <f>SUMIF('Relatório Custo'!$C:$C,$A7,'Relatório Custo'!$T:$T)</f>
        <v>0</v>
      </c>
      <c r="L7" s="72"/>
      <c r="M7" s="72"/>
    </row>
    <row r="8" spans="1:15" ht="22.5" x14ac:dyDescent="0.25">
      <c r="A8" s="211">
        <v>551195</v>
      </c>
      <c r="B8" s="198" t="str">
        <f>VLOOKUP(A8,'Tabela de Códigos e Valores'!A:B,2,FALSE)</f>
        <v>Técnico em Refrigeração Mecânico - Hora Extra Noturna</v>
      </c>
      <c r="C8" s="199"/>
      <c r="D8" s="199"/>
      <c r="E8" s="200"/>
      <c r="F8" s="110" t="str">
        <f>VLOOKUP($A8,'Tabela de Códigos e Valores'!$A:$J,5,FALSE)</f>
        <v>Hora Extra</v>
      </c>
      <c r="G8" s="110" t="str">
        <f>VLOOKUP($A8,'Tabela de Códigos e Valores'!$A:$J,6,FALSE)</f>
        <v>Mensal</v>
      </c>
      <c r="H8" s="124">
        <f>SUMIF('Relatório Custo'!$C:$C,$A8,'Relatório Custo'!$J:$J)</f>
        <v>20</v>
      </c>
      <c r="I8" s="71">
        <f>SUMIF('Relatório Custo'!$C:$C,$A8,'Relatório Custo'!$V:$V)</f>
        <v>0</v>
      </c>
      <c r="J8" s="71">
        <f>SUMIF('Relatório Custo'!$C:$C,$A8,'Relatório Custo'!$S:$S)</f>
        <v>0</v>
      </c>
      <c r="K8" s="71">
        <f>SUMIF('Relatório Custo'!$C:$C,$A8,'Relatório Custo'!$T:$T)</f>
        <v>0</v>
      </c>
      <c r="L8" s="72"/>
      <c r="M8" s="72"/>
    </row>
    <row r="9" spans="1:15" x14ac:dyDescent="0.25">
      <c r="A9" s="211">
        <v>551196</v>
      </c>
      <c r="B9" s="198" t="str">
        <f>VLOOKUP(A9,'Tabela de Códigos e Valores'!A:B,2,FALSE)</f>
        <v>Técnico em Refrigeração Mecânico - Hora Extra Sábado</v>
      </c>
      <c r="C9" s="199"/>
      <c r="D9" s="199"/>
      <c r="E9" s="200"/>
      <c r="F9" s="110" t="str">
        <f>VLOOKUP($A9,'Tabela de Códigos e Valores'!$A:$J,5,FALSE)</f>
        <v>Hora Extra</v>
      </c>
      <c r="G9" s="110" t="str">
        <f>VLOOKUP($A9,'Tabela de Códigos e Valores'!$A:$J,6,FALSE)</f>
        <v>Mensal</v>
      </c>
      <c r="H9" s="124">
        <f>SUMIF('Relatório Custo'!$C:$C,$A9,'Relatório Custo'!$J:$J)</f>
        <v>50</v>
      </c>
      <c r="I9" s="71">
        <f>SUMIF('Relatório Custo'!$C:$C,$A9,'Relatório Custo'!$V:$V)</f>
        <v>0</v>
      </c>
      <c r="J9" s="71">
        <f>SUMIF('Relatório Custo'!$C:$C,$A9,'Relatório Custo'!$S:$S)</f>
        <v>0</v>
      </c>
      <c r="K9" s="71">
        <f>SUMIF('Relatório Custo'!$C:$C,$A9,'Relatório Custo'!$T:$T)</f>
        <v>0</v>
      </c>
      <c r="L9" s="72"/>
      <c r="M9" s="72"/>
    </row>
    <row r="10" spans="1:15" ht="22.5" x14ac:dyDescent="0.25">
      <c r="A10" s="211">
        <v>551197</v>
      </c>
      <c r="B10" s="198" t="str">
        <f>VLOOKUP(A10,'Tabela de Códigos e Valores'!A:B,2,FALSE)</f>
        <v>Técnico em Refrigeração Mecânico - Hora Extra Domingo e Feriado</v>
      </c>
      <c r="C10" s="199"/>
      <c r="D10" s="199"/>
      <c r="E10" s="200"/>
      <c r="F10" s="110" t="str">
        <f>VLOOKUP($A10,'Tabela de Códigos e Valores'!$A:$J,5,FALSE)</f>
        <v>Hora Extra</v>
      </c>
      <c r="G10" s="110" t="str">
        <f>VLOOKUP($A10,'Tabela de Códigos e Valores'!$A:$J,6,FALSE)</f>
        <v>Mensal</v>
      </c>
      <c r="H10" s="124">
        <f>SUMIF('Relatório Custo'!$C:$C,$A10,'Relatório Custo'!$J:$J)</f>
        <v>8</v>
      </c>
      <c r="I10" s="71">
        <f>SUMIF('Relatório Custo'!$C:$C,$A10,'Relatório Custo'!$V:$V)</f>
        <v>0</v>
      </c>
      <c r="J10" s="71">
        <f>SUMIF('Relatório Custo'!$C:$C,$A10,'Relatório Custo'!$S:$S)</f>
        <v>0</v>
      </c>
      <c r="K10" s="71">
        <f>SUMIF('Relatório Custo'!$C:$C,$A10,'Relatório Custo'!$T:$T)</f>
        <v>0</v>
      </c>
      <c r="L10" s="72"/>
      <c r="M10" s="72"/>
    </row>
    <row r="11" spans="1:15" x14ac:dyDescent="0.25">
      <c r="A11" s="211">
        <v>551198</v>
      </c>
      <c r="B11" s="198" t="str">
        <f>VLOOKUP(A11,'Tabela de Códigos e Valores'!A:B,2,FALSE)</f>
        <v>Auxiliar Técnico em Refrigeração - Hora Extra Noturna</v>
      </c>
      <c r="C11" s="199"/>
      <c r="D11" s="199"/>
      <c r="E11" s="200"/>
      <c r="F11" s="110" t="str">
        <f>VLOOKUP($A11,'Tabela de Códigos e Valores'!$A:$J,5,FALSE)</f>
        <v>Hora Extra</v>
      </c>
      <c r="G11" s="110" t="str">
        <f>VLOOKUP($A11,'Tabela de Códigos e Valores'!$A:$J,6,FALSE)</f>
        <v>Mensal</v>
      </c>
      <c r="H11" s="124">
        <f>SUMIF('Relatório Custo'!$C:$C,$A11,'Relatório Custo'!$J:$J)</f>
        <v>20</v>
      </c>
      <c r="I11" s="71">
        <f>SUMIF('Relatório Custo'!$C:$C,$A11,'Relatório Custo'!$V:$V)</f>
        <v>0</v>
      </c>
      <c r="J11" s="71">
        <f>SUMIF('Relatório Custo'!$C:$C,$A11,'Relatório Custo'!$S:$S)</f>
        <v>0</v>
      </c>
      <c r="K11" s="71">
        <f>SUMIF('Relatório Custo'!$C:$C,$A11,'Relatório Custo'!$T:$T)</f>
        <v>0</v>
      </c>
      <c r="L11" s="72"/>
      <c r="M11" s="72"/>
    </row>
    <row r="12" spans="1:15" x14ac:dyDescent="0.25">
      <c r="A12" s="211">
        <v>551199</v>
      </c>
      <c r="B12" s="198" t="str">
        <f>VLOOKUP(A12,'Tabela de Códigos e Valores'!A:B,2,FALSE)</f>
        <v>Auxiliar Técnico em Refrigeração - Hora Extra Sábado</v>
      </c>
      <c r="C12" s="199"/>
      <c r="D12" s="199"/>
      <c r="E12" s="200"/>
      <c r="F12" s="110" t="str">
        <f>VLOOKUP($A12,'Tabela de Códigos e Valores'!$A:$J,5,FALSE)</f>
        <v>Hora Extra</v>
      </c>
      <c r="G12" s="110" t="str">
        <f>VLOOKUP($A12,'Tabela de Códigos e Valores'!$A:$J,6,FALSE)</f>
        <v>Mensal</v>
      </c>
      <c r="H12" s="124">
        <f>SUMIF('Relatório Custo'!$C:$C,$A12,'Relatório Custo'!$J:$J)</f>
        <v>8</v>
      </c>
      <c r="I12" s="71">
        <f>SUMIF('Relatório Custo'!$C:$C,$A12,'Relatório Custo'!$V:$V)</f>
        <v>0</v>
      </c>
      <c r="J12" s="71">
        <f>SUMIF('Relatório Custo'!$C:$C,$A12,'Relatório Custo'!$S:$S)</f>
        <v>0</v>
      </c>
      <c r="K12" s="71">
        <f>SUMIF('Relatório Custo'!$C:$C,$A12,'Relatório Custo'!$T:$T)</f>
        <v>0</v>
      </c>
      <c r="L12" s="72"/>
      <c r="M12" s="72"/>
    </row>
    <row r="13" spans="1:15" ht="22.5" x14ac:dyDescent="0.25">
      <c r="A13" s="211">
        <v>551200</v>
      </c>
      <c r="B13" s="198" t="str">
        <f>VLOOKUP(A13,'Tabela de Códigos e Valores'!A:B,2,FALSE)</f>
        <v>Auxiliar Técnico em Refrigeração - Hora Extra Domingos e Feriados</v>
      </c>
      <c r="C13" s="199"/>
      <c r="D13" s="199"/>
      <c r="E13" s="200"/>
      <c r="F13" s="110" t="str">
        <f>VLOOKUP($A13,'Tabela de Códigos e Valores'!$A:$J,5,FALSE)</f>
        <v>Hora Extra</v>
      </c>
      <c r="G13" s="110" t="str">
        <f>VLOOKUP($A13,'Tabela de Códigos e Valores'!$A:$J,6,FALSE)</f>
        <v>Mensal</v>
      </c>
      <c r="H13" s="124">
        <f>SUMIF('Relatório Custo'!$C:$C,$A13,'Relatório Custo'!$J:$J)</f>
        <v>8</v>
      </c>
      <c r="I13" s="71">
        <f>SUMIF('Relatório Custo'!$C:$C,$A13,'Relatório Custo'!$V:$V)</f>
        <v>0</v>
      </c>
      <c r="J13" s="71">
        <f>SUMIF('Relatório Custo'!$C:$C,$A13,'Relatório Custo'!$S:$S)</f>
        <v>0</v>
      </c>
      <c r="K13" s="71">
        <f>SUMIF('Relatório Custo'!$C:$C,$A13,'Relatório Custo'!$T:$T)</f>
        <v>0</v>
      </c>
      <c r="L13" s="72"/>
      <c r="M13" s="72"/>
    </row>
    <row r="14" spans="1:15" x14ac:dyDescent="0.25">
      <c r="A14" s="413"/>
      <c r="B14" s="414"/>
      <c r="C14" s="414"/>
      <c r="D14" s="414"/>
      <c r="E14" s="414"/>
      <c r="F14" s="414"/>
      <c r="G14" s="415"/>
      <c r="H14" s="109" t="s">
        <v>174</v>
      </c>
      <c r="I14" s="74">
        <f>SUBTOTAL(9,I3:I13)</f>
        <v>0</v>
      </c>
      <c r="J14" s="74">
        <f>SUBTOTAL(9,J3:J13)</f>
        <v>0</v>
      </c>
      <c r="K14" s="74">
        <f>SUBTOTAL(9,K3:K13)</f>
        <v>0</v>
      </c>
      <c r="L14" s="75"/>
      <c r="M14" s="75"/>
      <c r="N14" s="75"/>
      <c r="O14" s="72"/>
    </row>
    <row r="15" spans="1:15" x14ac:dyDescent="0.25">
      <c r="A15" s="76" t="s">
        <v>175</v>
      </c>
      <c r="B15" s="77"/>
      <c r="C15" s="77"/>
      <c r="D15" s="120"/>
      <c r="E15" s="77"/>
      <c r="F15" s="77"/>
      <c r="G15" s="77"/>
      <c r="H15" s="77"/>
      <c r="I15" s="77"/>
      <c r="J15" s="77"/>
      <c r="K15" s="97"/>
      <c r="L15" s="72"/>
      <c r="M15" s="72"/>
      <c r="N15" s="72"/>
      <c r="O15" s="72"/>
    </row>
    <row r="16" spans="1:15" x14ac:dyDescent="0.25">
      <c r="A16" s="401" t="s">
        <v>82</v>
      </c>
      <c r="B16" s="402"/>
      <c r="C16" s="402"/>
      <c r="D16" s="402"/>
      <c r="E16" s="402"/>
      <c r="F16" s="402"/>
      <c r="G16" s="402"/>
      <c r="H16" s="402"/>
      <c r="I16" s="402"/>
      <c r="J16" s="402"/>
      <c r="K16" s="403"/>
    </row>
    <row r="17" spans="1:193" x14ac:dyDescent="0.25">
      <c r="A17" s="111" t="s">
        <v>176</v>
      </c>
      <c r="B17" s="105" t="s">
        <v>177</v>
      </c>
      <c r="C17" s="106"/>
      <c r="D17" s="106"/>
      <c r="E17" s="106"/>
      <c r="F17" s="106"/>
      <c r="G17" s="106"/>
      <c r="H17" s="106"/>
      <c r="I17" s="107"/>
      <c r="J17" s="110"/>
      <c r="K17" s="78">
        <f>$I$14</f>
        <v>0</v>
      </c>
    </row>
    <row r="18" spans="1:193" x14ac:dyDescent="0.25">
      <c r="A18" s="111" t="s">
        <v>178</v>
      </c>
      <c r="B18" s="105" t="s">
        <v>72</v>
      </c>
      <c r="C18" s="106"/>
      <c r="D18" s="106"/>
      <c r="E18" s="106"/>
      <c r="F18" s="106"/>
      <c r="G18" s="106"/>
      <c r="H18" s="106"/>
      <c r="I18" s="106"/>
      <c r="J18" s="79">
        <f>'Indicadores Financeiros'!$J$28</f>
        <v>8.9300000000000004E-2</v>
      </c>
      <c r="K18" s="410"/>
    </row>
    <row r="19" spans="1:193" x14ac:dyDescent="0.25">
      <c r="A19" s="111" t="s">
        <v>179</v>
      </c>
      <c r="B19" s="105" t="s">
        <v>75</v>
      </c>
      <c r="C19" s="106"/>
      <c r="D19" s="106"/>
      <c r="E19" s="106"/>
      <c r="F19" s="106"/>
      <c r="G19" s="106"/>
      <c r="H19" s="106"/>
      <c r="I19" s="106"/>
      <c r="J19" s="79">
        <f>'Indicadores Financeiros'!$J$56</f>
        <v>8.9300000000000004E-2</v>
      </c>
      <c r="K19" s="411"/>
    </row>
    <row r="20" spans="1:193" x14ac:dyDescent="0.25">
      <c r="A20" s="111" t="s">
        <v>180</v>
      </c>
      <c r="B20" s="105" t="s">
        <v>83</v>
      </c>
      <c r="C20" s="106"/>
      <c r="D20" s="106"/>
      <c r="E20" s="106"/>
      <c r="F20" s="106"/>
      <c r="G20" s="106"/>
      <c r="H20" s="106"/>
      <c r="I20" s="106"/>
      <c r="J20" s="79">
        <f>'Indicadores Financeiros'!$J$29</f>
        <v>2.98E-2</v>
      </c>
      <c r="K20" s="411"/>
    </row>
    <row r="21" spans="1:193" x14ac:dyDescent="0.25">
      <c r="A21" s="111" t="s">
        <v>181</v>
      </c>
      <c r="B21" s="105" t="s">
        <v>182</v>
      </c>
      <c r="C21" s="106"/>
      <c r="D21" s="106"/>
      <c r="E21" s="106"/>
      <c r="F21" s="107"/>
      <c r="G21" s="80"/>
      <c r="H21" s="81" t="s">
        <v>41</v>
      </c>
      <c r="I21" s="82">
        <f>'Indicadores Financeiros'!$J$25</f>
        <v>0.33800000000000008</v>
      </c>
      <c r="J21" s="79">
        <f>ROUND(I21*SUM(J18:J20),4)</f>
        <v>7.0400000000000004E-2</v>
      </c>
      <c r="K21" s="411"/>
    </row>
    <row r="22" spans="1:193" x14ac:dyDescent="0.25">
      <c r="A22" s="111" t="s">
        <v>183</v>
      </c>
      <c r="B22" s="105" t="s">
        <v>85</v>
      </c>
      <c r="C22" s="106"/>
      <c r="D22" s="106"/>
      <c r="E22" s="106"/>
      <c r="F22" s="106"/>
      <c r="G22" s="106"/>
      <c r="H22" s="106"/>
      <c r="I22" s="106"/>
      <c r="J22" s="79">
        <f>'Indicadores Financeiros'!$J$53</f>
        <v>3.4799999999999998E-2</v>
      </c>
      <c r="K22" s="412"/>
    </row>
    <row r="23" spans="1:193" x14ac:dyDescent="0.25">
      <c r="A23" s="406" t="s">
        <v>184</v>
      </c>
      <c r="B23" s="407"/>
      <c r="C23" s="407"/>
      <c r="D23" s="407"/>
      <c r="E23" s="407"/>
      <c r="F23" s="407"/>
      <c r="G23" s="407"/>
      <c r="H23" s="407"/>
      <c r="I23" s="408"/>
      <c r="J23" s="83">
        <f>ROUND(SUM(J18:J22),4)</f>
        <v>0.31359999999999999</v>
      </c>
      <c r="K23" s="84">
        <f>ROUND($K$17*$J$23,2)</f>
        <v>0</v>
      </c>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row>
    <row r="24" spans="1:193" x14ac:dyDescent="0.25">
      <c r="A24" s="108"/>
      <c r="B24" s="108"/>
      <c r="C24" s="108"/>
      <c r="D24" s="106"/>
      <c r="E24" s="108"/>
      <c r="F24" s="108"/>
      <c r="G24" s="108"/>
      <c r="H24" s="108"/>
      <c r="I24" s="108"/>
      <c r="J24" s="108"/>
      <c r="K24" s="95"/>
      <c r="L24" s="85"/>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row>
    <row r="25" spans="1:193" x14ac:dyDescent="0.25">
      <c r="A25" s="401" t="s">
        <v>185</v>
      </c>
      <c r="B25" s="409"/>
      <c r="C25" s="409"/>
      <c r="D25" s="409"/>
      <c r="E25" s="409"/>
      <c r="F25" s="409"/>
      <c r="G25" s="409"/>
      <c r="H25" s="409"/>
      <c r="I25" s="409"/>
      <c r="J25" s="409"/>
      <c r="K25" s="405"/>
      <c r="L25" s="8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row>
    <row r="26" spans="1:193" x14ac:dyDescent="0.25">
      <c r="A26" s="426" t="s">
        <v>186</v>
      </c>
      <c r="B26" s="432"/>
      <c r="C26" s="426" t="s">
        <v>187</v>
      </c>
      <c r="D26" s="427"/>
      <c r="E26" s="427"/>
      <c r="F26" s="427"/>
      <c r="G26" s="428"/>
      <c r="H26" s="419" t="s">
        <v>188</v>
      </c>
      <c r="I26" s="420"/>
      <c r="J26" s="419" t="s">
        <v>189</v>
      </c>
      <c r="K26" s="420"/>
      <c r="L26" s="85"/>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row>
    <row r="27" spans="1:193" x14ac:dyDescent="0.25">
      <c r="A27" s="433"/>
      <c r="B27" s="434"/>
      <c r="C27" s="429"/>
      <c r="D27" s="430"/>
      <c r="E27" s="430"/>
      <c r="F27" s="430"/>
      <c r="G27" s="431"/>
      <c r="H27" s="421"/>
      <c r="I27" s="422"/>
      <c r="J27" s="421"/>
      <c r="K27" s="422"/>
      <c r="L27" s="85"/>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row>
    <row r="28" spans="1:193" x14ac:dyDescent="0.25">
      <c r="A28" s="404">
        <v>1</v>
      </c>
      <c r="B28" s="405"/>
      <c r="C28" s="423">
        <f>IF(A28&lt;='Indicadores Financeiros'!$F$14,SUMIF('Relatório Custo'!$F:$F,"&lt;="&amp;$A28,'Relatório Custo'!$S:$S),0)</f>
        <v>0</v>
      </c>
      <c r="D28" s="425"/>
      <c r="E28" s="425"/>
      <c r="F28" s="425"/>
      <c r="G28" s="424"/>
      <c r="H28" s="423">
        <f>IF(A28&lt;='Indicadores Financeiros'!$F$14,SUMIF('Relatório Custo'!$F:$F,"&lt;="&amp;$A28,'Relatório Custo'!$V:$V),0)</f>
        <v>0</v>
      </c>
      <c r="I28" s="424"/>
      <c r="J28" s="423">
        <f>IF(A28&lt;='Indicadores Financeiros'!$F$14,SUMIF('Relatório Custo'!$F:$F,"&lt;="&amp;$A28,'Relatório Custo'!$W:$W),0)</f>
        <v>0</v>
      </c>
      <c r="K28" s="424"/>
      <c r="L28" s="9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row>
    <row r="29" spans="1:193" x14ac:dyDescent="0.25">
      <c r="A29" s="404">
        <v>2</v>
      </c>
      <c r="B29" s="405"/>
      <c r="C29" s="423">
        <f>IF(A29&lt;='Indicadores Financeiros'!$F$14,SUMIF('Relatório Custo'!$F:$F,"&lt;="&amp;$A29,'Relatório Custo'!$S:$S),0)</f>
        <v>0</v>
      </c>
      <c r="D29" s="425"/>
      <c r="E29" s="425"/>
      <c r="F29" s="425"/>
      <c r="G29" s="424"/>
      <c r="H29" s="423">
        <f>IF(A29&lt;='Indicadores Financeiros'!$F$14,SUMIF('Relatório Custo'!$F:$F,"&lt;="&amp;$A29,'Relatório Custo'!$V:$V),0)</f>
        <v>0</v>
      </c>
      <c r="I29" s="424"/>
      <c r="J29" s="423">
        <f>IF(A29&lt;='Indicadores Financeiros'!$F$14,SUMIF('Relatório Custo'!$F:$F,"&lt;="&amp;$A29,'Relatório Custo'!$W:$W),0)</f>
        <v>0</v>
      </c>
      <c r="K29" s="424"/>
      <c r="L29" s="85"/>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row>
    <row r="30" spans="1:193" x14ac:dyDescent="0.25">
      <c r="A30" s="404">
        <v>3</v>
      </c>
      <c r="B30" s="405"/>
      <c r="C30" s="423">
        <f>IF(A30&lt;='Indicadores Financeiros'!$F$14,SUMIF('Relatório Custo'!$F:$F,"&lt;="&amp;$A30,'Relatório Custo'!$S:$S),0)</f>
        <v>0</v>
      </c>
      <c r="D30" s="425"/>
      <c r="E30" s="425"/>
      <c r="F30" s="425"/>
      <c r="G30" s="424"/>
      <c r="H30" s="423">
        <f>IF(A30&lt;='Indicadores Financeiros'!$F$14,SUMIF('Relatório Custo'!$F:$F,"&lt;="&amp;$A30,'Relatório Custo'!$V:$V),0)</f>
        <v>0</v>
      </c>
      <c r="I30" s="424"/>
      <c r="J30" s="423">
        <f>IF(A30&lt;='Indicadores Financeiros'!$F$14,SUMIF('Relatório Custo'!$F:$F,"&lt;="&amp;$A30,'Relatório Custo'!$W:$W),0)</f>
        <v>0</v>
      </c>
      <c r="K30" s="424"/>
      <c r="L30" s="85"/>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row>
    <row r="31" spans="1:193" x14ac:dyDescent="0.25">
      <c r="A31" s="404">
        <v>4</v>
      </c>
      <c r="B31" s="405"/>
      <c r="C31" s="423">
        <f>IF(A31&lt;='Indicadores Financeiros'!$F$14,SUMIF('Relatório Custo'!$F:$F,"&lt;="&amp;$A31,'Relatório Custo'!$S:$S),0)</f>
        <v>0</v>
      </c>
      <c r="D31" s="425"/>
      <c r="E31" s="425"/>
      <c r="F31" s="425"/>
      <c r="G31" s="424"/>
      <c r="H31" s="423">
        <f>IF(A31&lt;='Indicadores Financeiros'!$F$14,SUMIF('Relatório Custo'!$F:$F,"&lt;="&amp;$A31,'Relatório Custo'!$V:$V),0)</f>
        <v>0</v>
      </c>
      <c r="I31" s="424"/>
      <c r="J31" s="423">
        <f>IF(A31&lt;='Indicadores Financeiros'!$F$14,SUMIF('Relatório Custo'!$F:$F,"&lt;="&amp;$A31,'Relatório Custo'!$W:$W),0)</f>
        <v>0</v>
      </c>
      <c r="K31" s="424"/>
      <c r="L31" s="85"/>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row>
    <row r="32" spans="1:193" x14ac:dyDescent="0.25">
      <c r="A32" s="404">
        <v>5</v>
      </c>
      <c r="B32" s="405"/>
      <c r="C32" s="423">
        <f>IF(A32&lt;='Indicadores Financeiros'!$F$14,SUMIF('Relatório Custo'!$F:$F,"&lt;="&amp;$A32,'Relatório Custo'!$S:$S),0)</f>
        <v>0</v>
      </c>
      <c r="D32" s="425"/>
      <c r="E32" s="425"/>
      <c r="F32" s="425"/>
      <c r="G32" s="424"/>
      <c r="H32" s="423">
        <f>IF(A32&lt;='Indicadores Financeiros'!$F$14,SUMIF('Relatório Custo'!$F:$F,"&lt;="&amp;$A32,'Relatório Custo'!$V:$V),0)</f>
        <v>0</v>
      </c>
      <c r="I32" s="424"/>
      <c r="J32" s="423">
        <f>IF(A32&lt;='Indicadores Financeiros'!$F$14,SUMIF('Relatório Custo'!$F:$F,"&lt;="&amp;$A32,'Relatório Custo'!$W:$W),0)</f>
        <v>0</v>
      </c>
      <c r="K32" s="424"/>
      <c r="L32" s="85"/>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row>
    <row r="33" spans="1:193" x14ac:dyDescent="0.25">
      <c r="A33" s="404">
        <v>6</v>
      </c>
      <c r="B33" s="405"/>
      <c r="C33" s="423">
        <f>IF(A33&lt;='Indicadores Financeiros'!$F$14,SUMIF('Relatório Custo'!$F:$F,"&lt;="&amp;$A33,'Relatório Custo'!$S:$S),0)</f>
        <v>0</v>
      </c>
      <c r="D33" s="425"/>
      <c r="E33" s="425"/>
      <c r="F33" s="425"/>
      <c r="G33" s="424"/>
      <c r="H33" s="423">
        <f>IF(A33&lt;='Indicadores Financeiros'!$F$14,SUMIF('Relatório Custo'!$F:$F,"&lt;="&amp;$A33,'Relatório Custo'!$V:$V),0)</f>
        <v>0</v>
      </c>
      <c r="I33" s="424"/>
      <c r="J33" s="423">
        <f>IF(A33&lt;='Indicadores Financeiros'!$F$14,SUMIF('Relatório Custo'!$F:$F,"&lt;="&amp;$A33,'Relatório Custo'!$W:$W),0)</f>
        <v>0</v>
      </c>
      <c r="K33" s="424"/>
      <c r="L33" s="85"/>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row>
    <row r="34" spans="1:193" x14ac:dyDescent="0.25">
      <c r="A34" s="404">
        <v>7</v>
      </c>
      <c r="B34" s="405"/>
      <c r="C34" s="423">
        <f>IF(A34&lt;='Indicadores Financeiros'!$F$14,SUMIF('Relatório Custo'!$F:$F,"&lt;="&amp;$A34,'Relatório Custo'!$S:$S),0)</f>
        <v>0</v>
      </c>
      <c r="D34" s="425"/>
      <c r="E34" s="425"/>
      <c r="F34" s="425"/>
      <c r="G34" s="424"/>
      <c r="H34" s="423">
        <f>IF(A34&lt;='Indicadores Financeiros'!$F$14,SUMIF('Relatório Custo'!$F:$F,"&lt;="&amp;$A34,'Relatório Custo'!$V:$V),0)</f>
        <v>0</v>
      </c>
      <c r="I34" s="424"/>
      <c r="J34" s="423">
        <f>IF(A34&lt;='Indicadores Financeiros'!$F$14,SUMIF('Relatório Custo'!$F:$F,"&lt;="&amp;$A34,'Relatório Custo'!$W:$W),0)</f>
        <v>0</v>
      </c>
      <c r="K34" s="424"/>
      <c r="L34" s="85"/>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row>
    <row r="35" spans="1:193" x14ac:dyDescent="0.25">
      <c r="A35" s="404">
        <v>8</v>
      </c>
      <c r="B35" s="405"/>
      <c r="C35" s="423">
        <f>IF(A35&lt;='Indicadores Financeiros'!$F$14,SUMIF('Relatório Custo'!$F:$F,"&lt;="&amp;$A35,'Relatório Custo'!$S:$S),0)</f>
        <v>0</v>
      </c>
      <c r="D35" s="425"/>
      <c r="E35" s="425"/>
      <c r="F35" s="425"/>
      <c r="G35" s="424"/>
      <c r="H35" s="423">
        <f>IF(A35&lt;='Indicadores Financeiros'!$F$14,SUMIF('Relatório Custo'!$F:$F,"&lt;="&amp;$A35,'Relatório Custo'!$V:$V),0)</f>
        <v>0</v>
      </c>
      <c r="I35" s="424"/>
      <c r="J35" s="423">
        <f>IF(A35&lt;='Indicadores Financeiros'!$F$14,SUMIF('Relatório Custo'!$F:$F,"&lt;="&amp;$A35,'Relatório Custo'!$W:$W),0)</f>
        <v>0</v>
      </c>
      <c r="K35" s="424"/>
      <c r="L35" s="8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row>
    <row r="36" spans="1:193" x14ac:dyDescent="0.25">
      <c r="A36" s="404">
        <v>9</v>
      </c>
      <c r="B36" s="405"/>
      <c r="C36" s="423">
        <f>IF(A36&lt;='Indicadores Financeiros'!$F$14,SUMIF('Relatório Custo'!$F:$F,"&lt;="&amp;$A36,'Relatório Custo'!$S:$S),0)</f>
        <v>0</v>
      </c>
      <c r="D36" s="425"/>
      <c r="E36" s="425"/>
      <c r="F36" s="425"/>
      <c r="G36" s="424"/>
      <c r="H36" s="423">
        <f>IF(A36&lt;='Indicadores Financeiros'!$F$14,SUMIF('Relatório Custo'!$F:$F,"&lt;="&amp;$A36,'Relatório Custo'!$V:$V),0)</f>
        <v>0</v>
      </c>
      <c r="I36" s="424"/>
      <c r="J36" s="423">
        <f>IF(A36&lt;='Indicadores Financeiros'!$F$14,SUMIF('Relatório Custo'!$F:$F,"&lt;="&amp;$A36,'Relatório Custo'!$W:$W),0)</f>
        <v>0</v>
      </c>
      <c r="K36" s="424"/>
      <c r="L36" s="85"/>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row>
    <row r="37" spans="1:193" x14ac:dyDescent="0.25">
      <c r="A37" s="404">
        <v>10</v>
      </c>
      <c r="B37" s="405"/>
      <c r="C37" s="423">
        <f>IF(A37&lt;='Indicadores Financeiros'!$F$14,SUMIF('Relatório Custo'!$F:$F,"&lt;="&amp;$A37,'Relatório Custo'!$S:$S),0)</f>
        <v>0</v>
      </c>
      <c r="D37" s="425"/>
      <c r="E37" s="425"/>
      <c r="F37" s="425"/>
      <c r="G37" s="424"/>
      <c r="H37" s="423">
        <f>IF(A37&lt;='Indicadores Financeiros'!$F$14,SUMIF('Relatório Custo'!$F:$F,"&lt;="&amp;$A37,'Relatório Custo'!$V:$V),0)</f>
        <v>0</v>
      </c>
      <c r="I37" s="424"/>
      <c r="J37" s="423">
        <f>IF(A37&lt;='Indicadores Financeiros'!$F$14,SUMIF('Relatório Custo'!$F:$F,"&lt;="&amp;$A37,'Relatório Custo'!$W:$W),0)</f>
        <v>0</v>
      </c>
      <c r="K37" s="424"/>
      <c r="L37" s="85"/>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row>
    <row r="38" spans="1:193" x14ac:dyDescent="0.25">
      <c r="A38" s="404">
        <v>11</v>
      </c>
      <c r="B38" s="405"/>
      <c r="C38" s="423">
        <f>IF(A38&lt;='Indicadores Financeiros'!$F$14,SUMIF('Relatório Custo'!$F:$F,"&lt;="&amp;$A38,'Relatório Custo'!$S:$S),0)</f>
        <v>0</v>
      </c>
      <c r="D38" s="425"/>
      <c r="E38" s="425"/>
      <c r="F38" s="425"/>
      <c r="G38" s="424"/>
      <c r="H38" s="423">
        <f>IF(A38&lt;='Indicadores Financeiros'!$F$14,SUMIF('Relatório Custo'!$F:$F,"&lt;="&amp;$A38,'Relatório Custo'!$V:$V),0)</f>
        <v>0</v>
      </c>
      <c r="I38" s="424"/>
      <c r="J38" s="423">
        <f>IF(A38&lt;='Indicadores Financeiros'!$F$14,SUMIF('Relatório Custo'!$F:$F,"&lt;="&amp;$A38,'Relatório Custo'!$W:$W),0)</f>
        <v>0</v>
      </c>
      <c r="K38" s="424"/>
      <c r="L38" s="85"/>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row>
    <row r="39" spans="1:193" x14ac:dyDescent="0.25">
      <c r="A39" s="404">
        <v>12</v>
      </c>
      <c r="B39" s="405"/>
      <c r="C39" s="423">
        <f>IF(A39&lt;='Indicadores Financeiros'!$F$14,SUMIF('Relatório Custo'!$F:$F,"&lt;="&amp;$A39,'Relatório Custo'!$S:$S),0)</f>
        <v>0</v>
      </c>
      <c r="D39" s="425"/>
      <c r="E39" s="425"/>
      <c r="F39" s="425"/>
      <c r="G39" s="424"/>
      <c r="H39" s="423">
        <f>IF(A39&lt;='Indicadores Financeiros'!$F$14,SUMIF('Relatório Custo'!$F:$F,"&lt;="&amp;$A39,'Relatório Custo'!$V:$V),0)</f>
        <v>0</v>
      </c>
      <c r="I39" s="424"/>
      <c r="J39" s="423">
        <f>IF(A39&lt;='Indicadores Financeiros'!$F$14,SUMIF('Relatório Custo'!$F:$F,"&lt;="&amp;$A39,'Relatório Custo'!$W:$W),0)</f>
        <v>0</v>
      </c>
      <c r="K39" s="424"/>
      <c r="L39" s="85"/>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row>
    <row r="40" spans="1:193" x14ac:dyDescent="0.25">
      <c r="A40" s="404">
        <v>13</v>
      </c>
      <c r="B40" s="405"/>
      <c r="C40" s="423">
        <f>IF(A40&lt;='Indicadores Financeiros'!$F$14,SUMIF('Relatório Custo'!$F:$F,"&lt;="&amp;$A40,'Relatório Custo'!$S:$S),0)</f>
        <v>0</v>
      </c>
      <c r="D40" s="425"/>
      <c r="E40" s="425"/>
      <c r="F40" s="425"/>
      <c r="G40" s="424"/>
      <c r="H40" s="423">
        <f>IF(A40&lt;='Indicadores Financeiros'!$F$14,SUMIF('Relatório Custo'!$F:$F,"&lt;="&amp;$A40,'Relatório Custo'!$V:$V),0)</f>
        <v>0</v>
      </c>
      <c r="I40" s="424"/>
      <c r="J40" s="423">
        <f>IF(A40&lt;='Indicadores Financeiros'!$F$14,SUMIF('Relatório Custo'!$F:$F,"&lt;="&amp;$A40,'Relatório Custo'!$W:$W),0)</f>
        <v>0</v>
      </c>
      <c r="K40" s="424"/>
      <c r="L40" s="85"/>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row>
    <row r="41" spans="1:193" x14ac:dyDescent="0.25">
      <c r="A41" s="404">
        <v>14</v>
      </c>
      <c r="B41" s="405"/>
      <c r="C41" s="423">
        <f>IF(A41&lt;='Indicadores Financeiros'!$F$14,SUMIF('Relatório Custo'!$F:$F,"&lt;="&amp;$A41,'Relatório Custo'!$S:$S),0)</f>
        <v>0</v>
      </c>
      <c r="D41" s="425"/>
      <c r="E41" s="425"/>
      <c r="F41" s="425"/>
      <c r="G41" s="424"/>
      <c r="H41" s="423">
        <f>IF(A41&lt;='Indicadores Financeiros'!$F$14,SUMIF('Relatório Custo'!$F:$F,"&lt;="&amp;$A41,'Relatório Custo'!$V:$V),0)</f>
        <v>0</v>
      </c>
      <c r="I41" s="424"/>
      <c r="J41" s="423">
        <f>IF(A41&lt;='Indicadores Financeiros'!$F$14,SUMIF('Relatório Custo'!$F:$F,"&lt;="&amp;$A41,'Relatório Custo'!$W:$W),0)</f>
        <v>0</v>
      </c>
      <c r="K41" s="424"/>
      <c r="L41" s="85"/>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row>
    <row r="42" spans="1:193" x14ac:dyDescent="0.25">
      <c r="A42" s="404">
        <v>15</v>
      </c>
      <c r="B42" s="405"/>
      <c r="C42" s="423">
        <f>IF(A42&lt;='Indicadores Financeiros'!$F$14,SUMIF('Relatório Custo'!$F:$F,"&lt;="&amp;$A42,'Relatório Custo'!$S:$S),0)</f>
        <v>0</v>
      </c>
      <c r="D42" s="425"/>
      <c r="E42" s="425"/>
      <c r="F42" s="425"/>
      <c r="G42" s="424"/>
      <c r="H42" s="423">
        <f>IF(A42&lt;='Indicadores Financeiros'!$F$14,SUMIF('Relatório Custo'!$F:$F,"&lt;="&amp;$A42,'Relatório Custo'!$V:$V),0)</f>
        <v>0</v>
      </c>
      <c r="I42" s="424"/>
      <c r="J42" s="423">
        <f>IF(A42&lt;='Indicadores Financeiros'!$F$14,SUMIF('Relatório Custo'!$F:$F,"&lt;="&amp;$A42,'Relatório Custo'!$W:$W),0)</f>
        <v>0</v>
      </c>
      <c r="K42" s="424"/>
      <c r="L42" s="85"/>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row>
    <row r="43" spans="1:193" x14ac:dyDescent="0.25">
      <c r="A43" s="404">
        <v>16</v>
      </c>
      <c r="B43" s="405"/>
      <c r="C43" s="423">
        <f>IF(A43&lt;='Indicadores Financeiros'!$F$14,SUMIF('Relatório Custo'!$F:$F,"&lt;="&amp;$A43,'Relatório Custo'!$S:$S),0)</f>
        <v>0</v>
      </c>
      <c r="D43" s="425"/>
      <c r="E43" s="425"/>
      <c r="F43" s="425"/>
      <c r="G43" s="424"/>
      <c r="H43" s="423">
        <f>IF(A43&lt;='Indicadores Financeiros'!$F$14,SUMIF('Relatório Custo'!$F:$F,"&lt;="&amp;$A43,'Relatório Custo'!$V:$V),0)</f>
        <v>0</v>
      </c>
      <c r="I43" s="424"/>
      <c r="J43" s="423">
        <f>IF(A43&lt;='Indicadores Financeiros'!$F$14,SUMIF('Relatório Custo'!$F:$F,"&lt;="&amp;$A43,'Relatório Custo'!$W:$W),0)</f>
        <v>0</v>
      </c>
      <c r="K43" s="424"/>
      <c r="L43" s="85"/>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row>
    <row r="44" spans="1:193" x14ac:dyDescent="0.25">
      <c r="A44" s="404">
        <v>17</v>
      </c>
      <c r="B44" s="405"/>
      <c r="C44" s="423">
        <f>IF(A44&lt;='Indicadores Financeiros'!$F$14,SUMIF('Relatório Custo'!$F:$F,"&lt;="&amp;$A44,'Relatório Custo'!$S:$S),0)</f>
        <v>0</v>
      </c>
      <c r="D44" s="425"/>
      <c r="E44" s="425"/>
      <c r="F44" s="425"/>
      <c r="G44" s="424"/>
      <c r="H44" s="423">
        <f>IF(A44&lt;='Indicadores Financeiros'!$F$14,SUMIF('Relatório Custo'!$F:$F,"&lt;="&amp;$A44,'Relatório Custo'!$V:$V),0)</f>
        <v>0</v>
      </c>
      <c r="I44" s="424"/>
      <c r="J44" s="423">
        <f>IF(A44&lt;='Indicadores Financeiros'!$F$14,SUMIF('Relatório Custo'!$F:$F,"&lt;="&amp;$A44,'Relatório Custo'!$W:$W),0)</f>
        <v>0</v>
      </c>
      <c r="K44" s="424"/>
      <c r="L44" s="85"/>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row>
    <row r="45" spans="1:193" x14ac:dyDescent="0.25">
      <c r="A45" s="404">
        <v>18</v>
      </c>
      <c r="B45" s="405"/>
      <c r="C45" s="423">
        <f>IF(A45&lt;='Indicadores Financeiros'!$F$14,SUMIF('Relatório Custo'!$F:$F,"&lt;="&amp;$A45,'Relatório Custo'!$S:$S),0)</f>
        <v>0</v>
      </c>
      <c r="D45" s="425"/>
      <c r="E45" s="425"/>
      <c r="F45" s="425"/>
      <c r="G45" s="424"/>
      <c r="H45" s="423">
        <f>IF(A45&lt;='Indicadores Financeiros'!$F$14,SUMIF('Relatório Custo'!$F:$F,"&lt;="&amp;$A45,'Relatório Custo'!$V:$V),0)</f>
        <v>0</v>
      </c>
      <c r="I45" s="424"/>
      <c r="J45" s="423">
        <f>IF(A45&lt;='Indicadores Financeiros'!$F$14,SUMIF('Relatório Custo'!$F:$F,"&lt;="&amp;$A45,'Relatório Custo'!$W:$W),0)</f>
        <v>0</v>
      </c>
      <c r="K45" s="424"/>
      <c r="L45" s="8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row>
    <row r="46" spans="1:193" x14ac:dyDescent="0.25">
      <c r="A46" s="404">
        <v>19</v>
      </c>
      <c r="B46" s="405"/>
      <c r="C46" s="423">
        <f>IF(A46&lt;='Indicadores Financeiros'!$F$14,SUMIF('Relatório Custo'!$F:$F,"&lt;="&amp;$A46,'Relatório Custo'!$S:$S),0)</f>
        <v>0</v>
      </c>
      <c r="D46" s="425"/>
      <c r="E46" s="425"/>
      <c r="F46" s="425"/>
      <c r="G46" s="424"/>
      <c r="H46" s="423">
        <f>IF(A46&lt;='Indicadores Financeiros'!$F$14,SUMIF('Relatório Custo'!$F:$F,"&lt;="&amp;$A46,'Relatório Custo'!$V:$V),0)</f>
        <v>0</v>
      </c>
      <c r="I46" s="424"/>
      <c r="J46" s="423">
        <f>IF(A46&lt;='Indicadores Financeiros'!$F$14,SUMIF('Relatório Custo'!$F:$F,"&lt;="&amp;$A46,'Relatório Custo'!$W:$W),0)</f>
        <v>0</v>
      </c>
      <c r="K46" s="424"/>
      <c r="L46" s="85"/>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row>
    <row r="47" spans="1:193" x14ac:dyDescent="0.25">
      <c r="A47" s="404">
        <v>20</v>
      </c>
      <c r="B47" s="405"/>
      <c r="C47" s="423">
        <f>IF(A47&lt;='Indicadores Financeiros'!$F$14,SUMIF('Relatório Custo'!$F:$F,"&lt;="&amp;$A47,'Relatório Custo'!$S:$S),0)</f>
        <v>0</v>
      </c>
      <c r="D47" s="425"/>
      <c r="E47" s="425"/>
      <c r="F47" s="425"/>
      <c r="G47" s="424"/>
      <c r="H47" s="423">
        <f>IF(A47&lt;='Indicadores Financeiros'!$F$14,SUMIF('Relatório Custo'!$F:$F,"&lt;="&amp;$A47,'Relatório Custo'!$V:$V),0)</f>
        <v>0</v>
      </c>
      <c r="I47" s="424"/>
      <c r="J47" s="423">
        <f>IF(A47&lt;='Indicadores Financeiros'!$F$14,SUMIF('Relatório Custo'!$F:$F,"&lt;="&amp;$A47,'Relatório Custo'!$W:$W),0)</f>
        <v>0</v>
      </c>
      <c r="K47" s="424"/>
      <c r="L47" s="85"/>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row>
    <row r="48" spans="1:193" s="70" customFormat="1" x14ac:dyDescent="0.25">
      <c r="A48" s="404">
        <v>21</v>
      </c>
      <c r="B48" s="405"/>
      <c r="C48" s="423">
        <f>IF(A48&lt;='Indicadores Financeiros'!$F$14,SUMIF('Relatório Custo'!$F:$F,"&lt;="&amp;$A48,'Relatório Custo'!$S:$S),0)</f>
        <v>0</v>
      </c>
      <c r="D48" s="425"/>
      <c r="E48" s="425"/>
      <c r="F48" s="425"/>
      <c r="G48" s="424"/>
      <c r="H48" s="423">
        <f>IF(A48&lt;='Indicadores Financeiros'!$F$14,SUMIF('Relatório Custo'!$F:$F,"&lt;="&amp;$A48,'Relatório Custo'!$V:$V),0)</f>
        <v>0</v>
      </c>
      <c r="I48" s="424"/>
      <c r="J48" s="423">
        <f>IF(A48&lt;='Indicadores Financeiros'!$F$14,SUMIF('Relatório Custo'!$F:$F,"&lt;="&amp;$A48,'Relatório Custo'!$W:$W),0)</f>
        <v>0</v>
      </c>
      <c r="K48" s="424"/>
      <c r="L48" s="85"/>
    </row>
    <row r="49" spans="1:12" s="70" customFormat="1" x14ac:dyDescent="0.25">
      <c r="A49" s="404">
        <v>22</v>
      </c>
      <c r="B49" s="405"/>
      <c r="C49" s="423">
        <f>IF(A49&lt;='Indicadores Financeiros'!$F$14,SUMIF('Relatório Custo'!$F:$F,"&lt;="&amp;$A49,'Relatório Custo'!$S:$S),0)</f>
        <v>0</v>
      </c>
      <c r="D49" s="425"/>
      <c r="E49" s="425"/>
      <c r="F49" s="425"/>
      <c r="G49" s="424"/>
      <c r="H49" s="423">
        <f>IF(A49&lt;='Indicadores Financeiros'!$F$14,SUMIF('Relatório Custo'!$F:$F,"&lt;="&amp;$A49,'Relatório Custo'!$V:$V),0)</f>
        <v>0</v>
      </c>
      <c r="I49" s="424"/>
      <c r="J49" s="423">
        <f>IF(A49&lt;='Indicadores Financeiros'!$F$14,SUMIF('Relatório Custo'!$F:$F,"&lt;="&amp;$A49,'Relatório Custo'!$W:$W),0)</f>
        <v>0</v>
      </c>
      <c r="K49" s="424"/>
      <c r="L49" s="85"/>
    </row>
    <row r="50" spans="1:12" s="70" customFormat="1" x14ac:dyDescent="0.25">
      <c r="A50" s="404">
        <v>23</v>
      </c>
      <c r="B50" s="405"/>
      <c r="C50" s="423">
        <f>IF(A50&lt;='Indicadores Financeiros'!$F$14,SUMIF('Relatório Custo'!$F:$F,"&lt;="&amp;$A50,'Relatório Custo'!$S:$S),0)</f>
        <v>0</v>
      </c>
      <c r="D50" s="425"/>
      <c r="E50" s="425"/>
      <c r="F50" s="425"/>
      <c r="G50" s="424"/>
      <c r="H50" s="423">
        <f>IF(A50&lt;='Indicadores Financeiros'!$F$14,SUMIF('Relatório Custo'!$F:$F,"&lt;="&amp;$A50,'Relatório Custo'!$V:$V),0)</f>
        <v>0</v>
      </c>
      <c r="I50" s="424"/>
      <c r="J50" s="423">
        <f>IF(A50&lt;='Indicadores Financeiros'!$F$14,SUMIF('Relatório Custo'!$F:$F,"&lt;="&amp;$A50,'Relatório Custo'!$W:$W),0)</f>
        <v>0</v>
      </c>
      <c r="K50" s="424"/>
      <c r="L50" s="85"/>
    </row>
    <row r="51" spans="1:12" s="70" customFormat="1" x14ac:dyDescent="0.25">
      <c r="A51" s="404">
        <v>24</v>
      </c>
      <c r="B51" s="405"/>
      <c r="C51" s="423">
        <f>IF(A51&lt;='Indicadores Financeiros'!$F$14,SUMIF('Relatório Custo'!$F:$F,"&lt;="&amp;$A51,'Relatório Custo'!$S:$S),0)</f>
        <v>0</v>
      </c>
      <c r="D51" s="425"/>
      <c r="E51" s="425"/>
      <c r="F51" s="425"/>
      <c r="G51" s="424"/>
      <c r="H51" s="423">
        <f>IF(A51&lt;='Indicadores Financeiros'!$F$14,SUMIF('Relatório Custo'!$F:$F,"&lt;="&amp;$A51,'Relatório Custo'!$V:$V),0)</f>
        <v>0</v>
      </c>
      <c r="I51" s="424"/>
      <c r="J51" s="423">
        <f>IF(A51&lt;='Indicadores Financeiros'!$F$14,SUMIF('Relatório Custo'!$F:$F,"&lt;="&amp;$A51,'Relatório Custo'!$W:$W),0)</f>
        <v>0</v>
      </c>
      <c r="K51" s="424"/>
      <c r="L51" s="85"/>
    </row>
    <row r="52" spans="1:12" s="70" customFormat="1" x14ac:dyDescent="0.25">
      <c r="A52" s="404">
        <v>25</v>
      </c>
      <c r="B52" s="405"/>
      <c r="C52" s="423">
        <f>IF(A52&lt;='Indicadores Financeiros'!$F$14,SUMIF('Relatório Custo'!$F:$F,"&lt;="&amp;$A52,'Relatório Custo'!$S:$S),0)</f>
        <v>0</v>
      </c>
      <c r="D52" s="425"/>
      <c r="E52" s="425"/>
      <c r="F52" s="425"/>
      <c r="G52" s="424"/>
      <c r="H52" s="423">
        <f>IF(A52&lt;='Indicadores Financeiros'!$F$14,SUMIF('Relatório Custo'!$F:$F,"&lt;="&amp;$A52,'Relatório Custo'!$V:$V),0)</f>
        <v>0</v>
      </c>
      <c r="I52" s="424"/>
      <c r="J52" s="423">
        <f>IF(A52&lt;='Indicadores Financeiros'!$F$14,SUMIF('Relatório Custo'!$F:$F,"&lt;="&amp;$A52,'Relatório Custo'!$W:$W),0)</f>
        <v>0</v>
      </c>
      <c r="K52" s="424"/>
      <c r="L52" s="85"/>
    </row>
    <row r="53" spans="1:12" s="70" customFormat="1" x14ac:dyDescent="0.25">
      <c r="A53" s="404">
        <v>26</v>
      </c>
      <c r="B53" s="405"/>
      <c r="C53" s="423">
        <f>IF(A53&lt;='Indicadores Financeiros'!$F$14,SUMIF('Relatório Custo'!$F:$F,"&lt;="&amp;$A53,'Relatório Custo'!$S:$S),0)</f>
        <v>0</v>
      </c>
      <c r="D53" s="425"/>
      <c r="E53" s="425"/>
      <c r="F53" s="425"/>
      <c r="G53" s="424"/>
      <c r="H53" s="423">
        <f>IF(A53&lt;='Indicadores Financeiros'!$F$14,SUMIF('Relatório Custo'!$F:$F,"&lt;="&amp;$A53,'Relatório Custo'!$V:$V),0)</f>
        <v>0</v>
      </c>
      <c r="I53" s="424"/>
      <c r="J53" s="423">
        <f>IF(A53&lt;='Indicadores Financeiros'!$F$14,SUMIF('Relatório Custo'!$F:$F,"&lt;="&amp;$A53,'Relatório Custo'!$W:$W),0)</f>
        <v>0</v>
      </c>
      <c r="K53" s="424"/>
      <c r="L53" s="85"/>
    </row>
    <row r="54" spans="1:12" s="70" customFormat="1" x14ac:dyDescent="0.25">
      <c r="A54" s="404">
        <v>27</v>
      </c>
      <c r="B54" s="405"/>
      <c r="C54" s="423">
        <f>IF(A54&lt;='Indicadores Financeiros'!$F$14,SUMIF('Relatório Custo'!$F:$F,"&lt;="&amp;$A54,'Relatório Custo'!$S:$S),0)</f>
        <v>0</v>
      </c>
      <c r="D54" s="425"/>
      <c r="E54" s="425"/>
      <c r="F54" s="425"/>
      <c r="G54" s="424"/>
      <c r="H54" s="423">
        <f>IF(A54&lt;='Indicadores Financeiros'!$F$14,SUMIF('Relatório Custo'!$F:$F,"&lt;="&amp;$A54,'Relatório Custo'!$V:$V),0)</f>
        <v>0</v>
      </c>
      <c r="I54" s="424"/>
      <c r="J54" s="423">
        <f>IF(A54&lt;='Indicadores Financeiros'!$F$14,SUMIF('Relatório Custo'!$F:$F,"&lt;="&amp;$A54,'Relatório Custo'!$W:$W),0)</f>
        <v>0</v>
      </c>
      <c r="K54" s="424"/>
      <c r="L54" s="85"/>
    </row>
    <row r="55" spans="1:12" s="70" customFormat="1" x14ac:dyDescent="0.25">
      <c r="A55" s="404">
        <v>28</v>
      </c>
      <c r="B55" s="405"/>
      <c r="C55" s="423">
        <f>IF(A55&lt;='Indicadores Financeiros'!$F$14,SUMIF('Relatório Custo'!$F:$F,"&lt;="&amp;$A55,'Relatório Custo'!$S:$S),0)</f>
        <v>0</v>
      </c>
      <c r="D55" s="425"/>
      <c r="E55" s="425"/>
      <c r="F55" s="425"/>
      <c r="G55" s="424"/>
      <c r="H55" s="423">
        <f>IF(A55&lt;='Indicadores Financeiros'!$F$14,SUMIF('Relatório Custo'!$F:$F,"&lt;="&amp;$A55,'Relatório Custo'!$V:$V),0)</f>
        <v>0</v>
      </c>
      <c r="I55" s="424"/>
      <c r="J55" s="423">
        <f>IF(A55&lt;='Indicadores Financeiros'!$F$14,SUMIF('Relatório Custo'!$F:$F,"&lt;="&amp;$A55,'Relatório Custo'!$W:$W),0)</f>
        <v>0</v>
      </c>
      <c r="K55" s="424"/>
      <c r="L55" s="85"/>
    </row>
    <row r="56" spans="1:12" s="70" customFormat="1" x14ac:dyDescent="0.25">
      <c r="A56" s="404">
        <v>29</v>
      </c>
      <c r="B56" s="405"/>
      <c r="C56" s="423">
        <f>IF(A56&lt;='Indicadores Financeiros'!$F$14,SUMIF('Relatório Custo'!$F:$F,"&lt;="&amp;$A56,'Relatório Custo'!$S:$S),0)</f>
        <v>0</v>
      </c>
      <c r="D56" s="425"/>
      <c r="E56" s="425"/>
      <c r="F56" s="425"/>
      <c r="G56" s="424"/>
      <c r="H56" s="423">
        <f>IF(A56&lt;='Indicadores Financeiros'!$F$14,SUMIF('Relatório Custo'!$F:$F,"&lt;="&amp;$A56,'Relatório Custo'!$V:$V),0)</f>
        <v>0</v>
      </c>
      <c r="I56" s="424"/>
      <c r="J56" s="423">
        <f>IF(A56&lt;='Indicadores Financeiros'!$F$14,SUMIF('Relatório Custo'!$F:$F,"&lt;="&amp;$A56,'Relatório Custo'!$W:$W),0)</f>
        <v>0</v>
      </c>
      <c r="K56" s="424"/>
      <c r="L56" s="85"/>
    </row>
    <row r="57" spans="1:12" s="70" customFormat="1" x14ac:dyDescent="0.25">
      <c r="A57" s="404">
        <v>30</v>
      </c>
      <c r="B57" s="405"/>
      <c r="C57" s="423">
        <f>IF(A57&lt;='Indicadores Financeiros'!$F$14,SUMIF('Relatório Custo'!$F:$F,"&lt;="&amp;$A57,'Relatório Custo'!$S:$S),0)</f>
        <v>0</v>
      </c>
      <c r="D57" s="425"/>
      <c r="E57" s="425"/>
      <c r="F57" s="425"/>
      <c r="G57" s="424"/>
      <c r="H57" s="423">
        <f>IF(A57&lt;='Indicadores Financeiros'!$F$14,SUMIF('Relatório Custo'!$F:$F,"&lt;="&amp;$A57,'Relatório Custo'!$V:$V),0)</f>
        <v>0</v>
      </c>
      <c r="I57" s="424"/>
      <c r="J57" s="423">
        <f>IF(A57&lt;='Indicadores Financeiros'!$F$14,SUMIF('Relatório Custo'!$F:$F,"&lt;="&amp;$A57,'Relatório Custo'!$W:$W),0)</f>
        <v>0</v>
      </c>
      <c r="K57" s="424"/>
      <c r="L57" s="85"/>
    </row>
    <row r="58" spans="1:12" s="70" customFormat="1" ht="11.25" x14ac:dyDescent="0.25">
      <c r="A58" s="112" t="s">
        <v>190</v>
      </c>
      <c r="B58" s="112"/>
      <c r="C58" s="435">
        <f>ROUND(SUM(C28:G57),2)</f>
        <v>0</v>
      </c>
      <c r="D58" s="436"/>
      <c r="E58" s="436"/>
      <c r="F58" s="436"/>
      <c r="G58" s="437"/>
      <c r="H58" s="435">
        <f>ROUND(SUM(H28:I57),2)</f>
        <v>0</v>
      </c>
      <c r="I58" s="437"/>
      <c r="J58" s="435">
        <f>ROUND(SUM(J28:K57),2)</f>
        <v>0</v>
      </c>
      <c r="K58" s="437"/>
      <c r="L58" s="85"/>
    </row>
    <row r="59" spans="1:12" s="70" customFormat="1" ht="11.25" x14ac:dyDescent="0.25">
      <c r="C59" s="86"/>
      <c r="D59" s="121"/>
      <c r="E59" s="86"/>
      <c r="F59" s="86"/>
      <c r="G59" s="96">
        <f>C58-K14</f>
        <v>0</v>
      </c>
      <c r="H59" s="86"/>
      <c r="I59" s="96"/>
      <c r="J59" s="86"/>
      <c r="K59" s="96"/>
    </row>
    <row r="60" spans="1:12" s="70" customFormat="1" ht="11.25" x14ac:dyDescent="0.25">
      <c r="D60" s="122"/>
      <c r="K60" s="72"/>
    </row>
    <row r="61" spans="1:12" s="70" customFormat="1" ht="11.25" x14ac:dyDescent="0.25">
      <c r="D61" s="122"/>
    </row>
    <row r="62" spans="1:12" s="70" customFormat="1" ht="11.25" x14ac:dyDescent="0.25">
      <c r="D62" s="122"/>
    </row>
    <row r="63" spans="1:12" s="70" customFormat="1" ht="11.25" x14ac:dyDescent="0.25">
      <c r="D63" s="122"/>
    </row>
    <row r="64" spans="1:12" s="70" customFormat="1" ht="11.25" x14ac:dyDescent="0.25">
      <c r="D64" s="122"/>
    </row>
    <row r="65" spans="4:4" s="70" customFormat="1" ht="11.25" x14ac:dyDescent="0.25">
      <c r="D65" s="122"/>
    </row>
    <row r="66" spans="4:4" s="70" customFormat="1" ht="11.25" x14ac:dyDescent="0.25">
      <c r="D66" s="122"/>
    </row>
    <row r="67" spans="4:4" s="70" customFormat="1" ht="11.25" x14ac:dyDescent="0.25">
      <c r="D67" s="122"/>
    </row>
    <row r="68" spans="4:4" s="70" customFormat="1" ht="11.25" x14ac:dyDescent="0.25">
      <c r="D68" s="122"/>
    </row>
    <row r="69" spans="4:4" s="70" customFormat="1" ht="11.25" x14ac:dyDescent="0.25">
      <c r="D69" s="122"/>
    </row>
    <row r="70" spans="4:4" s="70" customFormat="1" ht="11.25" x14ac:dyDescent="0.25">
      <c r="D70" s="122"/>
    </row>
    <row r="71" spans="4:4" s="70" customFormat="1" ht="11.25" x14ac:dyDescent="0.25">
      <c r="D71" s="122"/>
    </row>
    <row r="72" spans="4:4" s="70" customFormat="1" ht="11.25" x14ac:dyDescent="0.25">
      <c r="D72" s="122"/>
    </row>
    <row r="73" spans="4:4" s="70" customFormat="1" ht="11.25" x14ac:dyDescent="0.25">
      <c r="D73" s="122"/>
    </row>
    <row r="74" spans="4:4" s="70" customFormat="1" ht="11.25" x14ac:dyDescent="0.25">
      <c r="D74" s="122"/>
    </row>
    <row r="75" spans="4:4" s="70" customFormat="1" ht="11.25" x14ac:dyDescent="0.25">
      <c r="D75" s="122"/>
    </row>
    <row r="76" spans="4:4" s="70" customFormat="1" ht="11.25" x14ac:dyDescent="0.25">
      <c r="D76" s="122"/>
    </row>
    <row r="77" spans="4:4" s="70" customFormat="1" ht="11.25" x14ac:dyDescent="0.25">
      <c r="D77" s="122"/>
    </row>
    <row r="78" spans="4:4" s="70" customFormat="1" ht="11.25" x14ac:dyDescent="0.25">
      <c r="D78" s="122"/>
    </row>
    <row r="79" spans="4:4" s="70" customFormat="1" ht="11.25" x14ac:dyDescent="0.25">
      <c r="D79" s="122"/>
    </row>
    <row r="80" spans="4:4" s="70" customFormat="1" ht="11.25" x14ac:dyDescent="0.25">
      <c r="D80" s="122"/>
    </row>
    <row r="81" spans="4:4" s="70" customFormat="1" ht="11.25" x14ac:dyDescent="0.25">
      <c r="D81" s="122"/>
    </row>
    <row r="82" spans="4:4" s="70" customFormat="1" ht="11.25" x14ac:dyDescent="0.25">
      <c r="D82" s="122"/>
    </row>
    <row r="83" spans="4:4" s="70" customFormat="1" ht="11.25" x14ac:dyDescent="0.25">
      <c r="D83" s="122"/>
    </row>
    <row r="84" spans="4:4" s="70" customFormat="1" ht="11.25" x14ac:dyDescent="0.25">
      <c r="D84" s="122"/>
    </row>
    <row r="85" spans="4:4" s="70" customFormat="1" ht="11.25" x14ac:dyDescent="0.25">
      <c r="D85" s="122"/>
    </row>
    <row r="86" spans="4:4" s="70" customFormat="1" ht="11.25" x14ac:dyDescent="0.25">
      <c r="D86" s="122"/>
    </row>
    <row r="87" spans="4:4" s="70" customFormat="1" ht="11.25" x14ac:dyDescent="0.25">
      <c r="D87" s="122"/>
    </row>
    <row r="88" spans="4:4" s="70" customFormat="1" ht="11.25" x14ac:dyDescent="0.25">
      <c r="D88" s="122"/>
    </row>
    <row r="89" spans="4:4" s="70" customFormat="1" ht="11.25" x14ac:dyDescent="0.25">
      <c r="D89" s="122"/>
    </row>
    <row r="90" spans="4:4" s="70" customFormat="1" ht="11.25" x14ac:dyDescent="0.25">
      <c r="D90" s="122"/>
    </row>
    <row r="91" spans="4:4" s="70" customFormat="1" ht="11.25" x14ac:dyDescent="0.25">
      <c r="D91" s="122"/>
    </row>
    <row r="92" spans="4:4" s="70" customFormat="1" ht="11.25" x14ac:dyDescent="0.25">
      <c r="D92" s="122"/>
    </row>
    <row r="93" spans="4:4" s="70" customFormat="1" ht="11.25" x14ac:dyDescent="0.25">
      <c r="D93" s="122"/>
    </row>
    <row r="94" spans="4:4" s="70" customFormat="1" ht="11.25" x14ac:dyDescent="0.25">
      <c r="D94" s="122"/>
    </row>
    <row r="95" spans="4:4" s="70" customFormat="1" ht="11.25" x14ac:dyDescent="0.25">
      <c r="D95" s="122"/>
    </row>
    <row r="96" spans="4:4" s="70" customFormat="1" ht="11.25" x14ac:dyDescent="0.25">
      <c r="D96" s="122"/>
    </row>
    <row r="97" spans="4:4" s="70" customFormat="1" ht="11.25" x14ac:dyDescent="0.25">
      <c r="D97" s="122"/>
    </row>
    <row r="98" spans="4:4" s="70" customFormat="1" ht="11.25" x14ac:dyDescent="0.25">
      <c r="D98" s="122"/>
    </row>
    <row r="99" spans="4:4" s="70" customFormat="1" ht="11.25" x14ac:dyDescent="0.25">
      <c r="D99" s="122"/>
    </row>
    <row r="100" spans="4:4" s="70" customFormat="1" ht="11.25" x14ac:dyDescent="0.25">
      <c r="D100" s="122"/>
    </row>
    <row r="101" spans="4:4" s="70" customFormat="1" ht="11.25" x14ac:dyDescent="0.25">
      <c r="D101" s="122"/>
    </row>
    <row r="102" spans="4:4" s="70" customFormat="1" ht="11.25" x14ac:dyDescent="0.25">
      <c r="D102" s="122"/>
    </row>
    <row r="103" spans="4:4" s="70" customFormat="1" ht="11.25" x14ac:dyDescent="0.25">
      <c r="D103" s="122"/>
    </row>
    <row r="104" spans="4:4" s="70" customFormat="1" ht="11.25" x14ac:dyDescent="0.25">
      <c r="D104" s="122"/>
    </row>
    <row r="105" spans="4:4" s="70" customFormat="1" ht="11.25" x14ac:dyDescent="0.25">
      <c r="D105" s="122"/>
    </row>
    <row r="106" spans="4:4" s="70" customFormat="1" ht="11.25" x14ac:dyDescent="0.25">
      <c r="D106" s="122"/>
    </row>
    <row r="107" spans="4:4" s="70" customFormat="1" ht="11.25" x14ac:dyDescent="0.25">
      <c r="D107" s="122"/>
    </row>
    <row r="108" spans="4:4" s="70" customFormat="1" ht="11.25" x14ac:dyDescent="0.25">
      <c r="D108" s="122"/>
    </row>
    <row r="109" spans="4:4" s="70" customFormat="1" ht="11.25" x14ac:dyDescent="0.25">
      <c r="D109" s="122"/>
    </row>
    <row r="110" spans="4:4" s="70" customFormat="1" ht="11.25" x14ac:dyDescent="0.25">
      <c r="D110" s="122"/>
    </row>
    <row r="111" spans="4:4" s="70" customFormat="1" ht="11.25" x14ac:dyDescent="0.25">
      <c r="D111" s="122"/>
    </row>
    <row r="112" spans="4:4" s="70" customFormat="1" ht="11.25" x14ac:dyDescent="0.25">
      <c r="D112" s="122"/>
    </row>
    <row r="113" spans="4:4" s="70" customFormat="1" ht="11.25" x14ac:dyDescent="0.25">
      <c r="D113" s="122"/>
    </row>
    <row r="114" spans="4:4" s="70" customFormat="1" ht="11.25" x14ac:dyDescent="0.25">
      <c r="D114" s="122"/>
    </row>
    <row r="115" spans="4:4" s="70" customFormat="1" ht="11.25" x14ac:dyDescent="0.25">
      <c r="D115" s="122"/>
    </row>
    <row r="116" spans="4:4" s="70" customFormat="1" ht="11.25" x14ac:dyDescent="0.25">
      <c r="D116" s="122"/>
    </row>
    <row r="117" spans="4:4" s="70" customFormat="1" ht="11.25" x14ac:dyDescent="0.25">
      <c r="D117" s="122"/>
    </row>
    <row r="118" spans="4:4" s="70" customFormat="1" ht="11.25" x14ac:dyDescent="0.25">
      <c r="D118" s="122"/>
    </row>
    <row r="119" spans="4:4" s="70" customFormat="1" ht="11.25" x14ac:dyDescent="0.25">
      <c r="D119" s="122"/>
    </row>
    <row r="120" spans="4:4" s="70" customFormat="1" ht="11.25" x14ac:dyDescent="0.25">
      <c r="D120" s="122"/>
    </row>
    <row r="121" spans="4:4" s="70" customFormat="1" ht="11.25" x14ac:dyDescent="0.25">
      <c r="D121" s="122"/>
    </row>
    <row r="122" spans="4:4" s="70" customFormat="1" ht="11.25" x14ac:dyDescent="0.25">
      <c r="D122" s="122"/>
    </row>
    <row r="123" spans="4:4" s="70" customFormat="1" ht="11.25" x14ac:dyDescent="0.25">
      <c r="D123" s="122"/>
    </row>
    <row r="124" spans="4:4" s="70" customFormat="1" ht="11.25" x14ac:dyDescent="0.25">
      <c r="D124" s="122"/>
    </row>
    <row r="125" spans="4:4" s="70" customFormat="1" ht="11.25" x14ac:dyDescent="0.25">
      <c r="D125" s="122"/>
    </row>
    <row r="126" spans="4:4" s="70" customFormat="1" ht="11.25" x14ac:dyDescent="0.25">
      <c r="D126" s="122"/>
    </row>
    <row r="127" spans="4:4" s="70" customFormat="1" ht="11.25" x14ac:dyDescent="0.25">
      <c r="D127" s="122"/>
    </row>
    <row r="128" spans="4:4" s="70" customFormat="1" ht="11.25" x14ac:dyDescent="0.25">
      <c r="D128" s="122"/>
    </row>
    <row r="129" spans="4:4" s="70" customFormat="1" ht="11.25" x14ac:dyDescent="0.25">
      <c r="D129" s="122"/>
    </row>
    <row r="130" spans="4:4" s="70" customFormat="1" ht="11.25" x14ac:dyDescent="0.25">
      <c r="D130" s="122"/>
    </row>
    <row r="131" spans="4:4" s="70" customFormat="1" ht="11.25" x14ac:dyDescent="0.25">
      <c r="D131" s="122"/>
    </row>
    <row r="132" spans="4:4" s="70" customFormat="1" ht="11.25" x14ac:dyDescent="0.25">
      <c r="D132" s="122"/>
    </row>
    <row r="133" spans="4:4" s="70" customFormat="1" ht="11.25" x14ac:dyDescent="0.25">
      <c r="D133" s="122"/>
    </row>
    <row r="134" spans="4:4" s="70" customFormat="1" ht="11.25" x14ac:dyDescent="0.25">
      <c r="D134" s="122"/>
    </row>
    <row r="135" spans="4:4" s="70" customFormat="1" ht="11.25" x14ac:dyDescent="0.25">
      <c r="D135" s="122"/>
    </row>
    <row r="136" spans="4:4" s="70" customFormat="1" ht="11.25" x14ac:dyDescent="0.25">
      <c r="D136" s="122"/>
    </row>
    <row r="137" spans="4:4" s="70" customFormat="1" ht="11.25" x14ac:dyDescent="0.25">
      <c r="D137" s="122"/>
    </row>
    <row r="138" spans="4:4" s="70" customFormat="1" ht="11.25" x14ac:dyDescent="0.25">
      <c r="D138" s="122"/>
    </row>
    <row r="139" spans="4:4" s="70" customFormat="1" ht="11.25" x14ac:dyDescent="0.25">
      <c r="D139" s="122"/>
    </row>
    <row r="140" spans="4:4" s="70" customFormat="1" ht="11.25" x14ac:dyDescent="0.25">
      <c r="D140" s="122"/>
    </row>
    <row r="141" spans="4:4" s="70" customFormat="1" ht="11.25" x14ac:dyDescent="0.25">
      <c r="D141" s="122"/>
    </row>
    <row r="142" spans="4:4" s="70" customFormat="1" ht="11.25" x14ac:dyDescent="0.25">
      <c r="D142" s="122"/>
    </row>
    <row r="143" spans="4:4" s="70" customFormat="1" ht="11.25" x14ac:dyDescent="0.25">
      <c r="D143" s="122"/>
    </row>
    <row r="144" spans="4:4" s="70" customFormat="1" ht="11.25" x14ac:dyDescent="0.25">
      <c r="D144" s="122"/>
    </row>
    <row r="145" spans="4:4" s="70" customFormat="1" ht="11.25" x14ac:dyDescent="0.25">
      <c r="D145" s="122"/>
    </row>
    <row r="146" spans="4:4" s="70" customFormat="1" ht="11.25" x14ac:dyDescent="0.25">
      <c r="D146" s="122"/>
    </row>
    <row r="147" spans="4:4" s="70" customFormat="1" ht="11.25" x14ac:dyDescent="0.25">
      <c r="D147" s="122"/>
    </row>
    <row r="148" spans="4:4" s="70" customFormat="1" ht="11.25" x14ac:dyDescent="0.25">
      <c r="D148" s="122"/>
    </row>
    <row r="149" spans="4:4" s="70" customFormat="1" ht="11.25" x14ac:dyDescent="0.25">
      <c r="D149" s="122"/>
    </row>
    <row r="150" spans="4:4" s="70" customFormat="1" ht="11.25" x14ac:dyDescent="0.25">
      <c r="D150" s="122"/>
    </row>
    <row r="151" spans="4:4" s="70" customFormat="1" ht="11.25" x14ac:dyDescent="0.25">
      <c r="D151" s="122"/>
    </row>
    <row r="152" spans="4:4" s="70" customFormat="1" ht="11.25" x14ac:dyDescent="0.25">
      <c r="D152" s="122"/>
    </row>
    <row r="153" spans="4:4" s="70" customFormat="1" ht="11.25" x14ac:dyDescent="0.25">
      <c r="D153" s="122"/>
    </row>
    <row r="154" spans="4:4" s="70" customFormat="1" ht="11.25" x14ac:dyDescent="0.25">
      <c r="D154" s="122"/>
    </row>
    <row r="155" spans="4:4" s="70" customFormat="1" ht="11.25" x14ac:dyDescent="0.25">
      <c r="D155" s="122"/>
    </row>
    <row r="156" spans="4:4" s="70" customFormat="1" ht="11.25" x14ac:dyDescent="0.25">
      <c r="D156" s="122"/>
    </row>
    <row r="157" spans="4:4" s="70" customFormat="1" ht="11.25" x14ac:dyDescent="0.25">
      <c r="D157" s="122"/>
    </row>
    <row r="158" spans="4:4" s="70" customFormat="1" ht="11.25" x14ac:dyDescent="0.25">
      <c r="D158" s="122"/>
    </row>
    <row r="159" spans="4:4" s="70" customFormat="1" ht="11.25" x14ac:dyDescent="0.25">
      <c r="D159" s="122"/>
    </row>
    <row r="160" spans="4:4" s="70" customFormat="1" ht="11.25" x14ac:dyDescent="0.25">
      <c r="D160" s="122"/>
    </row>
    <row r="161" spans="4:4" s="70" customFormat="1" ht="11.25" x14ac:dyDescent="0.25">
      <c r="D161" s="122"/>
    </row>
    <row r="162" spans="4:4" s="70" customFormat="1" ht="11.25" x14ac:dyDescent="0.25">
      <c r="D162" s="122"/>
    </row>
    <row r="163" spans="4:4" s="70" customFormat="1" ht="11.25" x14ac:dyDescent="0.25">
      <c r="D163" s="122"/>
    </row>
    <row r="164" spans="4:4" s="70" customFormat="1" ht="11.25" x14ac:dyDescent="0.25">
      <c r="D164" s="122"/>
    </row>
    <row r="165" spans="4:4" s="70" customFormat="1" ht="11.25" x14ac:dyDescent="0.25">
      <c r="D165" s="122"/>
    </row>
    <row r="166" spans="4:4" s="70" customFormat="1" ht="11.25" x14ac:dyDescent="0.25">
      <c r="D166" s="122"/>
    </row>
    <row r="167" spans="4:4" s="70" customFormat="1" ht="11.25" x14ac:dyDescent="0.25">
      <c r="D167" s="122"/>
    </row>
    <row r="168" spans="4:4" s="70" customFormat="1" ht="11.25" x14ac:dyDescent="0.25">
      <c r="D168" s="122"/>
    </row>
    <row r="169" spans="4:4" s="70" customFormat="1" ht="11.25" x14ac:dyDescent="0.25">
      <c r="D169" s="122"/>
    </row>
    <row r="170" spans="4:4" s="70" customFormat="1" ht="11.25" x14ac:dyDescent="0.25">
      <c r="D170" s="122"/>
    </row>
    <row r="171" spans="4:4" s="70" customFormat="1" ht="11.25" x14ac:dyDescent="0.25">
      <c r="D171" s="122"/>
    </row>
    <row r="172" spans="4:4" s="70" customFormat="1" ht="11.25" x14ac:dyDescent="0.25">
      <c r="D172" s="122"/>
    </row>
    <row r="173" spans="4:4" s="70" customFormat="1" ht="11.25" x14ac:dyDescent="0.25">
      <c r="D173" s="122"/>
    </row>
    <row r="174" spans="4:4" s="70" customFormat="1" ht="11.25" x14ac:dyDescent="0.25">
      <c r="D174" s="122"/>
    </row>
    <row r="175" spans="4:4" s="70" customFormat="1" ht="11.25" x14ac:dyDescent="0.25">
      <c r="D175" s="122"/>
    </row>
    <row r="176" spans="4:4" s="70" customFormat="1" ht="11.25" x14ac:dyDescent="0.25">
      <c r="D176" s="122"/>
    </row>
    <row r="177" spans="4:4" s="70" customFormat="1" ht="11.25" x14ac:dyDescent="0.25">
      <c r="D177" s="122"/>
    </row>
    <row r="178" spans="4:4" s="70" customFormat="1" ht="11.25" x14ac:dyDescent="0.25">
      <c r="D178" s="122"/>
    </row>
    <row r="179" spans="4:4" s="70" customFormat="1" ht="11.25" x14ac:dyDescent="0.25">
      <c r="D179" s="122"/>
    </row>
    <row r="180" spans="4:4" s="70" customFormat="1" ht="11.25" x14ac:dyDescent="0.25">
      <c r="D180" s="122"/>
    </row>
    <row r="181" spans="4:4" s="70" customFormat="1" ht="11.25" x14ac:dyDescent="0.25">
      <c r="D181" s="122"/>
    </row>
    <row r="182" spans="4:4" s="70" customFormat="1" ht="11.25" x14ac:dyDescent="0.25">
      <c r="D182" s="122"/>
    </row>
    <row r="183" spans="4:4" s="70" customFormat="1" ht="11.25" x14ac:dyDescent="0.25">
      <c r="D183" s="122"/>
    </row>
    <row r="184" spans="4:4" s="70" customFormat="1" ht="11.25" x14ac:dyDescent="0.25">
      <c r="D184" s="122"/>
    </row>
    <row r="185" spans="4:4" s="70" customFormat="1" ht="11.25" x14ac:dyDescent="0.25">
      <c r="D185" s="122"/>
    </row>
    <row r="186" spans="4:4" s="70" customFormat="1" ht="11.25" x14ac:dyDescent="0.25">
      <c r="D186" s="122"/>
    </row>
    <row r="187" spans="4:4" s="70" customFormat="1" ht="11.25" x14ac:dyDescent="0.25">
      <c r="D187" s="122"/>
    </row>
    <row r="188" spans="4:4" s="70" customFormat="1" ht="11.25" x14ac:dyDescent="0.25">
      <c r="D188" s="122"/>
    </row>
    <row r="189" spans="4:4" s="70" customFormat="1" ht="11.25" x14ac:dyDescent="0.25">
      <c r="D189" s="122"/>
    </row>
    <row r="190" spans="4:4" s="70" customFormat="1" ht="11.25" x14ac:dyDescent="0.25">
      <c r="D190" s="122"/>
    </row>
    <row r="191" spans="4:4" s="70" customFormat="1" ht="11.25" x14ac:dyDescent="0.25">
      <c r="D191" s="122"/>
    </row>
    <row r="192" spans="4:4" s="70" customFormat="1" ht="11.25" x14ac:dyDescent="0.25">
      <c r="D192" s="122"/>
    </row>
    <row r="193" spans="4:4" s="70" customFormat="1" ht="11.25" x14ac:dyDescent="0.25">
      <c r="D193" s="122"/>
    </row>
    <row r="194" spans="4:4" s="70" customFormat="1" ht="11.25" x14ac:dyDescent="0.25">
      <c r="D194" s="122"/>
    </row>
    <row r="195" spans="4:4" s="70" customFormat="1" ht="11.25" x14ac:dyDescent="0.25">
      <c r="D195" s="122"/>
    </row>
    <row r="196" spans="4:4" s="70" customFormat="1" ht="11.25" x14ac:dyDescent="0.25">
      <c r="D196" s="122"/>
    </row>
    <row r="197" spans="4:4" s="70" customFormat="1" ht="11.25" x14ac:dyDescent="0.25">
      <c r="D197" s="122"/>
    </row>
    <row r="198" spans="4:4" s="70" customFormat="1" ht="11.25" x14ac:dyDescent="0.25">
      <c r="D198" s="122"/>
    </row>
    <row r="199" spans="4:4" s="70" customFormat="1" ht="11.25" x14ac:dyDescent="0.25">
      <c r="D199" s="122"/>
    </row>
    <row r="200" spans="4:4" s="70" customFormat="1" ht="11.25" x14ac:dyDescent="0.25">
      <c r="D200" s="122"/>
    </row>
    <row r="201" spans="4:4" s="70" customFormat="1" ht="11.25" x14ac:dyDescent="0.25">
      <c r="D201" s="122"/>
    </row>
    <row r="202" spans="4:4" s="70" customFormat="1" ht="11.25" x14ac:dyDescent="0.25">
      <c r="D202" s="122"/>
    </row>
    <row r="203" spans="4:4" s="70" customFormat="1" ht="11.25" x14ac:dyDescent="0.25">
      <c r="D203" s="122"/>
    </row>
    <row r="204" spans="4:4" s="70" customFormat="1" ht="11.25" x14ac:dyDescent="0.25">
      <c r="D204" s="122"/>
    </row>
    <row r="205" spans="4:4" s="70" customFormat="1" ht="11.25" x14ac:dyDescent="0.25">
      <c r="D205" s="122"/>
    </row>
    <row r="206" spans="4:4" s="70" customFormat="1" ht="11.25" x14ac:dyDescent="0.25">
      <c r="D206" s="122"/>
    </row>
    <row r="207" spans="4:4" s="70" customFormat="1" ht="11.25" x14ac:dyDescent="0.25">
      <c r="D207" s="122"/>
    </row>
    <row r="208" spans="4:4" s="70" customFormat="1" ht="11.25" x14ac:dyDescent="0.25">
      <c r="D208" s="122"/>
    </row>
    <row r="209" spans="4:4" s="70" customFormat="1" ht="11.25" x14ac:dyDescent="0.25">
      <c r="D209" s="122"/>
    </row>
    <row r="210" spans="4:4" s="70" customFormat="1" ht="11.25" x14ac:dyDescent="0.25">
      <c r="D210" s="122"/>
    </row>
    <row r="211" spans="4:4" s="70" customFormat="1" ht="11.25" x14ac:dyDescent="0.25">
      <c r="D211" s="122"/>
    </row>
    <row r="212" spans="4:4" s="70" customFormat="1" ht="11.25" x14ac:dyDescent="0.25">
      <c r="D212" s="122"/>
    </row>
    <row r="213" spans="4:4" s="70" customFormat="1" ht="11.25" x14ac:dyDescent="0.25">
      <c r="D213" s="122"/>
    </row>
    <row r="214" spans="4:4" s="70" customFormat="1" ht="11.25" x14ac:dyDescent="0.25">
      <c r="D214" s="122"/>
    </row>
    <row r="215" spans="4:4" s="70" customFormat="1" ht="11.25" x14ac:dyDescent="0.25">
      <c r="D215" s="122"/>
    </row>
    <row r="216" spans="4:4" s="70" customFormat="1" ht="11.25" x14ac:dyDescent="0.25">
      <c r="D216" s="122"/>
    </row>
    <row r="217" spans="4:4" s="70" customFormat="1" ht="11.25" x14ac:dyDescent="0.25">
      <c r="D217" s="122"/>
    </row>
    <row r="218" spans="4:4" s="70" customFormat="1" ht="11.25" x14ac:dyDescent="0.25">
      <c r="D218" s="122"/>
    </row>
    <row r="219" spans="4:4" s="70" customFormat="1" ht="11.25" x14ac:dyDescent="0.25">
      <c r="D219" s="122"/>
    </row>
    <row r="220" spans="4:4" s="70" customFormat="1" ht="11.25" x14ac:dyDescent="0.25">
      <c r="D220" s="122"/>
    </row>
    <row r="221" spans="4:4" s="70" customFormat="1" ht="11.25" x14ac:dyDescent="0.25">
      <c r="D221" s="122"/>
    </row>
    <row r="222" spans="4:4" s="70" customFormat="1" ht="11.25" x14ac:dyDescent="0.25">
      <c r="D222" s="122"/>
    </row>
    <row r="223" spans="4:4" s="70" customFormat="1" ht="11.25" x14ac:dyDescent="0.25">
      <c r="D223" s="122"/>
    </row>
    <row r="224" spans="4:4" s="70" customFormat="1" ht="11.25" x14ac:dyDescent="0.25">
      <c r="D224" s="122"/>
    </row>
    <row r="225" spans="4:4" s="70" customFormat="1" ht="11.25" x14ac:dyDescent="0.25">
      <c r="D225" s="122"/>
    </row>
    <row r="226" spans="4:4" s="70" customFormat="1" ht="11.25" x14ac:dyDescent="0.25">
      <c r="D226" s="122"/>
    </row>
    <row r="227" spans="4:4" s="70" customFormat="1" ht="11.25" x14ac:dyDescent="0.25">
      <c r="D227" s="122"/>
    </row>
    <row r="228" spans="4:4" s="70" customFormat="1" ht="11.25" x14ac:dyDescent="0.25">
      <c r="D228" s="122"/>
    </row>
    <row r="229" spans="4:4" s="70" customFormat="1" ht="11.25" x14ac:dyDescent="0.25">
      <c r="D229" s="122"/>
    </row>
    <row r="230" spans="4:4" s="70" customFormat="1" ht="11.25" x14ac:dyDescent="0.25">
      <c r="D230" s="122"/>
    </row>
    <row r="231" spans="4:4" s="70" customFormat="1" ht="11.25" x14ac:dyDescent="0.25">
      <c r="D231" s="122"/>
    </row>
    <row r="232" spans="4:4" s="70" customFormat="1" ht="11.25" x14ac:dyDescent="0.25">
      <c r="D232" s="122"/>
    </row>
    <row r="233" spans="4:4" s="70" customFormat="1" ht="11.25" x14ac:dyDescent="0.25">
      <c r="D233" s="122"/>
    </row>
    <row r="234" spans="4:4" s="70" customFormat="1" ht="11.25" x14ac:dyDescent="0.25">
      <c r="D234" s="122"/>
    </row>
    <row r="235" spans="4:4" s="70" customFormat="1" ht="11.25" x14ac:dyDescent="0.25">
      <c r="D235" s="122"/>
    </row>
    <row r="236" spans="4:4" s="70" customFormat="1" ht="11.25" x14ac:dyDescent="0.25">
      <c r="D236" s="122"/>
    </row>
    <row r="237" spans="4:4" s="70" customFormat="1" ht="11.25" x14ac:dyDescent="0.25">
      <c r="D237" s="122"/>
    </row>
    <row r="238" spans="4:4" s="70" customFormat="1" ht="11.25" x14ac:dyDescent="0.25">
      <c r="D238" s="122"/>
    </row>
    <row r="239" spans="4:4" s="70" customFormat="1" ht="11.25" x14ac:dyDescent="0.25">
      <c r="D239" s="122"/>
    </row>
    <row r="240" spans="4:4" s="70" customFormat="1" ht="11.25" x14ac:dyDescent="0.25">
      <c r="D240" s="122"/>
    </row>
    <row r="241" spans="4:4" s="70" customFormat="1" ht="11.25" x14ac:dyDescent="0.25">
      <c r="D241" s="122"/>
    </row>
    <row r="242" spans="4:4" s="70" customFormat="1" ht="11.25" x14ac:dyDescent="0.25">
      <c r="D242" s="122"/>
    </row>
    <row r="243" spans="4:4" s="70" customFormat="1" ht="11.25" x14ac:dyDescent="0.25">
      <c r="D243" s="122"/>
    </row>
    <row r="244" spans="4:4" s="70" customFormat="1" ht="11.25" x14ac:dyDescent="0.25">
      <c r="D244" s="122"/>
    </row>
    <row r="245" spans="4:4" s="70" customFormat="1" ht="11.25" x14ac:dyDescent="0.25">
      <c r="D245" s="122"/>
    </row>
    <row r="246" spans="4:4" s="70" customFormat="1" ht="11.25" x14ac:dyDescent="0.25">
      <c r="D246" s="122"/>
    </row>
    <row r="247" spans="4:4" s="70" customFormat="1" ht="11.25" x14ac:dyDescent="0.25">
      <c r="D247" s="122"/>
    </row>
    <row r="248" spans="4:4" s="70" customFormat="1" ht="11.25" x14ac:dyDescent="0.25">
      <c r="D248" s="122"/>
    </row>
    <row r="249" spans="4:4" s="70" customFormat="1" ht="11.25" x14ac:dyDescent="0.25">
      <c r="D249" s="122"/>
    </row>
    <row r="250" spans="4:4" s="70" customFormat="1" ht="11.25" x14ac:dyDescent="0.25">
      <c r="D250" s="122"/>
    </row>
    <row r="251" spans="4:4" s="70" customFormat="1" ht="11.25" x14ac:dyDescent="0.25">
      <c r="D251" s="122"/>
    </row>
    <row r="252" spans="4:4" s="70" customFormat="1" ht="11.25" x14ac:dyDescent="0.25">
      <c r="D252" s="122"/>
    </row>
    <row r="253" spans="4:4" s="70" customFormat="1" ht="11.25" x14ac:dyDescent="0.25">
      <c r="D253" s="122"/>
    </row>
    <row r="254" spans="4:4" s="70" customFormat="1" ht="11.25" x14ac:dyDescent="0.25">
      <c r="D254" s="122"/>
    </row>
    <row r="255" spans="4:4" s="70" customFormat="1" ht="11.25" x14ac:dyDescent="0.25">
      <c r="D255" s="122"/>
    </row>
    <row r="256" spans="4:4" s="70" customFormat="1" ht="11.25" x14ac:dyDescent="0.25">
      <c r="D256" s="122"/>
    </row>
    <row r="257" spans="4:4" s="70" customFormat="1" ht="11.25" x14ac:dyDescent="0.25">
      <c r="D257" s="122"/>
    </row>
    <row r="258" spans="4:4" s="70" customFormat="1" ht="11.25" x14ac:dyDescent="0.25">
      <c r="D258" s="122"/>
    </row>
    <row r="259" spans="4:4" s="70" customFormat="1" ht="11.25" x14ac:dyDescent="0.25">
      <c r="D259" s="122"/>
    </row>
    <row r="260" spans="4:4" s="70" customFormat="1" ht="11.25" x14ac:dyDescent="0.25">
      <c r="D260" s="122"/>
    </row>
    <row r="261" spans="4:4" s="70" customFormat="1" ht="11.25" x14ac:dyDescent="0.25">
      <c r="D261" s="122"/>
    </row>
    <row r="262" spans="4:4" s="70" customFormat="1" ht="11.25" x14ac:dyDescent="0.25">
      <c r="D262" s="122"/>
    </row>
    <row r="263" spans="4:4" s="70" customFormat="1" ht="11.25" x14ac:dyDescent="0.25">
      <c r="D263" s="122"/>
    </row>
    <row r="264" spans="4:4" s="70" customFormat="1" ht="11.25" x14ac:dyDescent="0.25">
      <c r="D264" s="122"/>
    </row>
    <row r="265" spans="4:4" s="70" customFormat="1" ht="11.25" x14ac:dyDescent="0.25">
      <c r="D265" s="122"/>
    </row>
    <row r="266" spans="4:4" s="70" customFormat="1" ht="11.25" x14ac:dyDescent="0.25">
      <c r="D266" s="122"/>
    </row>
    <row r="267" spans="4:4" s="70" customFormat="1" ht="11.25" x14ac:dyDescent="0.25">
      <c r="D267" s="122"/>
    </row>
    <row r="268" spans="4:4" s="70" customFormat="1" ht="11.25" x14ac:dyDescent="0.25">
      <c r="D268" s="122"/>
    </row>
    <row r="269" spans="4:4" s="70" customFormat="1" ht="11.25" x14ac:dyDescent="0.25">
      <c r="D269" s="122"/>
    </row>
    <row r="270" spans="4:4" s="70" customFormat="1" ht="11.25" x14ac:dyDescent="0.25">
      <c r="D270" s="122"/>
    </row>
    <row r="271" spans="4:4" s="70" customFormat="1" ht="11.25" x14ac:dyDescent="0.25">
      <c r="D271" s="122"/>
    </row>
    <row r="272" spans="4:4" s="70" customFormat="1" ht="11.25" x14ac:dyDescent="0.25">
      <c r="D272" s="122"/>
    </row>
    <row r="273" spans="4:4" s="70" customFormat="1" ht="11.25" x14ac:dyDescent="0.25">
      <c r="D273" s="122"/>
    </row>
    <row r="274" spans="4:4" s="70" customFormat="1" ht="11.25" x14ac:dyDescent="0.25">
      <c r="D274" s="122"/>
    </row>
    <row r="275" spans="4:4" s="70" customFormat="1" ht="11.25" x14ac:dyDescent="0.25">
      <c r="D275" s="122"/>
    </row>
    <row r="276" spans="4:4" s="70" customFormat="1" ht="11.25" x14ac:dyDescent="0.25">
      <c r="D276" s="122"/>
    </row>
    <row r="277" spans="4:4" s="70" customFormat="1" ht="11.25" x14ac:dyDescent="0.25">
      <c r="D277" s="122"/>
    </row>
    <row r="278" spans="4:4" s="70" customFormat="1" ht="11.25" x14ac:dyDescent="0.25">
      <c r="D278" s="122"/>
    </row>
    <row r="279" spans="4:4" s="70" customFormat="1" ht="11.25" x14ac:dyDescent="0.25">
      <c r="D279" s="122"/>
    </row>
    <row r="280" spans="4:4" s="70" customFormat="1" ht="11.25" x14ac:dyDescent="0.25">
      <c r="D280" s="122"/>
    </row>
    <row r="281" spans="4:4" s="70" customFormat="1" ht="11.25" x14ac:dyDescent="0.25">
      <c r="D281" s="122"/>
    </row>
    <row r="282" spans="4:4" s="70" customFormat="1" ht="11.25" x14ac:dyDescent="0.25">
      <c r="D282" s="122"/>
    </row>
    <row r="283" spans="4:4" s="70" customFormat="1" ht="11.25" x14ac:dyDescent="0.25">
      <c r="D283" s="122"/>
    </row>
    <row r="284" spans="4:4" s="70" customFormat="1" ht="11.25" x14ac:dyDescent="0.25">
      <c r="D284" s="122"/>
    </row>
    <row r="285" spans="4:4" s="70" customFormat="1" ht="11.25" x14ac:dyDescent="0.25">
      <c r="D285" s="122"/>
    </row>
    <row r="286" spans="4:4" s="70" customFormat="1" ht="11.25" x14ac:dyDescent="0.25">
      <c r="D286" s="122"/>
    </row>
    <row r="287" spans="4:4" s="70" customFormat="1" ht="11.25" x14ac:dyDescent="0.25">
      <c r="D287" s="122"/>
    </row>
    <row r="288" spans="4:4" s="70" customFormat="1" ht="11.25" x14ac:dyDescent="0.25">
      <c r="D288" s="122"/>
    </row>
    <row r="289" spans="4:4" s="70" customFormat="1" ht="11.25" x14ac:dyDescent="0.25">
      <c r="D289" s="122"/>
    </row>
    <row r="290" spans="4:4" s="70" customFormat="1" ht="11.25" x14ac:dyDescent="0.25">
      <c r="D290" s="122"/>
    </row>
    <row r="291" spans="4:4" s="70" customFormat="1" ht="11.25" x14ac:dyDescent="0.25">
      <c r="D291" s="122"/>
    </row>
    <row r="292" spans="4:4" s="70" customFormat="1" ht="11.25" x14ac:dyDescent="0.25">
      <c r="D292" s="122"/>
    </row>
    <row r="293" spans="4:4" s="70" customFormat="1" ht="11.25" x14ac:dyDescent="0.25">
      <c r="D293" s="122"/>
    </row>
    <row r="294" spans="4:4" s="70" customFormat="1" ht="11.25" x14ac:dyDescent="0.25">
      <c r="D294" s="122"/>
    </row>
    <row r="295" spans="4:4" s="70" customFormat="1" ht="11.25" x14ac:dyDescent="0.25">
      <c r="D295" s="122"/>
    </row>
    <row r="296" spans="4:4" s="70" customFormat="1" ht="11.25" x14ac:dyDescent="0.25">
      <c r="D296" s="122"/>
    </row>
    <row r="297" spans="4:4" s="70" customFormat="1" ht="11.25" x14ac:dyDescent="0.25">
      <c r="D297" s="122"/>
    </row>
    <row r="298" spans="4:4" s="70" customFormat="1" ht="11.25" x14ac:dyDescent="0.25">
      <c r="D298" s="122"/>
    </row>
    <row r="299" spans="4:4" s="70" customFormat="1" ht="11.25" x14ac:dyDescent="0.25">
      <c r="D299" s="122"/>
    </row>
    <row r="300" spans="4:4" s="70" customFormat="1" ht="11.25" x14ac:dyDescent="0.25">
      <c r="D300" s="122"/>
    </row>
    <row r="301" spans="4:4" s="70" customFormat="1" ht="11.25" x14ac:dyDescent="0.25">
      <c r="D301" s="122"/>
    </row>
    <row r="302" spans="4:4" s="70" customFormat="1" ht="11.25" x14ac:dyDescent="0.25">
      <c r="D302" s="122"/>
    </row>
    <row r="303" spans="4:4" s="70" customFormat="1" ht="11.25" x14ac:dyDescent="0.25">
      <c r="D303" s="122"/>
    </row>
    <row r="304" spans="4:4" s="70" customFormat="1" ht="11.25" x14ac:dyDescent="0.25">
      <c r="D304" s="122"/>
    </row>
    <row r="305" spans="4:4" s="70" customFormat="1" ht="11.25" x14ac:dyDescent="0.25">
      <c r="D305" s="122"/>
    </row>
    <row r="306" spans="4:4" s="70" customFormat="1" ht="11.25" x14ac:dyDescent="0.25">
      <c r="D306" s="122"/>
    </row>
    <row r="307" spans="4:4" s="70" customFormat="1" ht="11.25" x14ac:dyDescent="0.25">
      <c r="D307" s="122"/>
    </row>
    <row r="308" spans="4:4" s="70" customFormat="1" ht="11.25" x14ac:dyDescent="0.25">
      <c r="D308" s="122"/>
    </row>
    <row r="309" spans="4:4" s="70" customFormat="1" ht="11.25" x14ac:dyDescent="0.25">
      <c r="D309" s="122"/>
    </row>
    <row r="310" spans="4:4" s="70" customFormat="1" ht="11.25" x14ac:dyDescent="0.25">
      <c r="D310" s="122"/>
    </row>
    <row r="311" spans="4:4" s="70" customFormat="1" ht="11.25" x14ac:dyDescent="0.25">
      <c r="D311" s="122"/>
    </row>
    <row r="312" spans="4:4" s="70" customFormat="1" ht="11.25" x14ac:dyDescent="0.25">
      <c r="D312" s="122"/>
    </row>
    <row r="313" spans="4:4" s="70" customFormat="1" ht="11.25" x14ac:dyDescent="0.25">
      <c r="D313" s="122"/>
    </row>
    <row r="314" spans="4:4" s="70" customFormat="1" ht="11.25" x14ac:dyDescent="0.25">
      <c r="D314" s="122"/>
    </row>
    <row r="315" spans="4:4" s="70" customFormat="1" ht="11.25" x14ac:dyDescent="0.25">
      <c r="D315" s="122"/>
    </row>
    <row r="316" spans="4:4" s="70" customFormat="1" ht="11.25" x14ac:dyDescent="0.25">
      <c r="D316" s="122"/>
    </row>
    <row r="317" spans="4:4" s="70" customFormat="1" ht="11.25" x14ac:dyDescent="0.25">
      <c r="D317" s="122"/>
    </row>
    <row r="318" spans="4:4" s="70" customFormat="1" ht="11.25" x14ac:dyDescent="0.25">
      <c r="D318" s="122"/>
    </row>
    <row r="319" spans="4:4" s="70" customFormat="1" ht="11.25" x14ac:dyDescent="0.25">
      <c r="D319" s="122"/>
    </row>
    <row r="320" spans="4:4" s="70" customFormat="1" ht="11.25" x14ac:dyDescent="0.25">
      <c r="D320" s="122"/>
    </row>
    <row r="321" spans="4:4" s="70" customFormat="1" ht="11.25" x14ac:dyDescent="0.25">
      <c r="D321" s="122"/>
    </row>
    <row r="322" spans="4:4" s="70" customFormat="1" ht="11.25" x14ac:dyDescent="0.25">
      <c r="D322" s="122"/>
    </row>
    <row r="323" spans="4:4" s="70" customFormat="1" ht="11.25" x14ac:dyDescent="0.25">
      <c r="D323" s="122"/>
    </row>
    <row r="324" spans="4:4" s="70" customFormat="1" ht="11.25" x14ac:dyDescent="0.25">
      <c r="D324" s="122"/>
    </row>
    <row r="325" spans="4:4" s="70" customFormat="1" ht="11.25" x14ac:dyDescent="0.25">
      <c r="D325" s="122"/>
    </row>
    <row r="326" spans="4:4" s="70" customFormat="1" ht="11.25" x14ac:dyDescent="0.25">
      <c r="D326" s="122"/>
    </row>
    <row r="327" spans="4:4" s="70" customFormat="1" ht="11.25" x14ac:dyDescent="0.25">
      <c r="D327" s="122"/>
    </row>
    <row r="328" spans="4:4" s="70" customFormat="1" ht="11.25" x14ac:dyDescent="0.25">
      <c r="D328" s="122"/>
    </row>
    <row r="329" spans="4:4" s="70" customFormat="1" ht="11.25" x14ac:dyDescent="0.25">
      <c r="D329" s="122"/>
    </row>
    <row r="330" spans="4:4" s="70" customFormat="1" ht="11.25" x14ac:dyDescent="0.25">
      <c r="D330" s="122"/>
    </row>
    <row r="331" spans="4:4" s="70" customFormat="1" ht="11.25" x14ac:dyDescent="0.25">
      <c r="D331" s="122"/>
    </row>
    <row r="332" spans="4:4" s="70" customFormat="1" ht="11.25" x14ac:dyDescent="0.25">
      <c r="D332" s="122"/>
    </row>
    <row r="333" spans="4:4" s="70" customFormat="1" ht="11.25" x14ac:dyDescent="0.25">
      <c r="D333" s="122"/>
    </row>
    <row r="334" spans="4:4" s="70" customFormat="1" ht="11.25" x14ac:dyDescent="0.25">
      <c r="D334" s="122"/>
    </row>
    <row r="335" spans="4:4" s="70" customFormat="1" ht="11.25" x14ac:dyDescent="0.25">
      <c r="D335" s="122"/>
    </row>
    <row r="336" spans="4:4" s="70" customFormat="1" ht="11.25" x14ac:dyDescent="0.25">
      <c r="D336" s="122"/>
    </row>
    <row r="337" spans="4:4" s="70" customFormat="1" ht="11.25" x14ac:dyDescent="0.25">
      <c r="D337" s="122"/>
    </row>
    <row r="338" spans="4:4" s="70" customFormat="1" ht="11.25" x14ac:dyDescent="0.25">
      <c r="D338" s="122"/>
    </row>
    <row r="339" spans="4:4" s="70" customFormat="1" ht="11.25" x14ac:dyDescent="0.25">
      <c r="D339" s="122"/>
    </row>
    <row r="340" spans="4:4" s="70" customFormat="1" ht="11.25" x14ac:dyDescent="0.25">
      <c r="D340" s="122"/>
    </row>
    <row r="341" spans="4:4" s="70" customFormat="1" ht="11.25" x14ac:dyDescent="0.25">
      <c r="D341" s="122"/>
    </row>
    <row r="342" spans="4:4" s="70" customFormat="1" ht="11.25" x14ac:dyDescent="0.25">
      <c r="D342" s="122"/>
    </row>
    <row r="343" spans="4:4" s="70" customFormat="1" ht="11.25" x14ac:dyDescent="0.25">
      <c r="D343" s="122"/>
    </row>
    <row r="344" spans="4:4" s="70" customFormat="1" ht="11.25" x14ac:dyDescent="0.25">
      <c r="D344" s="122"/>
    </row>
    <row r="345" spans="4:4" s="70" customFormat="1" ht="11.25" x14ac:dyDescent="0.25">
      <c r="D345" s="122"/>
    </row>
    <row r="346" spans="4:4" s="70" customFormat="1" ht="11.25" x14ac:dyDescent="0.25">
      <c r="D346" s="122"/>
    </row>
    <row r="347" spans="4:4" s="70" customFormat="1" ht="11.25" x14ac:dyDescent="0.25">
      <c r="D347" s="122"/>
    </row>
    <row r="348" spans="4:4" s="70" customFormat="1" ht="11.25" x14ac:dyDescent="0.25">
      <c r="D348" s="122"/>
    </row>
    <row r="349" spans="4:4" s="70" customFormat="1" ht="11.25" x14ac:dyDescent="0.25">
      <c r="D349" s="122"/>
    </row>
    <row r="350" spans="4:4" s="70" customFormat="1" ht="11.25" x14ac:dyDescent="0.25">
      <c r="D350" s="122"/>
    </row>
    <row r="351" spans="4:4" s="70" customFormat="1" ht="11.25" x14ac:dyDescent="0.25">
      <c r="D351" s="122"/>
    </row>
    <row r="352" spans="4:4" s="70" customFormat="1" ht="11.25" x14ac:dyDescent="0.25">
      <c r="D352" s="122"/>
    </row>
    <row r="353" spans="4:4" s="70" customFormat="1" ht="11.25" x14ac:dyDescent="0.25">
      <c r="D353" s="122"/>
    </row>
    <row r="354" spans="4:4" s="70" customFormat="1" ht="11.25" x14ac:dyDescent="0.25">
      <c r="D354" s="122"/>
    </row>
    <row r="355" spans="4:4" s="70" customFormat="1" ht="11.25" x14ac:dyDescent="0.25">
      <c r="D355" s="122"/>
    </row>
    <row r="356" spans="4:4" s="70" customFormat="1" ht="11.25" x14ac:dyDescent="0.25">
      <c r="D356" s="122"/>
    </row>
    <row r="357" spans="4:4" s="70" customFormat="1" ht="11.25" x14ac:dyDescent="0.25">
      <c r="D357" s="122"/>
    </row>
    <row r="358" spans="4:4" s="70" customFormat="1" ht="11.25" x14ac:dyDescent="0.25">
      <c r="D358" s="122"/>
    </row>
    <row r="359" spans="4:4" s="70" customFormat="1" ht="11.25" x14ac:dyDescent="0.25">
      <c r="D359" s="122"/>
    </row>
    <row r="360" spans="4:4" s="70" customFormat="1" ht="11.25" x14ac:dyDescent="0.25">
      <c r="D360" s="122"/>
    </row>
    <row r="361" spans="4:4" s="70" customFormat="1" ht="11.25" x14ac:dyDescent="0.25">
      <c r="D361" s="122"/>
    </row>
    <row r="362" spans="4:4" s="70" customFormat="1" ht="11.25" x14ac:dyDescent="0.25">
      <c r="D362" s="122"/>
    </row>
    <row r="363" spans="4:4" s="70" customFormat="1" ht="11.25" x14ac:dyDescent="0.25">
      <c r="D363" s="122"/>
    </row>
    <row r="364" spans="4:4" s="70" customFormat="1" ht="11.25" x14ac:dyDescent="0.25">
      <c r="D364" s="122"/>
    </row>
    <row r="365" spans="4:4" s="70" customFormat="1" ht="11.25" x14ac:dyDescent="0.25">
      <c r="D365" s="122"/>
    </row>
    <row r="366" spans="4:4" s="70" customFormat="1" ht="11.25" x14ac:dyDescent="0.25">
      <c r="D366" s="122"/>
    </row>
    <row r="367" spans="4:4" s="70" customFormat="1" ht="11.25" x14ac:dyDescent="0.25">
      <c r="D367" s="122"/>
    </row>
    <row r="368" spans="4:4" s="70" customFormat="1" ht="11.25" x14ac:dyDescent="0.25">
      <c r="D368" s="122"/>
    </row>
    <row r="369" spans="4:4" s="70" customFormat="1" ht="11.25" x14ac:dyDescent="0.25">
      <c r="D369" s="122"/>
    </row>
    <row r="370" spans="4:4" s="70" customFormat="1" ht="11.25" x14ac:dyDescent="0.25">
      <c r="D370" s="122"/>
    </row>
    <row r="371" spans="4:4" s="70" customFormat="1" ht="11.25" x14ac:dyDescent="0.25">
      <c r="D371" s="122"/>
    </row>
    <row r="372" spans="4:4" s="70" customFormat="1" ht="11.25" x14ac:dyDescent="0.25">
      <c r="D372" s="122"/>
    </row>
    <row r="373" spans="4:4" s="70" customFormat="1" ht="11.25" x14ac:dyDescent="0.25">
      <c r="D373" s="122"/>
    </row>
    <row r="374" spans="4:4" s="70" customFormat="1" ht="11.25" x14ac:dyDescent="0.25">
      <c r="D374" s="122"/>
    </row>
    <row r="375" spans="4:4" s="70" customFormat="1" ht="11.25" x14ac:dyDescent="0.25">
      <c r="D375" s="122"/>
    </row>
    <row r="376" spans="4:4" s="70" customFormat="1" ht="11.25" x14ac:dyDescent="0.25">
      <c r="D376" s="122"/>
    </row>
    <row r="377" spans="4:4" s="70" customFormat="1" ht="11.25" x14ac:dyDescent="0.25">
      <c r="D377" s="122"/>
    </row>
    <row r="378" spans="4:4" s="70" customFormat="1" ht="11.25" x14ac:dyDescent="0.25">
      <c r="D378" s="122"/>
    </row>
    <row r="379" spans="4:4" s="70" customFormat="1" ht="11.25" x14ac:dyDescent="0.25">
      <c r="D379" s="122"/>
    </row>
    <row r="380" spans="4:4" s="70" customFormat="1" ht="11.25" x14ac:dyDescent="0.25">
      <c r="D380" s="122"/>
    </row>
    <row r="381" spans="4:4" s="70" customFormat="1" ht="11.25" x14ac:dyDescent="0.25">
      <c r="D381" s="122"/>
    </row>
    <row r="382" spans="4:4" s="70" customFormat="1" ht="11.25" x14ac:dyDescent="0.25">
      <c r="D382" s="122"/>
    </row>
    <row r="383" spans="4:4" s="70" customFormat="1" ht="11.25" x14ac:dyDescent="0.25">
      <c r="D383" s="122"/>
    </row>
    <row r="384" spans="4:4" s="70" customFormat="1" ht="11.25" x14ac:dyDescent="0.25">
      <c r="D384" s="122"/>
    </row>
    <row r="385" spans="4:4" s="70" customFormat="1" ht="11.25" x14ac:dyDescent="0.25">
      <c r="D385" s="122"/>
    </row>
    <row r="386" spans="4:4" s="70" customFormat="1" ht="11.25" x14ac:dyDescent="0.25">
      <c r="D386" s="122"/>
    </row>
    <row r="387" spans="4:4" s="70" customFormat="1" ht="11.25" x14ac:dyDescent="0.25">
      <c r="D387" s="122"/>
    </row>
    <row r="388" spans="4:4" s="70" customFormat="1" ht="11.25" x14ac:dyDescent="0.25">
      <c r="D388" s="122"/>
    </row>
    <row r="389" spans="4:4" s="70" customFormat="1" ht="11.25" x14ac:dyDescent="0.25">
      <c r="D389" s="122"/>
    </row>
    <row r="390" spans="4:4" s="70" customFormat="1" ht="11.25" x14ac:dyDescent="0.25">
      <c r="D390" s="122"/>
    </row>
    <row r="391" spans="4:4" s="70" customFormat="1" ht="11.25" x14ac:dyDescent="0.25">
      <c r="D391" s="122"/>
    </row>
    <row r="392" spans="4:4" s="70" customFormat="1" ht="11.25" x14ac:dyDescent="0.25">
      <c r="D392" s="122"/>
    </row>
    <row r="393" spans="4:4" s="70" customFormat="1" ht="11.25" x14ac:dyDescent="0.25">
      <c r="D393" s="122"/>
    </row>
    <row r="394" spans="4:4" s="70" customFormat="1" ht="11.25" x14ac:dyDescent="0.25">
      <c r="D394" s="122"/>
    </row>
    <row r="395" spans="4:4" s="70" customFormat="1" ht="11.25" x14ac:dyDescent="0.25">
      <c r="D395" s="122"/>
    </row>
    <row r="396" spans="4:4" s="70" customFormat="1" ht="11.25" x14ac:dyDescent="0.25">
      <c r="D396" s="122"/>
    </row>
    <row r="397" spans="4:4" s="70" customFormat="1" ht="11.25" x14ac:dyDescent="0.25">
      <c r="D397" s="122"/>
    </row>
    <row r="398" spans="4:4" s="70" customFormat="1" ht="11.25" x14ac:dyDescent="0.25">
      <c r="D398" s="122"/>
    </row>
    <row r="399" spans="4:4" s="70" customFormat="1" ht="11.25" x14ac:dyDescent="0.25">
      <c r="D399" s="122"/>
    </row>
    <row r="400" spans="4:4" s="70" customFormat="1" ht="11.25" x14ac:dyDescent="0.25">
      <c r="D400" s="122"/>
    </row>
    <row r="401" spans="4:4" s="70" customFormat="1" ht="11.25" x14ac:dyDescent="0.25">
      <c r="D401" s="122"/>
    </row>
    <row r="402" spans="4:4" s="70" customFormat="1" ht="11.25" x14ac:dyDescent="0.25">
      <c r="D402" s="122"/>
    </row>
    <row r="403" spans="4:4" s="70" customFormat="1" ht="11.25" x14ac:dyDescent="0.25">
      <c r="D403" s="122"/>
    </row>
    <row r="404" spans="4:4" s="70" customFormat="1" ht="11.25" x14ac:dyDescent="0.25">
      <c r="D404" s="122"/>
    </row>
    <row r="405" spans="4:4" s="70" customFormat="1" ht="11.25" x14ac:dyDescent="0.25">
      <c r="D405" s="122"/>
    </row>
    <row r="406" spans="4:4" s="70" customFormat="1" ht="11.25" x14ac:dyDescent="0.25">
      <c r="D406" s="122"/>
    </row>
    <row r="407" spans="4:4" s="70" customFormat="1" ht="11.25" x14ac:dyDescent="0.25">
      <c r="D407" s="122"/>
    </row>
    <row r="408" spans="4:4" s="70" customFormat="1" ht="11.25" x14ac:dyDescent="0.25">
      <c r="D408" s="122"/>
    </row>
    <row r="409" spans="4:4" s="70" customFormat="1" ht="11.25" x14ac:dyDescent="0.25">
      <c r="D409" s="122"/>
    </row>
    <row r="410" spans="4:4" s="70" customFormat="1" ht="11.25" x14ac:dyDescent="0.25">
      <c r="D410" s="122"/>
    </row>
    <row r="411" spans="4:4" s="70" customFormat="1" ht="11.25" x14ac:dyDescent="0.25">
      <c r="D411" s="122"/>
    </row>
    <row r="412" spans="4:4" s="70" customFormat="1" ht="11.25" x14ac:dyDescent="0.25">
      <c r="D412" s="122"/>
    </row>
    <row r="413" spans="4:4" s="70" customFormat="1" ht="11.25" x14ac:dyDescent="0.25">
      <c r="D413" s="122"/>
    </row>
    <row r="414" spans="4:4" s="70" customFormat="1" ht="11.25" x14ac:dyDescent="0.25">
      <c r="D414" s="122"/>
    </row>
    <row r="415" spans="4:4" s="70" customFormat="1" ht="11.25" x14ac:dyDescent="0.25">
      <c r="D415" s="122"/>
    </row>
    <row r="416" spans="4:4" s="70" customFormat="1" ht="11.25" x14ac:dyDescent="0.25">
      <c r="D416" s="122"/>
    </row>
    <row r="417" spans="4:4" s="70" customFormat="1" ht="11.25" x14ac:dyDescent="0.25">
      <c r="D417" s="122"/>
    </row>
    <row r="418" spans="4:4" s="70" customFormat="1" ht="11.25" x14ac:dyDescent="0.25">
      <c r="D418" s="122"/>
    </row>
    <row r="419" spans="4:4" s="70" customFormat="1" ht="11.25" x14ac:dyDescent="0.25">
      <c r="D419" s="122"/>
    </row>
    <row r="420" spans="4:4" s="70" customFormat="1" ht="11.25" x14ac:dyDescent="0.25">
      <c r="D420" s="122"/>
    </row>
    <row r="421" spans="4:4" s="70" customFormat="1" ht="11.25" x14ac:dyDescent="0.25">
      <c r="D421" s="122"/>
    </row>
    <row r="422" spans="4:4" s="70" customFormat="1" ht="11.25" x14ac:dyDescent="0.25">
      <c r="D422" s="122"/>
    </row>
    <row r="423" spans="4:4" s="70" customFormat="1" ht="11.25" x14ac:dyDescent="0.25">
      <c r="D423" s="122"/>
    </row>
    <row r="424" spans="4:4" s="70" customFormat="1" ht="11.25" x14ac:dyDescent="0.25">
      <c r="D424" s="122"/>
    </row>
    <row r="425" spans="4:4" s="70" customFormat="1" ht="11.25" x14ac:dyDescent="0.25">
      <c r="D425" s="122"/>
    </row>
    <row r="426" spans="4:4" s="70" customFormat="1" ht="11.25" x14ac:dyDescent="0.25">
      <c r="D426" s="122"/>
    </row>
    <row r="427" spans="4:4" s="70" customFormat="1" ht="11.25" x14ac:dyDescent="0.25">
      <c r="D427" s="122"/>
    </row>
    <row r="428" spans="4:4" s="70" customFormat="1" ht="11.25" x14ac:dyDescent="0.25">
      <c r="D428" s="122"/>
    </row>
    <row r="429" spans="4:4" s="70" customFormat="1" ht="11.25" x14ac:dyDescent="0.25">
      <c r="D429" s="122"/>
    </row>
    <row r="430" spans="4:4" s="70" customFormat="1" ht="11.25" x14ac:dyDescent="0.25">
      <c r="D430" s="122"/>
    </row>
    <row r="431" spans="4:4" s="70" customFormat="1" ht="11.25" x14ac:dyDescent="0.25">
      <c r="D431" s="122"/>
    </row>
    <row r="432" spans="4:4" s="70" customFormat="1" ht="11.25" x14ac:dyDescent="0.25">
      <c r="D432" s="122"/>
    </row>
    <row r="433" spans="4:4" s="70" customFormat="1" ht="11.25" x14ac:dyDescent="0.25">
      <c r="D433" s="122"/>
    </row>
    <row r="434" spans="4:4" s="70" customFormat="1" ht="11.25" x14ac:dyDescent="0.25">
      <c r="D434" s="122"/>
    </row>
    <row r="435" spans="4:4" s="70" customFormat="1" ht="11.25" x14ac:dyDescent="0.25">
      <c r="D435" s="122"/>
    </row>
    <row r="436" spans="4:4" s="70" customFormat="1" ht="11.25" x14ac:dyDescent="0.25">
      <c r="D436" s="122"/>
    </row>
    <row r="437" spans="4:4" s="70" customFormat="1" ht="11.25" x14ac:dyDescent="0.25">
      <c r="D437" s="122"/>
    </row>
    <row r="438" spans="4:4" s="70" customFormat="1" ht="11.25" x14ac:dyDescent="0.25">
      <c r="D438" s="122"/>
    </row>
    <row r="439" spans="4:4" s="70" customFormat="1" ht="11.25" x14ac:dyDescent="0.25">
      <c r="D439" s="122"/>
    </row>
    <row r="440" spans="4:4" s="70" customFormat="1" ht="11.25" x14ac:dyDescent="0.25">
      <c r="D440" s="122"/>
    </row>
    <row r="441" spans="4:4" s="70" customFormat="1" ht="11.25" x14ac:dyDescent="0.25">
      <c r="D441" s="122"/>
    </row>
    <row r="442" spans="4:4" s="70" customFormat="1" ht="11.25" x14ac:dyDescent="0.25">
      <c r="D442" s="122"/>
    </row>
    <row r="443" spans="4:4" s="70" customFormat="1" ht="11.25" x14ac:dyDescent="0.25">
      <c r="D443" s="122"/>
    </row>
    <row r="444" spans="4:4" s="70" customFormat="1" ht="11.25" x14ac:dyDescent="0.25">
      <c r="D444" s="122"/>
    </row>
    <row r="445" spans="4:4" s="70" customFormat="1" ht="11.25" x14ac:dyDescent="0.25">
      <c r="D445" s="122"/>
    </row>
    <row r="446" spans="4:4" s="70" customFormat="1" ht="11.25" x14ac:dyDescent="0.25">
      <c r="D446" s="122"/>
    </row>
    <row r="447" spans="4:4" s="70" customFormat="1" ht="11.25" x14ac:dyDescent="0.25">
      <c r="D447" s="122"/>
    </row>
    <row r="448" spans="4:4" s="70" customFormat="1" ht="11.25" x14ac:dyDescent="0.25">
      <c r="D448" s="122"/>
    </row>
    <row r="449" spans="1:193" s="70" customFormat="1" ht="11.25" x14ac:dyDescent="0.25">
      <c r="D449" s="122"/>
    </row>
    <row r="450" spans="1:193" s="70" customFormat="1" ht="11.25" x14ac:dyDescent="0.25">
      <c r="D450" s="122"/>
    </row>
    <row r="451" spans="1:193" s="70" customFormat="1" ht="11.25" x14ac:dyDescent="0.25">
      <c r="D451" s="122"/>
    </row>
    <row r="452" spans="1:193" s="70" customFormat="1" ht="11.25" x14ac:dyDescent="0.25">
      <c r="D452" s="122"/>
    </row>
    <row r="453" spans="1:193" s="70" customFormat="1" ht="11.25" x14ac:dyDescent="0.25">
      <c r="D453" s="122"/>
    </row>
    <row r="454" spans="1:193" s="70" customFormat="1" ht="11.25" x14ac:dyDescent="0.25">
      <c r="D454" s="122"/>
    </row>
    <row r="455" spans="1:193" s="70" customFormat="1" ht="11.25" x14ac:dyDescent="0.25">
      <c r="D455" s="122"/>
    </row>
    <row r="456" spans="1:193" s="70" customFormat="1" ht="11.25" x14ac:dyDescent="0.25">
      <c r="D456" s="122"/>
    </row>
    <row r="457" spans="1:193" s="70" customFormat="1" ht="11.25" x14ac:dyDescent="0.25">
      <c r="D457" s="122"/>
    </row>
    <row r="458" spans="1:193" s="70" customFormat="1" ht="11.25" x14ac:dyDescent="0.25">
      <c r="D458" s="122"/>
    </row>
    <row r="459" spans="1:193" s="70" customFormat="1" ht="11.25" x14ac:dyDescent="0.25">
      <c r="D459" s="122"/>
    </row>
    <row r="460" spans="1:193" s="70" customFormat="1" ht="11.25" x14ac:dyDescent="0.25">
      <c r="D460" s="122"/>
    </row>
    <row r="461" spans="1:193" x14ac:dyDescent="0.25">
      <c r="A461" s="70"/>
      <c r="B461" s="70"/>
      <c r="C461" s="70"/>
      <c r="D461" s="122"/>
      <c r="E461" s="70"/>
      <c r="F461" s="70"/>
      <c r="G461" s="70"/>
      <c r="H461" s="70"/>
      <c r="I461" s="70"/>
      <c r="J461" s="70"/>
      <c r="K461" s="70"/>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c r="DV461"/>
      <c r="DW461"/>
      <c r="DX461"/>
      <c r="DY461"/>
      <c r="DZ461"/>
      <c r="EA461"/>
      <c r="EB461"/>
      <c r="EC461"/>
      <c r="ED461"/>
      <c r="EE461"/>
      <c r="EF461"/>
      <c r="EG461"/>
      <c r="EH461"/>
      <c r="EI461"/>
      <c r="EJ461"/>
      <c r="EK461"/>
      <c r="EL461"/>
      <c r="EM461"/>
      <c r="EN461"/>
      <c r="EO461"/>
      <c r="EP461"/>
      <c r="EQ461"/>
      <c r="ER461"/>
      <c r="ES461"/>
      <c r="ET461"/>
      <c r="EU461"/>
      <c r="EV461"/>
      <c r="EW461"/>
      <c r="EX461"/>
      <c r="EY461"/>
      <c r="EZ461"/>
      <c r="FA461"/>
      <c r="FB461"/>
      <c r="FC461"/>
      <c r="FD461"/>
      <c r="FE461"/>
      <c r="FF461"/>
      <c r="FG461"/>
      <c r="FH461"/>
      <c r="FI461"/>
      <c r="FJ461"/>
      <c r="FK461"/>
      <c r="FL461"/>
      <c r="FM461"/>
      <c r="FN461"/>
      <c r="FO461"/>
      <c r="FP461"/>
      <c r="FQ461"/>
      <c r="FR461"/>
      <c r="FS461"/>
      <c r="FT461"/>
      <c r="FU461"/>
      <c r="FV461"/>
      <c r="FW461"/>
      <c r="FX461"/>
      <c r="FY461"/>
      <c r="FZ461"/>
      <c r="GA461"/>
      <c r="GB461"/>
      <c r="GC461"/>
      <c r="GD461"/>
      <c r="GE461"/>
      <c r="GF461"/>
      <c r="GG461"/>
      <c r="GH461"/>
      <c r="GI461"/>
      <c r="GJ461"/>
      <c r="GK461"/>
    </row>
    <row r="462" spans="1:193" x14ac:dyDescent="0.25">
      <c r="A462" s="70"/>
      <c r="B462" s="70"/>
      <c r="C462" s="70"/>
      <c r="D462" s="122"/>
      <c r="E462" s="70"/>
      <c r="F462" s="70"/>
      <c r="G462" s="70"/>
      <c r="H462" s="70"/>
      <c r="I462" s="70"/>
      <c r="J462" s="70"/>
      <c r="K462" s="70"/>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c r="DV462"/>
      <c r="DW462"/>
      <c r="DX462"/>
      <c r="DY462"/>
      <c r="DZ462"/>
      <c r="EA462"/>
      <c r="EB462"/>
      <c r="EC462"/>
      <c r="ED462"/>
      <c r="EE462"/>
      <c r="EF462"/>
      <c r="EG462"/>
      <c r="EH462"/>
      <c r="EI462"/>
      <c r="EJ462"/>
      <c r="EK462"/>
      <c r="EL462"/>
      <c r="EM462"/>
      <c r="EN462"/>
      <c r="EO462"/>
      <c r="EP462"/>
      <c r="EQ462"/>
      <c r="ER462"/>
      <c r="ES462"/>
      <c r="ET462"/>
      <c r="EU462"/>
      <c r="EV462"/>
      <c r="EW462"/>
      <c r="EX462"/>
      <c r="EY462"/>
      <c r="EZ462"/>
      <c r="FA462"/>
      <c r="FB462"/>
      <c r="FC462"/>
      <c r="FD462"/>
      <c r="FE462"/>
      <c r="FF462"/>
      <c r="FG462"/>
      <c r="FH462"/>
      <c r="FI462"/>
      <c r="FJ462"/>
      <c r="FK462"/>
      <c r="FL462"/>
      <c r="FM462"/>
      <c r="FN462"/>
      <c r="FO462"/>
      <c r="FP462"/>
      <c r="FQ462"/>
      <c r="FR462"/>
      <c r="FS462"/>
      <c r="FT462"/>
      <c r="FU462"/>
      <c r="FV462"/>
      <c r="FW462"/>
      <c r="FX462"/>
      <c r="FY462"/>
      <c r="FZ462"/>
      <c r="GA462"/>
      <c r="GB462"/>
      <c r="GC462"/>
      <c r="GD462"/>
      <c r="GE462"/>
      <c r="GF462"/>
      <c r="GG462"/>
      <c r="GH462"/>
      <c r="GI462"/>
      <c r="GJ462"/>
      <c r="GK462"/>
    </row>
    <row r="463" spans="1:193" x14ac:dyDescent="0.25">
      <c r="A463" s="70"/>
      <c r="B463" s="70"/>
      <c r="C463" s="70"/>
      <c r="D463" s="122"/>
      <c r="E463" s="70"/>
      <c r="F463" s="70"/>
      <c r="G463" s="70"/>
      <c r="H463" s="70"/>
      <c r="I463" s="70"/>
      <c r="J463" s="70"/>
      <c r="K463" s="70"/>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c r="EB463"/>
      <c r="EC463"/>
      <c r="ED463"/>
      <c r="EE463"/>
      <c r="EF463"/>
      <c r="EG463"/>
      <c r="EH463"/>
      <c r="EI463"/>
      <c r="EJ463"/>
      <c r="EK463"/>
      <c r="EL463"/>
      <c r="EM463"/>
      <c r="EN463"/>
      <c r="EO463"/>
      <c r="EP463"/>
      <c r="EQ463"/>
      <c r="ER463"/>
      <c r="ES463"/>
      <c r="ET463"/>
      <c r="EU463"/>
      <c r="EV463"/>
      <c r="EW463"/>
      <c r="EX463"/>
      <c r="EY463"/>
      <c r="EZ463"/>
      <c r="FA463"/>
      <c r="FB463"/>
      <c r="FC463"/>
      <c r="FD463"/>
      <c r="FE463"/>
      <c r="FF463"/>
      <c r="FG463"/>
      <c r="FH463"/>
      <c r="FI463"/>
      <c r="FJ463"/>
      <c r="FK463"/>
      <c r="FL463"/>
      <c r="FM463"/>
      <c r="FN463"/>
      <c r="FO463"/>
      <c r="FP463"/>
      <c r="FQ463"/>
      <c r="FR463"/>
      <c r="FS463"/>
      <c r="FT463"/>
      <c r="FU463"/>
      <c r="FV463"/>
      <c r="FW463"/>
      <c r="FX463"/>
      <c r="FY463"/>
      <c r="FZ463"/>
      <c r="GA463"/>
      <c r="GB463"/>
      <c r="GC463"/>
      <c r="GD463"/>
      <c r="GE463"/>
      <c r="GF463"/>
      <c r="GG463"/>
      <c r="GH463"/>
      <c r="GI463"/>
      <c r="GJ463"/>
      <c r="GK463"/>
    </row>
    <row r="464" spans="1:193" x14ac:dyDescent="0.25">
      <c r="A464" s="70"/>
      <c r="B464" s="70"/>
      <c r="C464" s="70"/>
      <c r="D464" s="122"/>
      <c r="E464" s="70"/>
      <c r="F464" s="70"/>
      <c r="G464" s="70"/>
      <c r="H464" s="70"/>
      <c r="I464" s="70"/>
      <c r="J464" s="70"/>
      <c r="K464" s="70"/>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c r="EB464"/>
      <c r="EC464"/>
      <c r="ED464"/>
      <c r="EE464"/>
      <c r="EF464"/>
      <c r="EG464"/>
      <c r="EH464"/>
      <c r="EI464"/>
      <c r="EJ464"/>
      <c r="EK464"/>
      <c r="EL464"/>
      <c r="EM464"/>
      <c r="EN464"/>
      <c r="EO464"/>
      <c r="EP464"/>
      <c r="EQ464"/>
      <c r="ER464"/>
      <c r="ES464"/>
      <c r="ET464"/>
      <c r="EU464"/>
      <c r="EV464"/>
      <c r="EW464"/>
      <c r="EX464"/>
      <c r="EY464"/>
      <c r="EZ464"/>
      <c r="FA464"/>
      <c r="FB464"/>
      <c r="FC464"/>
      <c r="FD464"/>
      <c r="FE464"/>
      <c r="FF464"/>
      <c r="FG464"/>
      <c r="FH464"/>
      <c r="FI464"/>
      <c r="FJ464"/>
      <c r="FK464"/>
      <c r="FL464"/>
      <c r="FM464"/>
      <c r="FN464"/>
      <c r="FO464"/>
      <c r="FP464"/>
      <c r="FQ464"/>
      <c r="FR464"/>
      <c r="FS464"/>
      <c r="FT464"/>
      <c r="FU464"/>
      <c r="FV464"/>
      <c r="FW464"/>
      <c r="FX464"/>
      <c r="FY464"/>
      <c r="FZ464"/>
      <c r="GA464"/>
      <c r="GB464"/>
      <c r="GC464"/>
      <c r="GD464"/>
      <c r="GE464"/>
      <c r="GF464"/>
      <c r="GG464"/>
      <c r="GH464"/>
      <c r="GI464"/>
      <c r="GJ464"/>
      <c r="GK464"/>
    </row>
    <row r="465" spans="1:193" x14ac:dyDescent="0.25">
      <c r="A465" s="70"/>
      <c r="B465" s="70"/>
      <c r="C465" s="70"/>
      <c r="D465" s="122"/>
      <c r="E465" s="70"/>
      <c r="F465" s="70"/>
      <c r="G465" s="70"/>
      <c r="H465" s="70"/>
      <c r="I465" s="70"/>
      <c r="J465" s="70"/>
      <c r="K465" s="70"/>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c r="EB465"/>
      <c r="EC465"/>
      <c r="ED465"/>
      <c r="EE465"/>
      <c r="EF465"/>
      <c r="EG465"/>
      <c r="EH465"/>
      <c r="EI465"/>
      <c r="EJ465"/>
      <c r="EK465"/>
      <c r="EL465"/>
      <c r="EM465"/>
      <c r="EN465"/>
      <c r="EO465"/>
      <c r="EP465"/>
      <c r="EQ465"/>
      <c r="ER465"/>
      <c r="ES465"/>
      <c r="ET465"/>
      <c r="EU465"/>
      <c r="EV465"/>
      <c r="EW465"/>
      <c r="EX465"/>
      <c r="EY465"/>
      <c r="EZ465"/>
      <c r="FA465"/>
      <c r="FB465"/>
      <c r="FC465"/>
      <c r="FD465"/>
      <c r="FE465"/>
      <c r="FF465"/>
      <c r="FG465"/>
      <c r="FH465"/>
      <c r="FI465"/>
      <c r="FJ465"/>
      <c r="FK465"/>
      <c r="FL465"/>
      <c r="FM465"/>
      <c r="FN465"/>
      <c r="FO465"/>
      <c r="FP465"/>
      <c r="FQ465"/>
      <c r="FR465"/>
      <c r="FS465"/>
      <c r="FT465"/>
      <c r="FU465"/>
      <c r="FV465"/>
      <c r="FW465"/>
      <c r="FX465"/>
      <c r="FY465"/>
      <c r="FZ465"/>
      <c r="GA465"/>
      <c r="GB465"/>
      <c r="GC465"/>
      <c r="GD465"/>
      <c r="GE465"/>
      <c r="GF465"/>
      <c r="GG465"/>
      <c r="GH465"/>
      <c r="GI465"/>
      <c r="GJ465"/>
      <c r="GK465"/>
    </row>
  </sheetData>
  <sheetProtection algorithmName="SHA-512" hashValue="yo4Lp8ukUp9z9dC8e6SNHnJeF8Osw1RqnpLA4PVlj95h2oYZpXxFvVohUNHTUStiwCcJvaaGBQhl1FLa4viZ4w==" saltValue="R3pxS3xYdfgJwiTa01dFVw==" spinCount="100000" sheet="1" objects="1" scenarios="1"/>
  <autoFilter ref="A2:K15" xr:uid="{00000000-0009-0000-0000-000003000000}">
    <filterColumn colId="1" showButton="0"/>
    <filterColumn colId="2" showButton="0"/>
    <filterColumn colId="3" showButton="0"/>
  </autoFilter>
  <mergeCells count="134">
    <mergeCell ref="H57:I57"/>
    <mergeCell ref="H58:I58"/>
    <mergeCell ref="J58:K58"/>
    <mergeCell ref="H51:I51"/>
    <mergeCell ref="H52:I52"/>
    <mergeCell ref="H53:I53"/>
    <mergeCell ref="H54:I54"/>
    <mergeCell ref="H55:I55"/>
    <mergeCell ref="H56:I56"/>
    <mergeCell ref="J52:K52"/>
    <mergeCell ref="J53:K53"/>
    <mergeCell ref="J54:K54"/>
    <mergeCell ref="J55:K55"/>
    <mergeCell ref="J56:K56"/>
    <mergeCell ref="J57:K57"/>
    <mergeCell ref="J51:K51"/>
    <mergeCell ref="J49:K49"/>
    <mergeCell ref="H44:I44"/>
    <mergeCell ref="J28:K28"/>
    <mergeCell ref="J29:K29"/>
    <mergeCell ref="J30:K30"/>
    <mergeCell ref="J31:K31"/>
    <mergeCell ref="J32:K32"/>
    <mergeCell ref="J33:K33"/>
    <mergeCell ref="J34:K34"/>
    <mergeCell ref="J35:K35"/>
    <mergeCell ref="J36:K36"/>
    <mergeCell ref="H50:I50"/>
    <mergeCell ref="H43:I43"/>
    <mergeCell ref="H45:I45"/>
    <mergeCell ref="H46:I46"/>
    <mergeCell ref="H47:I47"/>
    <mergeCell ref="J37:K37"/>
    <mergeCell ref="J38:K38"/>
    <mergeCell ref="J39:K39"/>
    <mergeCell ref="H39:I39"/>
    <mergeCell ref="H40:I40"/>
    <mergeCell ref="H41:I41"/>
    <mergeCell ref="H42:I42"/>
    <mergeCell ref="J50:K50"/>
    <mergeCell ref="H38:I38"/>
    <mergeCell ref="J45:K45"/>
    <mergeCell ref="J46:K46"/>
    <mergeCell ref="J40:K40"/>
    <mergeCell ref="J41:K41"/>
    <mergeCell ref="J42:K42"/>
    <mergeCell ref="J43:K43"/>
    <mergeCell ref="J44:K44"/>
    <mergeCell ref="H49:I49"/>
    <mergeCell ref="J47:K47"/>
    <mergeCell ref="J48:K48"/>
    <mergeCell ref="C50:G50"/>
    <mergeCell ref="C45:G45"/>
    <mergeCell ref="C46:G46"/>
    <mergeCell ref="C47:G47"/>
    <mergeCell ref="C48:G48"/>
    <mergeCell ref="C49:G49"/>
    <mergeCell ref="C44:G44"/>
    <mergeCell ref="C58:G58"/>
    <mergeCell ref="H26:I27"/>
    <mergeCell ref="H28:I28"/>
    <mergeCell ref="H29:I29"/>
    <mergeCell ref="H30:I30"/>
    <mergeCell ref="H31:I31"/>
    <mergeCell ref="H32:I32"/>
    <mergeCell ref="H33:I33"/>
    <mergeCell ref="H34:I34"/>
    <mergeCell ref="H35:I35"/>
    <mergeCell ref="H36:I36"/>
    <mergeCell ref="H37:I37"/>
    <mergeCell ref="C39:G39"/>
    <mergeCell ref="C40:G40"/>
    <mergeCell ref="C41:G41"/>
    <mergeCell ref="C42:G42"/>
    <mergeCell ref="C43:G43"/>
    <mergeCell ref="C55:G55"/>
    <mergeCell ref="C56:G56"/>
    <mergeCell ref="A57:B57"/>
    <mergeCell ref="A52:B52"/>
    <mergeCell ref="A53:B53"/>
    <mergeCell ref="A54:B54"/>
    <mergeCell ref="A56:B56"/>
    <mergeCell ref="C52:G52"/>
    <mergeCell ref="C53:G53"/>
    <mergeCell ref="C54:G54"/>
    <mergeCell ref="C57:G57"/>
    <mergeCell ref="A48:B48"/>
    <mergeCell ref="A49:B49"/>
    <mergeCell ref="A50:B50"/>
    <mergeCell ref="A51:B51"/>
    <mergeCell ref="A34:B34"/>
    <mergeCell ref="A35:B35"/>
    <mergeCell ref="A36:B36"/>
    <mergeCell ref="A37:B37"/>
    <mergeCell ref="A38:B38"/>
    <mergeCell ref="A42:B42"/>
    <mergeCell ref="C29:G29"/>
    <mergeCell ref="C30:G30"/>
    <mergeCell ref="C31:G31"/>
    <mergeCell ref="C32:G32"/>
    <mergeCell ref="C33:G33"/>
    <mergeCell ref="A26:B27"/>
    <mergeCell ref="A28:B28"/>
    <mergeCell ref="A46:B46"/>
    <mergeCell ref="A47:B47"/>
    <mergeCell ref="C34:G34"/>
    <mergeCell ref="C35:G35"/>
    <mergeCell ref="C36:G36"/>
    <mergeCell ref="C37:G37"/>
    <mergeCell ref="C38:G38"/>
    <mergeCell ref="A1:K1"/>
    <mergeCell ref="A55:B55"/>
    <mergeCell ref="A23:I23"/>
    <mergeCell ref="A16:K16"/>
    <mergeCell ref="A25:K25"/>
    <mergeCell ref="A29:B29"/>
    <mergeCell ref="A30:B30"/>
    <mergeCell ref="A31:B31"/>
    <mergeCell ref="A32:B32"/>
    <mergeCell ref="A33:B33"/>
    <mergeCell ref="A39:B39"/>
    <mergeCell ref="A40:B40"/>
    <mergeCell ref="A41:B41"/>
    <mergeCell ref="A43:B43"/>
    <mergeCell ref="A44:B44"/>
    <mergeCell ref="A45:B45"/>
    <mergeCell ref="K18:K22"/>
    <mergeCell ref="A14:G14"/>
    <mergeCell ref="B2:E2"/>
    <mergeCell ref="J26:K27"/>
    <mergeCell ref="H48:I48"/>
    <mergeCell ref="C51:G51"/>
    <mergeCell ref="C26:G27"/>
    <mergeCell ref="C28:G28"/>
  </mergeCells>
  <dataValidations disablePrompts="1" count="1">
    <dataValidation type="decimal" operator="greaterThanOrEqual" allowBlank="1" showInputMessage="1" showErrorMessage="1" sqref="J21" xr:uid="{00000000-0002-0000-0300-000000000000}">
      <formula1>0</formula1>
    </dataValidation>
  </dataValidations>
  <printOptions horizontalCentered="1"/>
  <pageMargins left="0.43307086614173229" right="0.15748031496062992" top="0.6692913385826772" bottom="0.6692913385826772" header="0.27559055118110237" footer="0.35433070866141736"/>
  <pageSetup paperSize="9" scale="71" orientation="portrait" r:id="rId1"/>
  <headerFooter>
    <oddHeader>&amp;C&amp;"-,Negrito"PLANILHA DE COMPOSIÇÃO DE CUSTOS
CUSTO RESUMIDO</oddHead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70C0"/>
    <pageSetUpPr fitToPage="1"/>
  </sheetPr>
  <dimension ref="A1:GK467"/>
  <sheetViews>
    <sheetView showGridLines="0" zoomScaleNormal="100" workbookViewId="0">
      <selection activeCell="A10" sqref="A10:A15"/>
    </sheetView>
  </sheetViews>
  <sheetFormatPr defaultRowHeight="15" x14ac:dyDescent="0.25"/>
  <cols>
    <col min="1" max="1" width="9.7109375" customWidth="1"/>
    <col min="2" max="2" width="39" customWidth="1"/>
    <col min="3" max="3" width="10.85546875" bestFit="1" customWidth="1"/>
    <col min="4" max="4" width="5" style="123" customWidth="1"/>
    <col min="5" max="5" width="4.28515625" customWidth="1"/>
    <col min="6" max="6" width="12.85546875" bestFit="1" customWidth="1"/>
    <col min="7" max="7" width="11" customWidth="1"/>
    <col min="8" max="8" width="10" customWidth="1"/>
    <col min="9" max="9" width="14" customWidth="1"/>
    <col min="10" max="10" width="12" customWidth="1"/>
    <col min="11" max="11" width="14.42578125" customWidth="1"/>
    <col min="12" max="12" width="10.85546875" style="70" customWidth="1"/>
    <col min="13" max="13" width="11.42578125" style="70" bestFit="1" customWidth="1"/>
    <col min="14" max="14" width="9.140625" style="70"/>
    <col min="15" max="15" width="10.5703125" style="70" bestFit="1" customWidth="1"/>
    <col min="16" max="193" width="9.140625" style="70"/>
  </cols>
  <sheetData>
    <row r="1" spans="1:193" x14ac:dyDescent="0.25">
      <c r="B1" s="204" t="s">
        <v>191</v>
      </c>
      <c r="C1" s="441" t="s">
        <v>133</v>
      </c>
      <c r="D1" s="442"/>
      <c r="E1" s="442"/>
      <c r="F1" s="442"/>
      <c r="G1" s="442"/>
      <c r="H1" s="443"/>
    </row>
    <row r="3" spans="1:193" x14ac:dyDescent="0.25">
      <c r="A3" s="401" t="s">
        <v>169</v>
      </c>
      <c r="B3" s="402"/>
      <c r="C3" s="402"/>
      <c r="D3" s="402"/>
      <c r="E3" s="402"/>
      <c r="F3" s="402"/>
      <c r="G3" s="402"/>
      <c r="H3" s="402"/>
      <c r="I3" s="402"/>
      <c r="J3" s="402"/>
      <c r="K3" s="403"/>
    </row>
    <row r="4" spans="1:193" ht="22.5" x14ac:dyDescent="0.25">
      <c r="A4" s="117" t="s">
        <v>141</v>
      </c>
      <c r="B4" s="416" t="s">
        <v>142</v>
      </c>
      <c r="C4" s="417"/>
      <c r="D4" s="417"/>
      <c r="E4" s="418"/>
      <c r="F4" s="118" t="s">
        <v>143</v>
      </c>
      <c r="G4" s="118" t="s">
        <v>145</v>
      </c>
      <c r="H4" s="118" t="s">
        <v>170</v>
      </c>
      <c r="I4" s="118" t="s">
        <v>171</v>
      </c>
      <c r="J4" s="119" t="s">
        <v>111</v>
      </c>
      <c r="K4" s="119" t="s">
        <v>173</v>
      </c>
    </row>
    <row r="5" spans="1:193" x14ac:dyDescent="0.25">
      <c r="A5" s="211">
        <v>551188</v>
      </c>
      <c r="B5" s="438" t="str">
        <f>VLOOKUP(A5,'Tabela de Códigos e Valores'!A:B,2,FALSE)</f>
        <v>Supervisor geral especializado em refrigeração, controle e administração</v>
      </c>
      <c r="C5" s="439"/>
      <c r="D5" s="439"/>
      <c r="E5" s="440"/>
      <c r="F5" s="110" t="str">
        <f>VLOOKUP($A5,'Tabela de Códigos e Valores'!$A:$N,5,FALSE)</f>
        <v>Posto</v>
      </c>
      <c r="G5" s="110" t="str">
        <f>VLOOKUP($A5,'Tabela de Códigos e Valores'!$A:$N,6,FALSE)</f>
        <v>Mensal</v>
      </c>
      <c r="H5" s="124">
        <f>SUMIFS('Relatório Custo'!$J:$J,'Relatório Custo'!$C:$C,$A5,'Relatório Custo'!$B:$B,'Custo  Resumido por local'!$C$1)</f>
        <v>1</v>
      </c>
      <c r="I5" s="71">
        <f>IF(F5="Posto",SUMIFS('Relatório Custo'!$V:$V,'Relatório Custo'!$C:$C,$A5,'Relatório Custo'!$B:$B,'Custo  Resumido por local'!$C$1),0)</f>
        <v>0</v>
      </c>
      <c r="J5" s="71">
        <f>SUMIFS('Relatório Custo'!$S:$S,'Relatório Custo'!$C:$C,$A5,'Relatório Custo'!$B:$B,'Custo  Resumido por local'!$C$1)</f>
        <v>0</v>
      </c>
      <c r="K5" s="71">
        <f>SUMIFS('Relatório Custo'!$T:$T,'Relatório Custo'!$C:$C,$A5,'Relatório Custo'!$B:$B,'Custo  Resumido por local'!$C$1)</f>
        <v>0</v>
      </c>
      <c r="L5" s="72"/>
      <c r="M5" s="72"/>
      <c r="N5" s="73"/>
    </row>
    <row r="6" spans="1:193" x14ac:dyDescent="0.25">
      <c r="A6" s="211">
        <v>551189</v>
      </c>
      <c r="B6" s="438" t="str">
        <f>VLOOKUP(A6,'Tabela de Códigos e Valores'!A:B,2,FALSE)</f>
        <v>Técnico mecânico especializado em Refrigeração</v>
      </c>
      <c r="C6" s="439"/>
      <c r="D6" s="439"/>
      <c r="E6" s="440"/>
      <c r="F6" s="110" t="str">
        <f>VLOOKUP($A6,'Tabela de Códigos e Valores'!$A:$N,5,FALSE)</f>
        <v>Posto</v>
      </c>
      <c r="G6" s="110" t="str">
        <f>VLOOKUP($A6,'Tabela de Códigos e Valores'!$A:$N,6,FALSE)</f>
        <v>Mensal</v>
      </c>
      <c r="H6" s="124">
        <f>SUMIFS('Relatório Custo'!$J:$J,'Relatório Custo'!$C:$C,$A6,'Relatório Custo'!$B:$B,'Custo  Resumido por local'!$C$1)</f>
        <v>2</v>
      </c>
      <c r="I6" s="71">
        <f>IF(F6="Posto",SUMIFS('Relatório Custo'!$V:$V,'Relatório Custo'!$C:$C,$A6,'Relatório Custo'!$B:$B,'Custo  Resumido por local'!$C$1),0)</f>
        <v>0</v>
      </c>
      <c r="J6" s="71">
        <f>SUMIFS('Relatório Custo'!$S:$S,'Relatório Custo'!$C:$C,$A6,'Relatório Custo'!$B:$B,'Custo  Resumido por local'!$C$1)</f>
        <v>0</v>
      </c>
      <c r="K6" s="71">
        <f>SUMIFS('Relatório Custo'!$T:$T,'Relatório Custo'!$C:$C,$A6,'Relatório Custo'!$B:$B,'Custo  Resumido por local'!$C$1)</f>
        <v>0</v>
      </c>
      <c r="L6" s="72"/>
      <c r="M6" s="72"/>
    </row>
    <row r="7" spans="1:193" x14ac:dyDescent="0.25">
      <c r="A7" s="211">
        <v>551190</v>
      </c>
      <c r="B7" s="438" t="str">
        <f>VLOOKUP(A7,'Tabela de Códigos e Valores'!A:B,2,FALSE)</f>
        <v>Operador</v>
      </c>
      <c r="C7" s="439"/>
      <c r="D7" s="439"/>
      <c r="E7" s="440"/>
      <c r="F7" s="110" t="str">
        <f>VLOOKUP($A7,'Tabela de Códigos e Valores'!$A:$N,5,FALSE)</f>
        <v>Posto</v>
      </c>
      <c r="G7" s="110" t="str">
        <f>VLOOKUP($A7,'Tabela de Códigos e Valores'!$A:$N,6,FALSE)</f>
        <v>Mensal</v>
      </c>
      <c r="H7" s="124">
        <f>SUMIFS('Relatório Custo'!$J:$J,'Relatório Custo'!$C:$C,$A7,'Relatório Custo'!$B:$B,'Custo  Resumido por local'!$C$1)</f>
        <v>2</v>
      </c>
      <c r="I7" s="71">
        <f>IF(F7="Posto",SUMIFS('Relatório Custo'!$V:$V,'Relatório Custo'!$C:$C,$A7,'Relatório Custo'!$B:$B,'Custo  Resumido por local'!$C$1),0)</f>
        <v>0</v>
      </c>
      <c r="J7" s="71">
        <f>SUMIFS('Relatório Custo'!$S:$S,'Relatório Custo'!$C:$C,$A7,'Relatório Custo'!$B:$B,'Custo  Resumido por local'!$C$1)</f>
        <v>0</v>
      </c>
      <c r="K7" s="71">
        <f>SUMIFS('Relatório Custo'!$T:$T,'Relatório Custo'!$C:$C,$A7,'Relatório Custo'!$B:$B,'Custo  Resumido por local'!$C$1)</f>
        <v>0</v>
      </c>
      <c r="L7" s="72"/>
      <c r="M7" s="72"/>
    </row>
    <row r="8" spans="1:193" x14ac:dyDescent="0.25">
      <c r="A8" s="211">
        <v>551191</v>
      </c>
      <c r="B8" s="438" t="str">
        <f>VLOOKUP(A8,'Tabela de Códigos e Valores'!A:B,2,FALSE)</f>
        <v>Auxiliar Técnico especializado em Refrigeração</v>
      </c>
      <c r="C8" s="439"/>
      <c r="D8" s="439"/>
      <c r="E8" s="440"/>
      <c r="F8" s="110" t="str">
        <f>VLOOKUP($A8,'Tabela de Códigos e Valores'!$A:$N,5,FALSE)</f>
        <v>Posto</v>
      </c>
      <c r="G8" s="110" t="str">
        <f>VLOOKUP($A8,'Tabela de Códigos e Valores'!$A:$N,6,FALSE)</f>
        <v>Mensal</v>
      </c>
      <c r="H8" s="124">
        <f>SUMIFS('Relatório Custo'!$J:$J,'Relatório Custo'!$C:$C,$A8,'Relatório Custo'!$B:$B,'Custo  Resumido por local'!$C$1)</f>
        <v>2</v>
      </c>
      <c r="I8" s="71">
        <f>IF(F8="Posto",SUMIFS('Relatório Custo'!$V:$V,'Relatório Custo'!$C:$C,$A8,'Relatório Custo'!$B:$B,'Custo  Resumido por local'!$C$1),0)</f>
        <v>0</v>
      </c>
      <c r="J8" s="71">
        <f>SUMIFS('Relatório Custo'!$S:$S,'Relatório Custo'!$C:$C,$A8,'Relatório Custo'!$B:$B,'Custo  Resumido por local'!$C$1)</f>
        <v>0</v>
      </c>
      <c r="K8" s="71">
        <f>SUMIFS('Relatório Custo'!$T:$T,'Relatório Custo'!$C:$C,$A8,'Relatório Custo'!$B:$B,'Custo  Resumido por local'!$C$1)</f>
        <v>0</v>
      </c>
      <c r="L8" s="72"/>
      <c r="M8" s="72"/>
    </row>
    <row r="9" spans="1:193" s="207" customFormat="1" x14ac:dyDescent="0.25">
      <c r="A9" s="211">
        <v>551192</v>
      </c>
      <c r="B9" s="438" t="str">
        <f>VLOOKUP(A9,'Tabela de Códigos e Valores'!A:B,2,FALSE)</f>
        <v xml:space="preserve">Técnico Elétrico/ Eletrônico/ Eletrotécnico, especializado em refrigeração </v>
      </c>
      <c r="C9" s="439"/>
      <c r="D9" s="439"/>
      <c r="E9" s="440"/>
      <c r="F9" s="110" t="str">
        <f>VLOOKUP($A9,'Tabela de Códigos e Valores'!$A:$N,5,FALSE)</f>
        <v>Posto</v>
      </c>
      <c r="G9" s="110" t="str">
        <f>VLOOKUP($A9,'Tabela de Códigos e Valores'!$A:$N,6,FALSE)</f>
        <v>Mensal</v>
      </c>
      <c r="H9" s="124">
        <f>SUMIFS('Relatório Custo'!$J:$J,'Relatório Custo'!$C:$C,$A9,'Relatório Custo'!$B:$B,'Custo  Resumido por local'!$C$1)</f>
        <v>2</v>
      </c>
      <c r="I9" s="71">
        <f>IF(F9="Posto",SUMIFS('Relatório Custo'!$V:$V,'Relatório Custo'!$C:$C,$A9,'Relatório Custo'!$B:$B,'Custo  Resumido por local'!$C$1),0)</f>
        <v>0</v>
      </c>
      <c r="J9" s="71">
        <f>SUMIFS('Relatório Custo'!$S:$S,'Relatório Custo'!$C:$C,$A9,'Relatório Custo'!$B:$B,'Custo  Resumido por local'!$C$1)</f>
        <v>0</v>
      </c>
      <c r="K9" s="71">
        <f>SUMIFS('Relatório Custo'!$T:$T,'Relatório Custo'!$C:$C,$A9,'Relatório Custo'!$B:$B,'Custo  Resumido por local'!$C$1)</f>
        <v>0</v>
      </c>
      <c r="L9" s="205"/>
      <c r="M9" s="205"/>
      <c r="N9" s="206"/>
      <c r="O9" s="206"/>
      <c r="P9" s="206"/>
      <c r="Q9" s="206"/>
      <c r="R9" s="206"/>
      <c r="S9" s="206"/>
      <c r="T9" s="206"/>
      <c r="U9" s="206"/>
      <c r="V9" s="206"/>
      <c r="W9" s="206"/>
      <c r="X9" s="206"/>
      <c r="Y9" s="206"/>
      <c r="Z9" s="206"/>
      <c r="AA9" s="206"/>
      <c r="AB9" s="206"/>
      <c r="AC9" s="206"/>
      <c r="AD9" s="206"/>
      <c r="AE9" s="206"/>
      <c r="AF9" s="206"/>
      <c r="AG9" s="206"/>
      <c r="AH9" s="206"/>
      <c r="AI9" s="206"/>
      <c r="AJ9" s="206"/>
      <c r="AK9" s="206"/>
      <c r="AL9" s="206"/>
      <c r="AM9" s="206"/>
      <c r="AN9" s="206"/>
      <c r="AO9" s="206"/>
      <c r="AP9" s="206"/>
      <c r="AQ9" s="206"/>
      <c r="AR9" s="206"/>
      <c r="AS9" s="206"/>
      <c r="AT9" s="206"/>
      <c r="AU9" s="206"/>
      <c r="AV9" s="206"/>
      <c r="AW9" s="206"/>
      <c r="AX9" s="206"/>
      <c r="AY9" s="206"/>
      <c r="AZ9" s="206"/>
      <c r="BA9" s="206"/>
      <c r="BB9" s="206"/>
      <c r="BC9" s="206"/>
      <c r="BD9" s="206"/>
      <c r="BE9" s="206"/>
      <c r="BF9" s="206"/>
      <c r="BG9" s="206"/>
      <c r="BH9" s="206"/>
      <c r="BI9" s="206"/>
      <c r="BJ9" s="206"/>
      <c r="BK9" s="206"/>
      <c r="BL9" s="206"/>
      <c r="BM9" s="206"/>
      <c r="BN9" s="206"/>
      <c r="BO9" s="206"/>
      <c r="BP9" s="206"/>
      <c r="BQ9" s="206"/>
      <c r="BR9" s="206"/>
      <c r="BS9" s="206"/>
      <c r="BT9" s="206"/>
      <c r="BU9" s="206"/>
      <c r="BV9" s="206"/>
      <c r="BW9" s="206"/>
      <c r="BX9" s="206"/>
      <c r="BY9" s="206"/>
      <c r="BZ9" s="206"/>
      <c r="CA9" s="206"/>
      <c r="CB9" s="206"/>
      <c r="CC9" s="206"/>
      <c r="CD9" s="206"/>
      <c r="CE9" s="206"/>
      <c r="CF9" s="206"/>
      <c r="CG9" s="206"/>
      <c r="CH9" s="206"/>
      <c r="CI9" s="206"/>
      <c r="CJ9" s="206"/>
      <c r="CK9" s="206"/>
      <c r="CL9" s="206"/>
      <c r="CM9" s="206"/>
      <c r="CN9" s="206"/>
      <c r="CO9" s="206"/>
      <c r="CP9" s="206"/>
      <c r="CQ9" s="206"/>
      <c r="CR9" s="206"/>
      <c r="CS9" s="206"/>
      <c r="CT9" s="206"/>
      <c r="CU9" s="206"/>
      <c r="CV9" s="206"/>
      <c r="CW9" s="206"/>
      <c r="CX9" s="206"/>
      <c r="CY9" s="206"/>
      <c r="CZ9" s="206"/>
      <c r="DA9" s="206"/>
      <c r="DB9" s="206"/>
      <c r="DC9" s="206"/>
      <c r="DD9" s="206"/>
      <c r="DE9" s="206"/>
      <c r="DF9" s="206"/>
      <c r="DG9" s="206"/>
      <c r="DH9" s="206"/>
      <c r="DI9" s="206"/>
      <c r="DJ9" s="206"/>
      <c r="DK9" s="206"/>
      <c r="DL9" s="206"/>
      <c r="DM9" s="206"/>
      <c r="DN9" s="206"/>
      <c r="DO9" s="206"/>
      <c r="DP9" s="206"/>
      <c r="DQ9" s="206"/>
      <c r="DR9" s="206"/>
      <c r="DS9" s="206"/>
      <c r="DT9" s="206"/>
      <c r="DU9" s="206"/>
      <c r="DV9" s="206"/>
      <c r="DW9" s="206"/>
      <c r="DX9" s="206"/>
      <c r="DY9" s="206"/>
      <c r="DZ9" s="206"/>
      <c r="EA9" s="206"/>
      <c r="EB9" s="206"/>
      <c r="EC9" s="206"/>
      <c r="ED9" s="206"/>
      <c r="EE9" s="206"/>
      <c r="EF9" s="206"/>
      <c r="EG9" s="206"/>
      <c r="EH9" s="206"/>
      <c r="EI9" s="206"/>
      <c r="EJ9" s="206"/>
      <c r="EK9" s="206"/>
      <c r="EL9" s="206"/>
      <c r="EM9" s="206"/>
      <c r="EN9" s="206"/>
      <c r="EO9" s="206"/>
      <c r="EP9" s="206"/>
      <c r="EQ9" s="206"/>
      <c r="ER9" s="206"/>
      <c r="ES9" s="206"/>
      <c r="ET9" s="206"/>
      <c r="EU9" s="206"/>
      <c r="EV9" s="206"/>
      <c r="EW9" s="206"/>
      <c r="EX9" s="206"/>
      <c r="EY9" s="206"/>
      <c r="EZ9" s="206"/>
      <c r="FA9" s="206"/>
      <c r="FB9" s="206"/>
      <c r="FC9" s="206"/>
      <c r="FD9" s="206"/>
      <c r="FE9" s="206"/>
      <c r="FF9" s="206"/>
      <c r="FG9" s="206"/>
      <c r="FH9" s="206"/>
      <c r="FI9" s="206"/>
      <c r="FJ9" s="206"/>
      <c r="FK9" s="206"/>
      <c r="FL9" s="206"/>
      <c r="FM9" s="206"/>
      <c r="FN9" s="206"/>
      <c r="FO9" s="206"/>
      <c r="FP9" s="206"/>
      <c r="FQ9" s="206"/>
      <c r="FR9" s="206"/>
      <c r="FS9" s="206"/>
      <c r="FT9" s="206"/>
      <c r="FU9" s="206"/>
      <c r="FV9" s="206"/>
      <c r="FW9" s="206"/>
      <c r="FX9" s="206"/>
      <c r="FY9" s="206"/>
      <c r="FZ9" s="206"/>
      <c r="GA9" s="206"/>
      <c r="GB9" s="206"/>
      <c r="GC9" s="206"/>
      <c r="GD9" s="206"/>
      <c r="GE9" s="206"/>
      <c r="GF9" s="206"/>
      <c r="GG9" s="206"/>
      <c r="GH9" s="206"/>
      <c r="GI9" s="206"/>
      <c r="GJ9" s="206"/>
      <c r="GK9" s="206"/>
    </row>
    <row r="10" spans="1:193" s="207" customFormat="1" x14ac:dyDescent="0.25">
      <c r="A10" s="211">
        <v>551195</v>
      </c>
      <c r="B10" s="438" t="str">
        <f>VLOOKUP(A10,'Tabela de Códigos e Valores'!A:B,2,FALSE)</f>
        <v>Técnico em Refrigeração Mecânico - Hora Extra Noturna</v>
      </c>
      <c r="C10" s="439"/>
      <c r="D10" s="439"/>
      <c r="E10" s="440"/>
      <c r="F10" s="110" t="str">
        <f>VLOOKUP($A10,'Tabela de Códigos e Valores'!$A:$N,5,FALSE)</f>
        <v>Hora Extra</v>
      </c>
      <c r="G10" s="110" t="str">
        <f>VLOOKUP($A10,'Tabela de Códigos e Valores'!$A:$N,6,FALSE)</f>
        <v>Mensal</v>
      </c>
      <c r="H10" s="124">
        <f>SUMIFS('Relatório Custo'!$J:$J,'Relatório Custo'!$C:$C,$A10,'Relatório Custo'!$B:$B,'Custo  Resumido por local'!$C$1)</f>
        <v>20</v>
      </c>
      <c r="I10" s="71">
        <f>IF(F10="Posto",SUMIFS('Relatório Custo'!$V:$V,'Relatório Custo'!$C:$C,$A10,'Relatório Custo'!$B:$B,'Custo  Resumido por local'!$C$1),0)</f>
        <v>0</v>
      </c>
      <c r="J10" s="71">
        <f>SUMIFS('Relatório Custo'!$S:$S,'Relatório Custo'!$C:$C,$A10,'Relatório Custo'!$B:$B,'Custo  Resumido por local'!$C$1)</f>
        <v>0</v>
      </c>
      <c r="K10" s="71">
        <f>SUMIFS('Relatório Custo'!$T:$T,'Relatório Custo'!$C:$C,$A10,'Relatório Custo'!$B:$B,'Custo  Resumido por local'!$C$1)</f>
        <v>0</v>
      </c>
      <c r="L10" s="205"/>
      <c r="M10" s="205"/>
      <c r="N10" s="206"/>
      <c r="O10" s="206"/>
      <c r="P10" s="206"/>
      <c r="Q10" s="206"/>
      <c r="R10" s="206"/>
      <c r="S10" s="206"/>
      <c r="T10" s="206"/>
      <c r="U10" s="206"/>
      <c r="V10" s="206"/>
      <c r="W10" s="206"/>
      <c r="X10" s="206"/>
      <c r="Y10" s="206"/>
      <c r="Z10" s="206"/>
      <c r="AA10" s="206"/>
      <c r="AB10" s="206"/>
      <c r="AC10" s="206"/>
      <c r="AD10" s="206"/>
      <c r="AE10" s="206"/>
      <c r="AF10" s="206"/>
      <c r="AG10" s="206"/>
      <c r="AH10" s="206"/>
      <c r="AI10" s="206"/>
      <c r="AJ10" s="206"/>
      <c r="AK10" s="206"/>
      <c r="AL10" s="206"/>
      <c r="AM10" s="206"/>
      <c r="AN10" s="206"/>
      <c r="AO10" s="206"/>
      <c r="AP10" s="206"/>
      <c r="AQ10" s="206"/>
      <c r="AR10" s="206"/>
      <c r="AS10" s="206"/>
      <c r="AT10" s="206"/>
      <c r="AU10" s="206"/>
      <c r="AV10" s="206"/>
      <c r="AW10" s="206"/>
      <c r="AX10" s="206"/>
      <c r="AY10" s="206"/>
      <c r="AZ10" s="206"/>
      <c r="BA10" s="206"/>
      <c r="BB10" s="206"/>
      <c r="BC10" s="206"/>
      <c r="BD10" s="206"/>
      <c r="BE10" s="206"/>
      <c r="BF10" s="206"/>
      <c r="BG10" s="206"/>
      <c r="BH10" s="206"/>
      <c r="BI10" s="206"/>
      <c r="BJ10" s="206"/>
      <c r="BK10" s="206"/>
      <c r="BL10" s="206"/>
      <c r="BM10" s="206"/>
      <c r="BN10" s="206"/>
      <c r="BO10" s="206"/>
      <c r="BP10" s="206"/>
      <c r="BQ10" s="206"/>
      <c r="BR10" s="206"/>
      <c r="BS10" s="206"/>
      <c r="BT10" s="206"/>
      <c r="BU10" s="206"/>
      <c r="BV10" s="206"/>
      <c r="BW10" s="206"/>
      <c r="BX10" s="206"/>
      <c r="BY10" s="206"/>
      <c r="BZ10" s="206"/>
      <c r="CA10" s="206"/>
      <c r="CB10" s="206"/>
      <c r="CC10" s="206"/>
      <c r="CD10" s="206"/>
      <c r="CE10" s="206"/>
      <c r="CF10" s="206"/>
      <c r="CG10" s="206"/>
      <c r="CH10" s="206"/>
      <c r="CI10" s="206"/>
      <c r="CJ10" s="206"/>
      <c r="CK10" s="206"/>
      <c r="CL10" s="206"/>
      <c r="CM10" s="206"/>
      <c r="CN10" s="206"/>
      <c r="CO10" s="206"/>
      <c r="CP10" s="206"/>
      <c r="CQ10" s="206"/>
      <c r="CR10" s="206"/>
      <c r="CS10" s="206"/>
      <c r="CT10" s="206"/>
      <c r="CU10" s="206"/>
      <c r="CV10" s="206"/>
      <c r="CW10" s="206"/>
      <c r="CX10" s="206"/>
      <c r="CY10" s="206"/>
      <c r="CZ10" s="206"/>
      <c r="DA10" s="206"/>
      <c r="DB10" s="206"/>
      <c r="DC10" s="206"/>
      <c r="DD10" s="206"/>
      <c r="DE10" s="206"/>
      <c r="DF10" s="206"/>
      <c r="DG10" s="206"/>
      <c r="DH10" s="206"/>
      <c r="DI10" s="206"/>
      <c r="DJ10" s="206"/>
      <c r="DK10" s="206"/>
      <c r="DL10" s="206"/>
      <c r="DM10" s="206"/>
      <c r="DN10" s="206"/>
      <c r="DO10" s="206"/>
      <c r="DP10" s="206"/>
      <c r="DQ10" s="206"/>
      <c r="DR10" s="206"/>
      <c r="DS10" s="206"/>
      <c r="DT10" s="206"/>
      <c r="DU10" s="206"/>
      <c r="DV10" s="206"/>
      <c r="DW10" s="206"/>
      <c r="DX10" s="206"/>
      <c r="DY10" s="206"/>
      <c r="DZ10" s="206"/>
      <c r="EA10" s="206"/>
      <c r="EB10" s="206"/>
      <c r="EC10" s="206"/>
      <c r="ED10" s="206"/>
      <c r="EE10" s="206"/>
      <c r="EF10" s="206"/>
      <c r="EG10" s="206"/>
      <c r="EH10" s="206"/>
      <c r="EI10" s="206"/>
      <c r="EJ10" s="206"/>
      <c r="EK10" s="206"/>
      <c r="EL10" s="206"/>
      <c r="EM10" s="206"/>
      <c r="EN10" s="206"/>
      <c r="EO10" s="206"/>
      <c r="EP10" s="206"/>
      <c r="EQ10" s="206"/>
      <c r="ER10" s="206"/>
      <c r="ES10" s="206"/>
      <c r="ET10" s="206"/>
      <c r="EU10" s="206"/>
      <c r="EV10" s="206"/>
      <c r="EW10" s="206"/>
      <c r="EX10" s="206"/>
      <c r="EY10" s="206"/>
      <c r="EZ10" s="206"/>
      <c r="FA10" s="206"/>
      <c r="FB10" s="206"/>
      <c r="FC10" s="206"/>
      <c r="FD10" s="206"/>
      <c r="FE10" s="206"/>
      <c r="FF10" s="206"/>
      <c r="FG10" s="206"/>
      <c r="FH10" s="206"/>
      <c r="FI10" s="206"/>
      <c r="FJ10" s="206"/>
      <c r="FK10" s="206"/>
      <c r="FL10" s="206"/>
      <c r="FM10" s="206"/>
      <c r="FN10" s="206"/>
      <c r="FO10" s="206"/>
      <c r="FP10" s="206"/>
      <c r="FQ10" s="206"/>
      <c r="FR10" s="206"/>
      <c r="FS10" s="206"/>
      <c r="FT10" s="206"/>
      <c r="FU10" s="206"/>
      <c r="FV10" s="206"/>
      <c r="FW10" s="206"/>
      <c r="FX10" s="206"/>
      <c r="FY10" s="206"/>
      <c r="FZ10" s="206"/>
      <c r="GA10" s="206"/>
      <c r="GB10" s="206"/>
      <c r="GC10" s="206"/>
      <c r="GD10" s="206"/>
      <c r="GE10" s="206"/>
      <c r="GF10" s="206"/>
      <c r="GG10" s="206"/>
      <c r="GH10" s="206"/>
      <c r="GI10" s="206"/>
      <c r="GJ10" s="206"/>
      <c r="GK10" s="206"/>
    </row>
    <row r="11" spans="1:193" s="207" customFormat="1" x14ac:dyDescent="0.25">
      <c r="A11" s="211">
        <v>551196</v>
      </c>
      <c r="B11" s="438" t="str">
        <f>VLOOKUP(A11,'Tabela de Códigos e Valores'!A:B,2,FALSE)</f>
        <v>Técnico em Refrigeração Mecânico - Hora Extra Sábado</v>
      </c>
      <c r="C11" s="439"/>
      <c r="D11" s="439"/>
      <c r="E11" s="440"/>
      <c r="F11" s="110" t="str">
        <f>VLOOKUP($A11,'Tabela de Códigos e Valores'!$A:$N,5,FALSE)</f>
        <v>Hora Extra</v>
      </c>
      <c r="G11" s="110" t="str">
        <f>VLOOKUP($A11,'Tabela de Códigos e Valores'!$A:$N,6,FALSE)</f>
        <v>Mensal</v>
      </c>
      <c r="H11" s="124">
        <f>SUMIFS('Relatório Custo'!$J:$J,'Relatório Custo'!$C:$C,$A11,'Relatório Custo'!$B:$B,'Custo  Resumido por local'!$C$1)</f>
        <v>8</v>
      </c>
      <c r="I11" s="71">
        <f>IF(F11="Posto",SUMIFS('Relatório Custo'!$V:$V,'Relatório Custo'!$C:$C,$A11,'Relatório Custo'!$B:$B,'Custo  Resumido por local'!$C$1),0)</f>
        <v>0</v>
      </c>
      <c r="J11" s="71">
        <f>SUMIFS('Relatório Custo'!$S:$S,'Relatório Custo'!$C:$C,$A11,'Relatório Custo'!$B:$B,'Custo  Resumido por local'!$C$1)</f>
        <v>0</v>
      </c>
      <c r="K11" s="71">
        <f>SUMIFS('Relatório Custo'!$T:$T,'Relatório Custo'!$C:$C,$A11,'Relatório Custo'!$B:$B,'Custo  Resumido por local'!$C$1)</f>
        <v>0</v>
      </c>
      <c r="L11" s="205"/>
      <c r="M11" s="205"/>
      <c r="N11" s="206"/>
      <c r="O11" s="206"/>
      <c r="P11" s="206"/>
      <c r="Q11" s="206"/>
      <c r="R11" s="206"/>
      <c r="S11" s="206"/>
      <c r="T11" s="206"/>
      <c r="U11" s="206"/>
      <c r="V11" s="206"/>
      <c r="W11" s="206"/>
      <c r="X11" s="206"/>
      <c r="Y11" s="206"/>
      <c r="Z11" s="206"/>
      <c r="AA11" s="206"/>
      <c r="AB11" s="206"/>
      <c r="AC11" s="206"/>
      <c r="AD11" s="206"/>
      <c r="AE11" s="206"/>
      <c r="AF11" s="206"/>
      <c r="AG11" s="206"/>
      <c r="AH11" s="206"/>
      <c r="AI11" s="206"/>
      <c r="AJ11" s="206"/>
      <c r="AK11" s="206"/>
      <c r="AL11" s="206"/>
      <c r="AM11" s="206"/>
      <c r="AN11" s="206"/>
      <c r="AO11" s="206"/>
      <c r="AP11" s="206"/>
      <c r="AQ11" s="206"/>
      <c r="AR11" s="206"/>
      <c r="AS11" s="206"/>
      <c r="AT11" s="206"/>
      <c r="AU11" s="206"/>
      <c r="AV11" s="206"/>
      <c r="AW11" s="206"/>
      <c r="AX11" s="206"/>
      <c r="AY11" s="206"/>
      <c r="AZ11" s="206"/>
      <c r="BA11" s="206"/>
      <c r="BB11" s="206"/>
      <c r="BC11" s="206"/>
      <c r="BD11" s="206"/>
      <c r="BE11" s="206"/>
      <c r="BF11" s="206"/>
      <c r="BG11" s="206"/>
      <c r="BH11" s="206"/>
      <c r="BI11" s="206"/>
      <c r="BJ11" s="206"/>
      <c r="BK11" s="206"/>
      <c r="BL11" s="206"/>
      <c r="BM11" s="206"/>
      <c r="BN11" s="206"/>
      <c r="BO11" s="206"/>
      <c r="BP11" s="206"/>
      <c r="BQ11" s="206"/>
      <c r="BR11" s="206"/>
      <c r="BS11" s="206"/>
      <c r="BT11" s="206"/>
      <c r="BU11" s="206"/>
      <c r="BV11" s="206"/>
      <c r="BW11" s="206"/>
      <c r="BX11" s="206"/>
      <c r="BY11" s="206"/>
      <c r="BZ11" s="206"/>
      <c r="CA11" s="206"/>
      <c r="CB11" s="206"/>
      <c r="CC11" s="206"/>
      <c r="CD11" s="206"/>
      <c r="CE11" s="206"/>
      <c r="CF11" s="206"/>
      <c r="CG11" s="206"/>
      <c r="CH11" s="206"/>
      <c r="CI11" s="206"/>
      <c r="CJ11" s="206"/>
      <c r="CK11" s="206"/>
      <c r="CL11" s="206"/>
      <c r="CM11" s="206"/>
      <c r="CN11" s="206"/>
      <c r="CO11" s="206"/>
      <c r="CP11" s="206"/>
      <c r="CQ11" s="206"/>
      <c r="CR11" s="206"/>
      <c r="CS11" s="206"/>
      <c r="CT11" s="206"/>
      <c r="CU11" s="206"/>
      <c r="CV11" s="206"/>
      <c r="CW11" s="206"/>
      <c r="CX11" s="206"/>
      <c r="CY11" s="206"/>
      <c r="CZ11" s="206"/>
      <c r="DA11" s="206"/>
      <c r="DB11" s="206"/>
      <c r="DC11" s="206"/>
      <c r="DD11" s="206"/>
      <c r="DE11" s="206"/>
      <c r="DF11" s="206"/>
      <c r="DG11" s="206"/>
      <c r="DH11" s="206"/>
      <c r="DI11" s="206"/>
      <c r="DJ11" s="206"/>
      <c r="DK11" s="206"/>
      <c r="DL11" s="206"/>
      <c r="DM11" s="206"/>
      <c r="DN11" s="206"/>
      <c r="DO11" s="206"/>
      <c r="DP11" s="206"/>
      <c r="DQ11" s="206"/>
      <c r="DR11" s="206"/>
      <c r="DS11" s="206"/>
      <c r="DT11" s="206"/>
      <c r="DU11" s="206"/>
      <c r="DV11" s="206"/>
      <c r="DW11" s="206"/>
      <c r="DX11" s="206"/>
      <c r="DY11" s="206"/>
      <c r="DZ11" s="206"/>
      <c r="EA11" s="206"/>
      <c r="EB11" s="206"/>
      <c r="EC11" s="206"/>
      <c r="ED11" s="206"/>
      <c r="EE11" s="206"/>
      <c r="EF11" s="206"/>
      <c r="EG11" s="206"/>
      <c r="EH11" s="206"/>
      <c r="EI11" s="206"/>
      <c r="EJ11" s="206"/>
      <c r="EK11" s="206"/>
      <c r="EL11" s="206"/>
      <c r="EM11" s="206"/>
      <c r="EN11" s="206"/>
      <c r="EO11" s="206"/>
      <c r="EP11" s="206"/>
      <c r="EQ11" s="206"/>
      <c r="ER11" s="206"/>
      <c r="ES11" s="206"/>
      <c r="ET11" s="206"/>
      <c r="EU11" s="206"/>
      <c r="EV11" s="206"/>
      <c r="EW11" s="206"/>
      <c r="EX11" s="206"/>
      <c r="EY11" s="206"/>
      <c r="EZ11" s="206"/>
      <c r="FA11" s="206"/>
      <c r="FB11" s="206"/>
      <c r="FC11" s="206"/>
      <c r="FD11" s="206"/>
      <c r="FE11" s="206"/>
      <c r="FF11" s="206"/>
      <c r="FG11" s="206"/>
      <c r="FH11" s="206"/>
      <c r="FI11" s="206"/>
      <c r="FJ11" s="206"/>
      <c r="FK11" s="206"/>
      <c r="FL11" s="206"/>
      <c r="FM11" s="206"/>
      <c r="FN11" s="206"/>
      <c r="FO11" s="206"/>
      <c r="FP11" s="206"/>
      <c r="FQ11" s="206"/>
      <c r="FR11" s="206"/>
      <c r="FS11" s="206"/>
      <c r="FT11" s="206"/>
      <c r="FU11" s="206"/>
      <c r="FV11" s="206"/>
      <c r="FW11" s="206"/>
      <c r="FX11" s="206"/>
      <c r="FY11" s="206"/>
      <c r="FZ11" s="206"/>
      <c r="GA11" s="206"/>
      <c r="GB11" s="206"/>
      <c r="GC11" s="206"/>
      <c r="GD11" s="206"/>
      <c r="GE11" s="206"/>
      <c r="GF11" s="206"/>
      <c r="GG11" s="206"/>
      <c r="GH11" s="206"/>
      <c r="GI11" s="206"/>
      <c r="GJ11" s="206"/>
      <c r="GK11" s="206"/>
    </row>
    <row r="12" spans="1:193" s="207" customFormat="1" x14ac:dyDescent="0.25">
      <c r="A12" s="211">
        <v>551197</v>
      </c>
      <c r="B12" s="438" t="str">
        <f>VLOOKUP(A12,'Tabela de Códigos e Valores'!A:B,2,FALSE)</f>
        <v>Técnico em Refrigeração Mecânico - Hora Extra Domingo e Feriado</v>
      </c>
      <c r="C12" s="439"/>
      <c r="D12" s="439"/>
      <c r="E12" s="440"/>
      <c r="F12" s="110" t="str">
        <f>VLOOKUP($A12,'Tabela de Códigos e Valores'!$A:$N,5,FALSE)</f>
        <v>Hora Extra</v>
      </c>
      <c r="G12" s="110" t="str">
        <f>VLOOKUP($A12,'Tabela de Códigos e Valores'!$A:$N,6,FALSE)</f>
        <v>Mensal</v>
      </c>
      <c r="H12" s="124">
        <f>SUMIFS('Relatório Custo'!$J:$J,'Relatório Custo'!$C:$C,$A12,'Relatório Custo'!$B:$B,'Custo  Resumido por local'!$C$1)</f>
        <v>8</v>
      </c>
      <c r="I12" s="71">
        <f>IF(F12="Posto",SUMIFS('Relatório Custo'!$V:$V,'Relatório Custo'!$C:$C,$A12,'Relatório Custo'!$B:$B,'Custo  Resumido por local'!$C$1),0)</f>
        <v>0</v>
      </c>
      <c r="J12" s="71">
        <f>SUMIFS('Relatório Custo'!$S:$S,'Relatório Custo'!$C:$C,$A12,'Relatório Custo'!$B:$B,'Custo  Resumido por local'!$C$1)</f>
        <v>0</v>
      </c>
      <c r="K12" s="71">
        <f>SUMIFS('Relatório Custo'!$T:$T,'Relatório Custo'!$C:$C,$A12,'Relatório Custo'!$B:$B,'Custo  Resumido por local'!$C$1)</f>
        <v>0</v>
      </c>
      <c r="L12" s="205"/>
      <c r="M12" s="205"/>
      <c r="N12" s="206"/>
      <c r="O12" s="206"/>
      <c r="P12" s="206"/>
      <c r="Q12" s="206"/>
      <c r="R12" s="206"/>
      <c r="S12" s="206"/>
      <c r="T12" s="206"/>
      <c r="U12" s="206"/>
      <c r="V12" s="206"/>
      <c r="W12" s="206"/>
      <c r="X12" s="206"/>
      <c r="Y12" s="206"/>
      <c r="Z12" s="206"/>
      <c r="AA12" s="206"/>
      <c r="AB12" s="206"/>
      <c r="AC12" s="206"/>
      <c r="AD12" s="206"/>
      <c r="AE12" s="206"/>
      <c r="AF12" s="206"/>
      <c r="AG12" s="206"/>
      <c r="AH12" s="206"/>
      <c r="AI12" s="206"/>
      <c r="AJ12" s="206"/>
      <c r="AK12" s="206"/>
      <c r="AL12" s="206"/>
      <c r="AM12" s="206"/>
      <c r="AN12" s="206"/>
      <c r="AO12" s="206"/>
      <c r="AP12" s="206"/>
      <c r="AQ12" s="206"/>
      <c r="AR12" s="206"/>
      <c r="AS12" s="206"/>
      <c r="AT12" s="206"/>
      <c r="AU12" s="206"/>
      <c r="AV12" s="206"/>
      <c r="AW12" s="206"/>
      <c r="AX12" s="206"/>
      <c r="AY12" s="206"/>
      <c r="AZ12" s="206"/>
      <c r="BA12" s="206"/>
      <c r="BB12" s="206"/>
      <c r="BC12" s="206"/>
      <c r="BD12" s="206"/>
      <c r="BE12" s="206"/>
      <c r="BF12" s="206"/>
      <c r="BG12" s="206"/>
      <c r="BH12" s="206"/>
      <c r="BI12" s="206"/>
      <c r="BJ12" s="206"/>
      <c r="BK12" s="206"/>
      <c r="BL12" s="206"/>
      <c r="BM12" s="206"/>
      <c r="BN12" s="206"/>
      <c r="BO12" s="206"/>
      <c r="BP12" s="206"/>
      <c r="BQ12" s="206"/>
      <c r="BR12" s="206"/>
      <c r="BS12" s="206"/>
      <c r="BT12" s="206"/>
      <c r="BU12" s="206"/>
      <c r="BV12" s="206"/>
      <c r="BW12" s="206"/>
      <c r="BX12" s="206"/>
      <c r="BY12" s="206"/>
      <c r="BZ12" s="206"/>
      <c r="CA12" s="206"/>
      <c r="CB12" s="206"/>
      <c r="CC12" s="206"/>
      <c r="CD12" s="206"/>
      <c r="CE12" s="206"/>
      <c r="CF12" s="206"/>
      <c r="CG12" s="206"/>
      <c r="CH12" s="206"/>
      <c r="CI12" s="206"/>
      <c r="CJ12" s="206"/>
      <c r="CK12" s="206"/>
      <c r="CL12" s="206"/>
      <c r="CM12" s="206"/>
      <c r="CN12" s="206"/>
      <c r="CO12" s="206"/>
      <c r="CP12" s="206"/>
      <c r="CQ12" s="206"/>
      <c r="CR12" s="206"/>
      <c r="CS12" s="206"/>
      <c r="CT12" s="206"/>
      <c r="CU12" s="206"/>
      <c r="CV12" s="206"/>
      <c r="CW12" s="206"/>
      <c r="CX12" s="206"/>
      <c r="CY12" s="206"/>
      <c r="CZ12" s="206"/>
      <c r="DA12" s="206"/>
      <c r="DB12" s="206"/>
      <c r="DC12" s="206"/>
      <c r="DD12" s="206"/>
      <c r="DE12" s="206"/>
      <c r="DF12" s="206"/>
      <c r="DG12" s="206"/>
      <c r="DH12" s="206"/>
      <c r="DI12" s="206"/>
      <c r="DJ12" s="206"/>
      <c r="DK12" s="206"/>
      <c r="DL12" s="206"/>
      <c r="DM12" s="206"/>
      <c r="DN12" s="206"/>
      <c r="DO12" s="206"/>
      <c r="DP12" s="206"/>
      <c r="DQ12" s="206"/>
      <c r="DR12" s="206"/>
      <c r="DS12" s="206"/>
      <c r="DT12" s="206"/>
      <c r="DU12" s="206"/>
      <c r="DV12" s="206"/>
      <c r="DW12" s="206"/>
      <c r="DX12" s="206"/>
      <c r="DY12" s="206"/>
      <c r="DZ12" s="206"/>
      <c r="EA12" s="206"/>
      <c r="EB12" s="206"/>
      <c r="EC12" s="206"/>
      <c r="ED12" s="206"/>
      <c r="EE12" s="206"/>
      <c r="EF12" s="206"/>
      <c r="EG12" s="206"/>
      <c r="EH12" s="206"/>
      <c r="EI12" s="206"/>
      <c r="EJ12" s="206"/>
      <c r="EK12" s="206"/>
      <c r="EL12" s="206"/>
      <c r="EM12" s="206"/>
      <c r="EN12" s="206"/>
      <c r="EO12" s="206"/>
      <c r="EP12" s="206"/>
      <c r="EQ12" s="206"/>
      <c r="ER12" s="206"/>
      <c r="ES12" s="206"/>
      <c r="ET12" s="206"/>
      <c r="EU12" s="206"/>
      <c r="EV12" s="206"/>
      <c r="EW12" s="206"/>
      <c r="EX12" s="206"/>
      <c r="EY12" s="206"/>
      <c r="EZ12" s="206"/>
      <c r="FA12" s="206"/>
      <c r="FB12" s="206"/>
      <c r="FC12" s="206"/>
      <c r="FD12" s="206"/>
      <c r="FE12" s="206"/>
      <c r="FF12" s="206"/>
      <c r="FG12" s="206"/>
      <c r="FH12" s="206"/>
      <c r="FI12" s="206"/>
      <c r="FJ12" s="206"/>
      <c r="FK12" s="206"/>
      <c r="FL12" s="206"/>
      <c r="FM12" s="206"/>
      <c r="FN12" s="206"/>
      <c r="FO12" s="206"/>
      <c r="FP12" s="206"/>
      <c r="FQ12" s="206"/>
      <c r="FR12" s="206"/>
      <c r="FS12" s="206"/>
      <c r="FT12" s="206"/>
      <c r="FU12" s="206"/>
      <c r="FV12" s="206"/>
      <c r="FW12" s="206"/>
      <c r="FX12" s="206"/>
      <c r="FY12" s="206"/>
      <c r="FZ12" s="206"/>
      <c r="GA12" s="206"/>
      <c r="GB12" s="206"/>
      <c r="GC12" s="206"/>
      <c r="GD12" s="206"/>
      <c r="GE12" s="206"/>
      <c r="GF12" s="206"/>
      <c r="GG12" s="206"/>
      <c r="GH12" s="206"/>
      <c r="GI12" s="206"/>
      <c r="GJ12" s="206"/>
      <c r="GK12" s="206"/>
    </row>
    <row r="13" spans="1:193" s="207" customFormat="1" x14ac:dyDescent="0.25">
      <c r="A13" s="211">
        <v>551198</v>
      </c>
      <c r="B13" s="438" t="str">
        <f>VLOOKUP(A13,'Tabela de Códigos e Valores'!A:B,2,FALSE)</f>
        <v>Auxiliar Técnico em Refrigeração - Hora Extra Noturna</v>
      </c>
      <c r="C13" s="439"/>
      <c r="D13" s="439"/>
      <c r="E13" s="440"/>
      <c r="F13" s="110" t="str">
        <f>VLOOKUP($A13,'Tabela de Códigos e Valores'!$A:$N,5,FALSE)</f>
        <v>Hora Extra</v>
      </c>
      <c r="G13" s="110" t="str">
        <f>VLOOKUP($A13,'Tabela de Códigos e Valores'!$A:$N,6,FALSE)</f>
        <v>Mensal</v>
      </c>
      <c r="H13" s="124">
        <f>SUMIFS('Relatório Custo'!$J:$J,'Relatório Custo'!$C:$C,$A13,'Relatório Custo'!$B:$B,'Custo  Resumido por local'!$C$1)</f>
        <v>20</v>
      </c>
      <c r="I13" s="71">
        <f>IF(F13="Posto",SUMIFS('Relatório Custo'!$V:$V,'Relatório Custo'!$C:$C,$A13,'Relatório Custo'!$B:$B,'Custo  Resumido por local'!$C$1),0)</f>
        <v>0</v>
      </c>
      <c r="J13" s="71">
        <f>SUMIFS('Relatório Custo'!$S:$S,'Relatório Custo'!$C:$C,$A13,'Relatório Custo'!$B:$B,'Custo  Resumido por local'!$C$1)</f>
        <v>0</v>
      </c>
      <c r="K13" s="71">
        <f>SUMIFS('Relatório Custo'!$T:$T,'Relatório Custo'!$C:$C,$A13,'Relatório Custo'!$B:$B,'Custo  Resumido por local'!$C$1)</f>
        <v>0</v>
      </c>
      <c r="L13" s="205"/>
      <c r="M13" s="205"/>
      <c r="N13" s="206"/>
      <c r="O13" s="206"/>
      <c r="P13" s="206"/>
      <c r="Q13" s="206"/>
      <c r="R13" s="206"/>
      <c r="S13" s="206"/>
      <c r="T13" s="206"/>
      <c r="U13" s="206"/>
      <c r="V13" s="206"/>
      <c r="W13" s="206"/>
      <c r="X13" s="206"/>
      <c r="Y13" s="206"/>
      <c r="Z13" s="206"/>
      <c r="AA13" s="206"/>
      <c r="AB13" s="206"/>
      <c r="AC13" s="206"/>
      <c r="AD13" s="206"/>
      <c r="AE13" s="206"/>
      <c r="AF13" s="206"/>
      <c r="AG13" s="206"/>
      <c r="AH13" s="206"/>
      <c r="AI13" s="206"/>
      <c r="AJ13" s="206"/>
      <c r="AK13" s="206"/>
      <c r="AL13" s="206"/>
      <c r="AM13" s="206"/>
      <c r="AN13" s="206"/>
      <c r="AO13" s="206"/>
      <c r="AP13" s="206"/>
      <c r="AQ13" s="206"/>
      <c r="AR13" s="206"/>
      <c r="AS13" s="206"/>
      <c r="AT13" s="206"/>
      <c r="AU13" s="206"/>
      <c r="AV13" s="206"/>
      <c r="AW13" s="206"/>
      <c r="AX13" s="206"/>
      <c r="AY13" s="206"/>
      <c r="AZ13" s="206"/>
      <c r="BA13" s="206"/>
      <c r="BB13" s="206"/>
      <c r="BC13" s="206"/>
      <c r="BD13" s="206"/>
      <c r="BE13" s="206"/>
      <c r="BF13" s="206"/>
      <c r="BG13" s="206"/>
      <c r="BH13" s="206"/>
      <c r="BI13" s="206"/>
      <c r="BJ13" s="206"/>
      <c r="BK13" s="206"/>
      <c r="BL13" s="206"/>
      <c r="BM13" s="206"/>
      <c r="BN13" s="206"/>
      <c r="BO13" s="206"/>
      <c r="BP13" s="206"/>
      <c r="BQ13" s="206"/>
      <c r="BR13" s="206"/>
      <c r="BS13" s="206"/>
      <c r="BT13" s="206"/>
      <c r="BU13" s="206"/>
      <c r="BV13" s="206"/>
      <c r="BW13" s="206"/>
      <c r="BX13" s="206"/>
      <c r="BY13" s="206"/>
      <c r="BZ13" s="206"/>
      <c r="CA13" s="206"/>
      <c r="CB13" s="206"/>
      <c r="CC13" s="206"/>
      <c r="CD13" s="206"/>
      <c r="CE13" s="206"/>
      <c r="CF13" s="206"/>
      <c r="CG13" s="206"/>
      <c r="CH13" s="206"/>
      <c r="CI13" s="206"/>
      <c r="CJ13" s="206"/>
      <c r="CK13" s="206"/>
      <c r="CL13" s="206"/>
      <c r="CM13" s="206"/>
      <c r="CN13" s="206"/>
      <c r="CO13" s="206"/>
      <c r="CP13" s="206"/>
      <c r="CQ13" s="206"/>
      <c r="CR13" s="206"/>
      <c r="CS13" s="206"/>
      <c r="CT13" s="206"/>
      <c r="CU13" s="206"/>
      <c r="CV13" s="206"/>
      <c r="CW13" s="206"/>
      <c r="CX13" s="206"/>
      <c r="CY13" s="206"/>
      <c r="CZ13" s="206"/>
      <c r="DA13" s="206"/>
      <c r="DB13" s="206"/>
      <c r="DC13" s="206"/>
      <c r="DD13" s="206"/>
      <c r="DE13" s="206"/>
      <c r="DF13" s="206"/>
      <c r="DG13" s="206"/>
      <c r="DH13" s="206"/>
      <c r="DI13" s="206"/>
      <c r="DJ13" s="206"/>
      <c r="DK13" s="206"/>
      <c r="DL13" s="206"/>
      <c r="DM13" s="206"/>
      <c r="DN13" s="206"/>
      <c r="DO13" s="206"/>
      <c r="DP13" s="206"/>
      <c r="DQ13" s="206"/>
      <c r="DR13" s="206"/>
      <c r="DS13" s="206"/>
      <c r="DT13" s="206"/>
      <c r="DU13" s="206"/>
      <c r="DV13" s="206"/>
      <c r="DW13" s="206"/>
      <c r="DX13" s="206"/>
      <c r="DY13" s="206"/>
      <c r="DZ13" s="206"/>
      <c r="EA13" s="206"/>
      <c r="EB13" s="206"/>
      <c r="EC13" s="206"/>
      <c r="ED13" s="206"/>
      <c r="EE13" s="206"/>
      <c r="EF13" s="206"/>
      <c r="EG13" s="206"/>
      <c r="EH13" s="206"/>
      <c r="EI13" s="206"/>
      <c r="EJ13" s="206"/>
      <c r="EK13" s="206"/>
      <c r="EL13" s="206"/>
      <c r="EM13" s="206"/>
      <c r="EN13" s="206"/>
      <c r="EO13" s="206"/>
      <c r="EP13" s="206"/>
      <c r="EQ13" s="206"/>
      <c r="ER13" s="206"/>
      <c r="ES13" s="206"/>
      <c r="ET13" s="206"/>
      <c r="EU13" s="206"/>
      <c r="EV13" s="206"/>
      <c r="EW13" s="206"/>
      <c r="EX13" s="206"/>
      <c r="EY13" s="206"/>
      <c r="EZ13" s="206"/>
      <c r="FA13" s="206"/>
      <c r="FB13" s="206"/>
      <c r="FC13" s="206"/>
      <c r="FD13" s="206"/>
      <c r="FE13" s="206"/>
      <c r="FF13" s="206"/>
      <c r="FG13" s="206"/>
      <c r="FH13" s="206"/>
      <c r="FI13" s="206"/>
      <c r="FJ13" s="206"/>
      <c r="FK13" s="206"/>
      <c r="FL13" s="206"/>
      <c r="FM13" s="206"/>
      <c r="FN13" s="206"/>
      <c r="FO13" s="206"/>
      <c r="FP13" s="206"/>
      <c r="FQ13" s="206"/>
      <c r="FR13" s="206"/>
      <c r="FS13" s="206"/>
      <c r="FT13" s="206"/>
      <c r="FU13" s="206"/>
      <c r="FV13" s="206"/>
      <c r="FW13" s="206"/>
      <c r="FX13" s="206"/>
      <c r="FY13" s="206"/>
      <c r="FZ13" s="206"/>
      <c r="GA13" s="206"/>
      <c r="GB13" s="206"/>
      <c r="GC13" s="206"/>
      <c r="GD13" s="206"/>
      <c r="GE13" s="206"/>
      <c r="GF13" s="206"/>
      <c r="GG13" s="206"/>
      <c r="GH13" s="206"/>
      <c r="GI13" s="206"/>
      <c r="GJ13" s="206"/>
      <c r="GK13" s="206"/>
    </row>
    <row r="14" spans="1:193" s="207" customFormat="1" x14ac:dyDescent="0.25">
      <c r="A14" s="211">
        <v>551199</v>
      </c>
      <c r="B14" s="438" t="str">
        <f>VLOOKUP(A14,'Tabela de Códigos e Valores'!A:B,2,FALSE)</f>
        <v>Auxiliar Técnico em Refrigeração - Hora Extra Sábado</v>
      </c>
      <c r="C14" s="439"/>
      <c r="D14" s="439"/>
      <c r="E14" s="440"/>
      <c r="F14" s="110" t="str">
        <f>VLOOKUP($A14,'Tabela de Códigos e Valores'!$A:$N,5,FALSE)</f>
        <v>Hora Extra</v>
      </c>
      <c r="G14" s="110" t="str">
        <f>VLOOKUP($A14,'Tabela de Códigos e Valores'!$A:$N,6,FALSE)</f>
        <v>Mensal</v>
      </c>
      <c r="H14" s="124">
        <f>SUMIFS('Relatório Custo'!$J:$J,'Relatório Custo'!$C:$C,$A14,'Relatório Custo'!$B:$B,'Custo  Resumido por local'!$C$1)</f>
        <v>8</v>
      </c>
      <c r="I14" s="71">
        <f>IF(F14="Posto",SUMIFS('Relatório Custo'!$V:$V,'Relatório Custo'!$C:$C,$A14,'Relatório Custo'!$B:$B,'Custo  Resumido por local'!$C$1),0)</f>
        <v>0</v>
      </c>
      <c r="J14" s="71">
        <f>SUMIFS('Relatório Custo'!$S:$S,'Relatório Custo'!$C:$C,$A14,'Relatório Custo'!$B:$B,'Custo  Resumido por local'!$C$1)</f>
        <v>0</v>
      </c>
      <c r="K14" s="71">
        <f>SUMIFS('Relatório Custo'!$T:$T,'Relatório Custo'!$C:$C,$A14,'Relatório Custo'!$B:$B,'Custo  Resumido por local'!$C$1)</f>
        <v>0</v>
      </c>
      <c r="L14" s="205"/>
      <c r="M14" s="205"/>
      <c r="N14" s="206"/>
      <c r="O14" s="206"/>
      <c r="P14" s="206"/>
      <c r="Q14" s="206"/>
      <c r="R14" s="206"/>
      <c r="S14" s="206"/>
      <c r="T14" s="206"/>
      <c r="U14" s="206"/>
      <c r="V14" s="206"/>
      <c r="W14" s="206"/>
      <c r="X14" s="206"/>
      <c r="Y14" s="206"/>
      <c r="Z14" s="206"/>
      <c r="AA14" s="206"/>
      <c r="AB14" s="206"/>
      <c r="AC14" s="206"/>
      <c r="AD14" s="206"/>
      <c r="AE14" s="206"/>
      <c r="AF14" s="206"/>
      <c r="AG14" s="206"/>
      <c r="AH14" s="206"/>
      <c r="AI14" s="206"/>
      <c r="AJ14" s="206"/>
      <c r="AK14" s="206"/>
      <c r="AL14" s="206"/>
      <c r="AM14" s="206"/>
      <c r="AN14" s="206"/>
      <c r="AO14" s="206"/>
      <c r="AP14" s="206"/>
      <c r="AQ14" s="206"/>
      <c r="AR14" s="206"/>
      <c r="AS14" s="206"/>
      <c r="AT14" s="206"/>
      <c r="AU14" s="206"/>
      <c r="AV14" s="206"/>
      <c r="AW14" s="206"/>
      <c r="AX14" s="206"/>
      <c r="AY14" s="206"/>
      <c r="AZ14" s="206"/>
      <c r="BA14" s="206"/>
      <c r="BB14" s="206"/>
      <c r="BC14" s="206"/>
      <c r="BD14" s="206"/>
      <c r="BE14" s="206"/>
      <c r="BF14" s="206"/>
      <c r="BG14" s="206"/>
      <c r="BH14" s="206"/>
      <c r="BI14" s="206"/>
      <c r="BJ14" s="206"/>
      <c r="BK14" s="206"/>
      <c r="BL14" s="206"/>
      <c r="BM14" s="206"/>
      <c r="BN14" s="206"/>
      <c r="BO14" s="206"/>
      <c r="BP14" s="206"/>
      <c r="BQ14" s="206"/>
      <c r="BR14" s="206"/>
      <c r="BS14" s="206"/>
      <c r="BT14" s="206"/>
      <c r="BU14" s="206"/>
      <c r="BV14" s="206"/>
      <c r="BW14" s="206"/>
      <c r="BX14" s="206"/>
      <c r="BY14" s="206"/>
      <c r="BZ14" s="206"/>
      <c r="CA14" s="206"/>
      <c r="CB14" s="206"/>
      <c r="CC14" s="206"/>
      <c r="CD14" s="206"/>
      <c r="CE14" s="206"/>
      <c r="CF14" s="206"/>
      <c r="CG14" s="206"/>
      <c r="CH14" s="206"/>
      <c r="CI14" s="206"/>
      <c r="CJ14" s="206"/>
      <c r="CK14" s="206"/>
      <c r="CL14" s="206"/>
      <c r="CM14" s="206"/>
      <c r="CN14" s="206"/>
      <c r="CO14" s="206"/>
      <c r="CP14" s="206"/>
      <c r="CQ14" s="206"/>
      <c r="CR14" s="206"/>
      <c r="CS14" s="206"/>
      <c r="CT14" s="206"/>
      <c r="CU14" s="206"/>
      <c r="CV14" s="206"/>
      <c r="CW14" s="206"/>
      <c r="CX14" s="206"/>
      <c r="CY14" s="206"/>
      <c r="CZ14" s="206"/>
      <c r="DA14" s="206"/>
      <c r="DB14" s="206"/>
      <c r="DC14" s="206"/>
      <c r="DD14" s="206"/>
      <c r="DE14" s="206"/>
      <c r="DF14" s="206"/>
      <c r="DG14" s="206"/>
      <c r="DH14" s="206"/>
      <c r="DI14" s="206"/>
      <c r="DJ14" s="206"/>
      <c r="DK14" s="206"/>
      <c r="DL14" s="206"/>
      <c r="DM14" s="206"/>
      <c r="DN14" s="206"/>
      <c r="DO14" s="206"/>
      <c r="DP14" s="206"/>
      <c r="DQ14" s="206"/>
      <c r="DR14" s="206"/>
      <c r="DS14" s="206"/>
      <c r="DT14" s="206"/>
      <c r="DU14" s="206"/>
      <c r="DV14" s="206"/>
      <c r="DW14" s="206"/>
      <c r="DX14" s="206"/>
      <c r="DY14" s="206"/>
      <c r="DZ14" s="206"/>
      <c r="EA14" s="206"/>
      <c r="EB14" s="206"/>
      <c r="EC14" s="206"/>
      <c r="ED14" s="206"/>
      <c r="EE14" s="206"/>
      <c r="EF14" s="206"/>
      <c r="EG14" s="206"/>
      <c r="EH14" s="206"/>
      <c r="EI14" s="206"/>
      <c r="EJ14" s="206"/>
      <c r="EK14" s="206"/>
      <c r="EL14" s="206"/>
      <c r="EM14" s="206"/>
      <c r="EN14" s="206"/>
      <c r="EO14" s="206"/>
      <c r="EP14" s="206"/>
      <c r="EQ14" s="206"/>
      <c r="ER14" s="206"/>
      <c r="ES14" s="206"/>
      <c r="ET14" s="206"/>
      <c r="EU14" s="206"/>
      <c r="EV14" s="206"/>
      <c r="EW14" s="206"/>
      <c r="EX14" s="206"/>
      <c r="EY14" s="206"/>
      <c r="EZ14" s="206"/>
      <c r="FA14" s="206"/>
      <c r="FB14" s="206"/>
      <c r="FC14" s="206"/>
      <c r="FD14" s="206"/>
      <c r="FE14" s="206"/>
      <c r="FF14" s="206"/>
      <c r="FG14" s="206"/>
      <c r="FH14" s="206"/>
      <c r="FI14" s="206"/>
      <c r="FJ14" s="206"/>
      <c r="FK14" s="206"/>
      <c r="FL14" s="206"/>
      <c r="FM14" s="206"/>
      <c r="FN14" s="206"/>
      <c r="FO14" s="206"/>
      <c r="FP14" s="206"/>
      <c r="FQ14" s="206"/>
      <c r="FR14" s="206"/>
      <c r="FS14" s="206"/>
      <c r="FT14" s="206"/>
      <c r="FU14" s="206"/>
      <c r="FV14" s="206"/>
      <c r="FW14" s="206"/>
      <c r="FX14" s="206"/>
      <c r="FY14" s="206"/>
      <c r="FZ14" s="206"/>
      <c r="GA14" s="206"/>
      <c r="GB14" s="206"/>
      <c r="GC14" s="206"/>
      <c r="GD14" s="206"/>
      <c r="GE14" s="206"/>
      <c r="GF14" s="206"/>
      <c r="GG14" s="206"/>
      <c r="GH14" s="206"/>
      <c r="GI14" s="206"/>
      <c r="GJ14" s="206"/>
      <c r="GK14" s="206"/>
    </row>
    <row r="15" spans="1:193" s="207" customFormat="1" x14ac:dyDescent="0.25">
      <c r="A15" s="211">
        <v>551200</v>
      </c>
      <c r="B15" s="438" t="str">
        <f>VLOOKUP(A15,'Tabela de Códigos e Valores'!A:B,2,FALSE)</f>
        <v>Auxiliar Técnico em Refrigeração - Hora Extra Domingos e Feriados</v>
      </c>
      <c r="C15" s="439"/>
      <c r="D15" s="439"/>
      <c r="E15" s="440"/>
      <c r="F15" s="110" t="str">
        <f>VLOOKUP($A15,'Tabela de Códigos e Valores'!$A:$N,5,FALSE)</f>
        <v>Hora Extra</v>
      </c>
      <c r="G15" s="110" t="str">
        <f>VLOOKUP($A15,'Tabela de Códigos e Valores'!$A:$N,6,FALSE)</f>
        <v>Mensal</v>
      </c>
      <c r="H15" s="124">
        <f>SUMIFS('Relatório Custo'!$J:$J,'Relatório Custo'!$C:$C,$A15,'Relatório Custo'!$B:$B,'Custo  Resumido por local'!$C$1)</f>
        <v>8</v>
      </c>
      <c r="I15" s="71">
        <f>IF(F15="Posto",SUMIFS('Relatório Custo'!$V:$V,'Relatório Custo'!$C:$C,$A15,'Relatório Custo'!$B:$B,'Custo  Resumido por local'!$C$1),0)</f>
        <v>0</v>
      </c>
      <c r="J15" s="71">
        <f>SUMIFS('Relatório Custo'!$S:$S,'Relatório Custo'!$C:$C,$A15,'Relatório Custo'!$B:$B,'Custo  Resumido por local'!$C$1)</f>
        <v>0</v>
      </c>
      <c r="K15" s="71">
        <f>SUMIFS('Relatório Custo'!$T:$T,'Relatório Custo'!$C:$C,$A15,'Relatório Custo'!$B:$B,'Custo  Resumido por local'!$C$1)</f>
        <v>0</v>
      </c>
      <c r="L15" s="205"/>
      <c r="M15" s="205"/>
      <c r="N15" s="206"/>
      <c r="O15" s="206"/>
      <c r="P15" s="206"/>
      <c r="Q15" s="206"/>
      <c r="R15" s="206"/>
      <c r="S15" s="206"/>
      <c r="T15" s="206"/>
      <c r="U15" s="206"/>
      <c r="V15" s="206"/>
      <c r="W15" s="206"/>
      <c r="X15" s="206"/>
      <c r="Y15" s="206"/>
      <c r="Z15" s="206"/>
      <c r="AA15" s="206"/>
      <c r="AB15" s="206"/>
      <c r="AC15" s="206"/>
      <c r="AD15" s="206"/>
      <c r="AE15" s="206"/>
      <c r="AF15" s="206"/>
      <c r="AG15" s="206"/>
      <c r="AH15" s="206"/>
      <c r="AI15" s="206"/>
      <c r="AJ15" s="206"/>
      <c r="AK15" s="206"/>
      <c r="AL15" s="206"/>
      <c r="AM15" s="206"/>
      <c r="AN15" s="206"/>
      <c r="AO15" s="206"/>
      <c r="AP15" s="206"/>
      <c r="AQ15" s="206"/>
      <c r="AR15" s="206"/>
      <c r="AS15" s="206"/>
      <c r="AT15" s="206"/>
      <c r="AU15" s="206"/>
      <c r="AV15" s="206"/>
      <c r="AW15" s="206"/>
      <c r="AX15" s="206"/>
      <c r="AY15" s="206"/>
      <c r="AZ15" s="206"/>
      <c r="BA15" s="206"/>
      <c r="BB15" s="206"/>
      <c r="BC15" s="206"/>
      <c r="BD15" s="206"/>
      <c r="BE15" s="206"/>
      <c r="BF15" s="206"/>
      <c r="BG15" s="206"/>
      <c r="BH15" s="206"/>
      <c r="BI15" s="206"/>
      <c r="BJ15" s="206"/>
      <c r="BK15" s="206"/>
      <c r="BL15" s="206"/>
      <c r="BM15" s="206"/>
      <c r="BN15" s="206"/>
      <c r="BO15" s="206"/>
      <c r="BP15" s="206"/>
      <c r="BQ15" s="206"/>
      <c r="BR15" s="206"/>
      <c r="BS15" s="206"/>
      <c r="BT15" s="206"/>
      <c r="BU15" s="206"/>
      <c r="BV15" s="206"/>
      <c r="BW15" s="206"/>
      <c r="BX15" s="206"/>
      <c r="BY15" s="206"/>
      <c r="BZ15" s="206"/>
      <c r="CA15" s="206"/>
      <c r="CB15" s="206"/>
      <c r="CC15" s="206"/>
      <c r="CD15" s="206"/>
      <c r="CE15" s="206"/>
      <c r="CF15" s="206"/>
      <c r="CG15" s="206"/>
      <c r="CH15" s="206"/>
      <c r="CI15" s="206"/>
      <c r="CJ15" s="206"/>
      <c r="CK15" s="206"/>
      <c r="CL15" s="206"/>
      <c r="CM15" s="206"/>
      <c r="CN15" s="206"/>
      <c r="CO15" s="206"/>
      <c r="CP15" s="206"/>
      <c r="CQ15" s="206"/>
      <c r="CR15" s="206"/>
      <c r="CS15" s="206"/>
      <c r="CT15" s="206"/>
      <c r="CU15" s="206"/>
      <c r="CV15" s="206"/>
      <c r="CW15" s="206"/>
      <c r="CX15" s="206"/>
      <c r="CY15" s="206"/>
      <c r="CZ15" s="206"/>
      <c r="DA15" s="206"/>
      <c r="DB15" s="206"/>
      <c r="DC15" s="206"/>
      <c r="DD15" s="206"/>
      <c r="DE15" s="206"/>
      <c r="DF15" s="206"/>
      <c r="DG15" s="206"/>
      <c r="DH15" s="206"/>
      <c r="DI15" s="206"/>
      <c r="DJ15" s="206"/>
      <c r="DK15" s="206"/>
      <c r="DL15" s="206"/>
      <c r="DM15" s="206"/>
      <c r="DN15" s="206"/>
      <c r="DO15" s="206"/>
      <c r="DP15" s="206"/>
      <c r="DQ15" s="206"/>
      <c r="DR15" s="206"/>
      <c r="DS15" s="206"/>
      <c r="DT15" s="206"/>
      <c r="DU15" s="206"/>
      <c r="DV15" s="206"/>
      <c r="DW15" s="206"/>
      <c r="DX15" s="206"/>
      <c r="DY15" s="206"/>
      <c r="DZ15" s="206"/>
      <c r="EA15" s="206"/>
      <c r="EB15" s="206"/>
      <c r="EC15" s="206"/>
      <c r="ED15" s="206"/>
      <c r="EE15" s="206"/>
      <c r="EF15" s="206"/>
      <c r="EG15" s="206"/>
      <c r="EH15" s="206"/>
      <c r="EI15" s="206"/>
      <c r="EJ15" s="206"/>
      <c r="EK15" s="206"/>
      <c r="EL15" s="206"/>
      <c r="EM15" s="206"/>
      <c r="EN15" s="206"/>
      <c r="EO15" s="206"/>
      <c r="EP15" s="206"/>
      <c r="EQ15" s="206"/>
      <c r="ER15" s="206"/>
      <c r="ES15" s="206"/>
      <c r="ET15" s="206"/>
      <c r="EU15" s="206"/>
      <c r="EV15" s="206"/>
      <c r="EW15" s="206"/>
      <c r="EX15" s="206"/>
      <c r="EY15" s="206"/>
      <c r="EZ15" s="206"/>
      <c r="FA15" s="206"/>
      <c r="FB15" s="206"/>
      <c r="FC15" s="206"/>
      <c r="FD15" s="206"/>
      <c r="FE15" s="206"/>
      <c r="FF15" s="206"/>
      <c r="FG15" s="206"/>
      <c r="FH15" s="206"/>
      <c r="FI15" s="206"/>
      <c r="FJ15" s="206"/>
      <c r="FK15" s="206"/>
      <c r="FL15" s="206"/>
      <c r="FM15" s="206"/>
      <c r="FN15" s="206"/>
      <c r="FO15" s="206"/>
      <c r="FP15" s="206"/>
      <c r="FQ15" s="206"/>
      <c r="FR15" s="206"/>
      <c r="FS15" s="206"/>
      <c r="FT15" s="206"/>
      <c r="FU15" s="206"/>
      <c r="FV15" s="206"/>
      <c r="FW15" s="206"/>
      <c r="FX15" s="206"/>
      <c r="FY15" s="206"/>
      <c r="FZ15" s="206"/>
      <c r="GA15" s="206"/>
      <c r="GB15" s="206"/>
      <c r="GC15" s="206"/>
      <c r="GD15" s="206"/>
      <c r="GE15" s="206"/>
      <c r="GF15" s="206"/>
      <c r="GG15" s="206"/>
      <c r="GH15" s="206"/>
      <c r="GI15" s="206"/>
      <c r="GJ15" s="206"/>
      <c r="GK15" s="206"/>
    </row>
    <row r="16" spans="1:193" x14ac:dyDescent="0.25">
      <c r="A16" s="413"/>
      <c r="B16" s="414"/>
      <c r="C16" s="414"/>
      <c r="D16" s="414"/>
      <c r="E16" s="414"/>
      <c r="F16" s="414"/>
      <c r="G16" s="415"/>
      <c r="H16" s="74"/>
      <c r="I16" s="74">
        <f>ROUND(SUBTOTAL(9,I5:I15),2)</f>
        <v>0</v>
      </c>
      <c r="J16" s="74">
        <f>ROUND(SUBTOTAL(9,J5:J15),2)</f>
        <v>0</v>
      </c>
      <c r="K16" s="74">
        <f>ROUND(SUBTOTAL(9,K5:K15),2)</f>
        <v>0</v>
      </c>
      <c r="L16" s="75"/>
      <c r="M16" s="75"/>
      <c r="N16" s="75"/>
      <c r="O16" s="72"/>
    </row>
    <row r="17" spans="1:193" x14ac:dyDescent="0.25">
      <c r="A17" s="76" t="s">
        <v>175</v>
      </c>
      <c r="B17" s="77"/>
      <c r="C17" s="77"/>
      <c r="D17" s="120"/>
      <c r="E17" s="77"/>
      <c r="F17" s="77"/>
      <c r="G17" s="77"/>
      <c r="H17" s="77"/>
      <c r="I17" s="77"/>
      <c r="J17" s="77"/>
      <c r="K17" s="97"/>
      <c r="L17" s="72"/>
      <c r="M17" s="72"/>
      <c r="N17" s="72"/>
      <c r="O17" s="72"/>
    </row>
    <row r="18" spans="1:193" x14ac:dyDescent="0.25">
      <c r="A18" s="401" t="s">
        <v>82</v>
      </c>
      <c r="B18" s="402"/>
      <c r="C18" s="402"/>
      <c r="D18" s="402"/>
      <c r="E18" s="402"/>
      <c r="F18" s="402"/>
      <c r="G18" s="402"/>
      <c r="H18" s="402"/>
      <c r="I18" s="402"/>
      <c r="J18" s="402"/>
      <c r="K18" s="403"/>
    </row>
    <row r="19" spans="1:193" x14ac:dyDescent="0.25">
      <c r="A19" s="111" t="s">
        <v>176</v>
      </c>
      <c r="B19" s="105" t="s">
        <v>177</v>
      </c>
      <c r="C19" s="106"/>
      <c r="D19" s="106"/>
      <c r="E19" s="106"/>
      <c r="F19" s="106"/>
      <c r="G19" s="106"/>
      <c r="H19" s="106"/>
      <c r="I19" s="107"/>
      <c r="J19" s="110"/>
      <c r="K19" s="78">
        <f>$I$16</f>
        <v>0</v>
      </c>
    </row>
    <row r="20" spans="1:193" x14ac:dyDescent="0.25">
      <c r="A20" s="111" t="s">
        <v>178</v>
      </c>
      <c r="B20" s="105" t="s">
        <v>72</v>
      </c>
      <c r="C20" s="106"/>
      <c r="D20" s="106"/>
      <c r="E20" s="106"/>
      <c r="F20" s="106"/>
      <c r="G20" s="106"/>
      <c r="H20" s="106"/>
      <c r="I20" s="106"/>
      <c r="J20" s="79">
        <f>'Indicadores Financeiros'!$J$28</f>
        <v>8.9300000000000004E-2</v>
      </c>
      <c r="K20" s="444"/>
    </row>
    <row r="21" spans="1:193" x14ac:dyDescent="0.25">
      <c r="A21" s="111" t="s">
        <v>179</v>
      </c>
      <c r="B21" s="105" t="s">
        <v>75</v>
      </c>
      <c r="C21" s="106"/>
      <c r="D21" s="106"/>
      <c r="E21" s="106"/>
      <c r="F21" s="106"/>
      <c r="G21" s="106"/>
      <c r="H21" s="106"/>
      <c r="I21" s="106"/>
      <c r="J21" s="79">
        <f>'Indicadores Financeiros'!$J$56</f>
        <v>8.9300000000000004E-2</v>
      </c>
      <c r="K21" s="445"/>
    </row>
    <row r="22" spans="1:193" x14ac:dyDescent="0.25">
      <c r="A22" s="111" t="s">
        <v>180</v>
      </c>
      <c r="B22" s="105" t="s">
        <v>83</v>
      </c>
      <c r="C22" s="106"/>
      <c r="D22" s="106"/>
      <c r="E22" s="106"/>
      <c r="F22" s="106"/>
      <c r="G22" s="106"/>
      <c r="H22" s="106"/>
      <c r="I22" s="106"/>
      <c r="J22" s="79">
        <f>'Indicadores Financeiros'!$J$29</f>
        <v>2.98E-2</v>
      </c>
      <c r="K22" s="445"/>
    </row>
    <row r="23" spans="1:193" x14ac:dyDescent="0.25">
      <c r="A23" s="111" t="s">
        <v>181</v>
      </c>
      <c r="B23" s="105" t="s">
        <v>182</v>
      </c>
      <c r="C23" s="106"/>
      <c r="D23" s="106"/>
      <c r="E23" s="106"/>
      <c r="F23" s="107"/>
      <c r="G23" s="80"/>
      <c r="H23" s="81" t="s">
        <v>41</v>
      </c>
      <c r="I23" s="82">
        <f>'Indicadores Financeiros'!$J$25</f>
        <v>0.33800000000000008</v>
      </c>
      <c r="J23" s="79">
        <f>ROUND(I23*SUM(J20:J22),4)</f>
        <v>7.0400000000000004E-2</v>
      </c>
      <c r="K23" s="445"/>
    </row>
    <row r="24" spans="1:193" x14ac:dyDescent="0.25">
      <c r="A24" s="111" t="s">
        <v>183</v>
      </c>
      <c r="B24" s="105" t="s">
        <v>85</v>
      </c>
      <c r="C24" s="106"/>
      <c r="D24" s="106"/>
      <c r="E24" s="106"/>
      <c r="F24" s="106"/>
      <c r="G24" s="106"/>
      <c r="H24" s="106"/>
      <c r="I24" s="106"/>
      <c r="J24" s="79">
        <f>'Indicadores Financeiros'!$J$53</f>
        <v>3.4799999999999998E-2</v>
      </c>
      <c r="K24" s="446"/>
    </row>
    <row r="25" spans="1:193" x14ac:dyDescent="0.25">
      <c r="A25" s="406" t="s">
        <v>184</v>
      </c>
      <c r="B25" s="407"/>
      <c r="C25" s="407"/>
      <c r="D25" s="407"/>
      <c r="E25" s="407"/>
      <c r="F25" s="407"/>
      <c r="G25" s="407"/>
      <c r="H25" s="407"/>
      <c r="I25" s="408"/>
      <c r="J25" s="83">
        <f>ROUND(SUM(J20:J24),4)</f>
        <v>0.31359999999999999</v>
      </c>
      <c r="K25" s="84">
        <f>ROUND($J$25*$K$19,2)</f>
        <v>0</v>
      </c>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row>
    <row r="26" spans="1:193" x14ac:dyDescent="0.25">
      <c r="A26" s="108"/>
      <c r="B26" s="108"/>
      <c r="C26" s="108"/>
      <c r="D26" s="106"/>
      <c r="E26" s="108"/>
      <c r="F26" s="108"/>
      <c r="G26" s="108"/>
      <c r="H26" s="108"/>
      <c r="I26" s="108"/>
      <c r="J26" s="108"/>
      <c r="K26" s="95"/>
      <c r="L26" s="85"/>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row>
    <row r="27" spans="1:193" x14ac:dyDescent="0.25">
      <c r="A27" s="401" t="s">
        <v>185</v>
      </c>
      <c r="B27" s="409"/>
      <c r="C27" s="409"/>
      <c r="D27" s="409"/>
      <c r="E27" s="409"/>
      <c r="F27" s="409"/>
      <c r="G27" s="409"/>
      <c r="H27" s="409"/>
      <c r="I27" s="409"/>
      <c r="J27" s="409"/>
      <c r="K27" s="405"/>
      <c r="L27" s="85"/>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row>
    <row r="28" spans="1:193" ht="15" customHeight="1" x14ac:dyDescent="0.25">
      <c r="A28" s="426" t="s">
        <v>186</v>
      </c>
      <c r="B28" s="432"/>
      <c r="C28" s="419" t="s">
        <v>192</v>
      </c>
      <c r="D28" s="447"/>
      <c r="E28" s="447"/>
      <c r="F28" s="447"/>
      <c r="G28" s="447"/>
      <c r="H28" s="419" t="s">
        <v>188</v>
      </c>
      <c r="I28" s="420"/>
      <c r="J28" s="419" t="s">
        <v>189</v>
      </c>
      <c r="K28" s="420"/>
      <c r="L28" s="85"/>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row>
    <row r="29" spans="1:193" ht="15" customHeight="1" x14ac:dyDescent="0.25">
      <c r="A29" s="433"/>
      <c r="B29" s="434"/>
      <c r="C29" s="421"/>
      <c r="D29" s="448"/>
      <c r="E29" s="448"/>
      <c r="F29" s="448"/>
      <c r="G29" s="448"/>
      <c r="H29" s="421"/>
      <c r="I29" s="422"/>
      <c r="J29" s="421"/>
      <c r="K29" s="422"/>
      <c r="L29" s="85"/>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row>
    <row r="30" spans="1:193" x14ac:dyDescent="0.25">
      <c r="A30" s="404">
        <v>1</v>
      </c>
      <c r="B30" s="405"/>
      <c r="C30" s="423">
        <f>IF(A30&lt;='Indicadores Financeiros'!$F$14,SUMIFS('Relatório Custo'!$S:$S,'Relatório Custo'!$G:$G,'Custo  Resumido por local'!$C$28,'Relatório Custo'!$F:$F,"&lt;="&amp;'Custo  Resumido por local'!$A30,'Relatório Custo'!$B:$B,'Custo  Resumido por local'!$C$1),0)</f>
        <v>0</v>
      </c>
      <c r="D30" s="425"/>
      <c r="E30" s="425"/>
      <c r="F30" s="425"/>
      <c r="G30" s="424"/>
      <c r="H30" s="423">
        <f>IF(A30&lt;='Indicadores Financeiros'!$F$14,SUMIFS('Relatório Custo'!$V:$V,'Relatório Custo'!$F:$F,"&lt;="&amp;'Custo  Resumido por local'!$A30,'Relatório Custo'!$B:$B,'Custo  Resumido por local'!$C$1),0)</f>
        <v>0</v>
      </c>
      <c r="I30" s="424"/>
      <c r="J30" s="423">
        <f>IF(A30&lt;='Indicadores Financeiros'!$F$14,SUMIFS('Relatório Custo'!$W:$W,'Relatório Custo'!$F:$F,"&lt;="&amp;'Custo  Resumido por local'!$A30,'Relatório Custo'!$B:$B,'Custo  Resumido por local'!$C$1),0)</f>
        <v>0</v>
      </c>
      <c r="K30" s="424"/>
      <c r="L30" s="98"/>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row>
    <row r="31" spans="1:193" x14ac:dyDescent="0.25">
      <c r="A31" s="404">
        <v>2</v>
      </c>
      <c r="B31" s="405"/>
      <c r="C31" s="423">
        <f>IF(A31&lt;='Indicadores Financeiros'!$F$14,SUMIFS('Relatório Custo'!$S:$S,'Relatório Custo'!$G:$G,'Custo  Resumido por local'!$C$28,'Relatório Custo'!$F:$F,"&lt;="&amp;'Custo  Resumido por local'!$A31,'Relatório Custo'!$B:$B,'Custo  Resumido por local'!$C$1),0)</f>
        <v>0</v>
      </c>
      <c r="D31" s="425"/>
      <c r="E31" s="425"/>
      <c r="F31" s="425"/>
      <c r="G31" s="424"/>
      <c r="H31" s="423">
        <f>IF(A31&lt;='Indicadores Financeiros'!$F$14,SUMIFS('Relatório Custo'!$V:$V,'Relatório Custo'!$F:$F,"&lt;="&amp;'Custo  Resumido por local'!$A31,'Relatório Custo'!$B:$B,'Custo  Resumido por local'!$C$1),0)</f>
        <v>0</v>
      </c>
      <c r="I31" s="424"/>
      <c r="J31" s="423">
        <f>IF(A31&lt;='Indicadores Financeiros'!$F$14,SUMIFS('Relatório Custo'!$W:$W,'Relatório Custo'!$F:$F,"&lt;="&amp;'Custo  Resumido por local'!$A31,'Relatório Custo'!$B:$B,'Custo  Resumido por local'!$C$1),0)</f>
        <v>0</v>
      </c>
      <c r="K31" s="424"/>
      <c r="L31" s="85"/>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row>
    <row r="32" spans="1:193" x14ac:dyDescent="0.25">
      <c r="A32" s="404">
        <v>3</v>
      </c>
      <c r="B32" s="405"/>
      <c r="C32" s="423">
        <f>IF(A32&lt;='Indicadores Financeiros'!$F$14,SUMIFS('Relatório Custo'!$S:$S,'Relatório Custo'!$G:$G,'Custo  Resumido por local'!$C$28,'Relatório Custo'!$F:$F,"&lt;="&amp;'Custo  Resumido por local'!$A32,'Relatório Custo'!$B:$B,'Custo  Resumido por local'!$C$1),0)</f>
        <v>0</v>
      </c>
      <c r="D32" s="425"/>
      <c r="E32" s="425"/>
      <c r="F32" s="425"/>
      <c r="G32" s="424"/>
      <c r="H32" s="423">
        <f>IF(A32&lt;='Indicadores Financeiros'!$F$14,SUMIFS('Relatório Custo'!$V:$V,'Relatório Custo'!$F:$F,"&lt;="&amp;'Custo  Resumido por local'!$A32,'Relatório Custo'!$B:$B,'Custo  Resumido por local'!$C$1),0)</f>
        <v>0</v>
      </c>
      <c r="I32" s="424"/>
      <c r="J32" s="423">
        <f>IF(A32&lt;='Indicadores Financeiros'!$F$14,SUMIFS('Relatório Custo'!$W:$W,'Relatório Custo'!$F:$F,"&lt;="&amp;'Custo  Resumido por local'!$A32,'Relatório Custo'!$B:$B,'Custo  Resumido por local'!$C$1),0)</f>
        <v>0</v>
      </c>
      <c r="K32" s="424"/>
      <c r="L32" s="85"/>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row>
    <row r="33" spans="1:193" x14ac:dyDescent="0.25">
      <c r="A33" s="404">
        <v>4</v>
      </c>
      <c r="B33" s="405"/>
      <c r="C33" s="423">
        <f>IF(A33&lt;='Indicadores Financeiros'!$F$14,SUMIFS('Relatório Custo'!$S:$S,'Relatório Custo'!$G:$G,'Custo  Resumido por local'!$C$28,'Relatório Custo'!$F:$F,"&lt;="&amp;'Custo  Resumido por local'!$A33,'Relatório Custo'!$B:$B,'Custo  Resumido por local'!$C$1),0)</f>
        <v>0</v>
      </c>
      <c r="D33" s="425"/>
      <c r="E33" s="425"/>
      <c r="F33" s="425"/>
      <c r="G33" s="424"/>
      <c r="H33" s="423">
        <f>IF(A33&lt;='Indicadores Financeiros'!$F$14,SUMIFS('Relatório Custo'!$V:$V,'Relatório Custo'!$F:$F,"&lt;="&amp;'Custo  Resumido por local'!$A33,'Relatório Custo'!$B:$B,'Custo  Resumido por local'!$C$1),0)</f>
        <v>0</v>
      </c>
      <c r="I33" s="424"/>
      <c r="J33" s="423">
        <f>IF(A33&lt;='Indicadores Financeiros'!$F$14,SUMIFS('Relatório Custo'!$W:$W,'Relatório Custo'!$F:$F,"&lt;="&amp;'Custo  Resumido por local'!$A33,'Relatório Custo'!$B:$B,'Custo  Resumido por local'!$C$1),0)</f>
        <v>0</v>
      </c>
      <c r="K33" s="424"/>
      <c r="L33" s="85"/>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row>
    <row r="34" spans="1:193" x14ac:dyDescent="0.25">
      <c r="A34" s="404">
        <v>5</v>
      </c>
      <c r="B34" s="405"/>
      <c r="C34" s="423">
        <f>IF(A34&lt;='Indicadores Financeiros'!$F$14,SUMIFS('Relatório Custo'!$S:$S,'Relatório Custo'!$G:$G,'Custo  Resumido por local'!$C$28,'Relatório Custo'!$F:$F,"&lt;="&amp;'Custo  Resumido por local'!$A34,'Relatório Custo'!$B:$B,'Custo  Resumido por local'!$C$1),0)</f>
        <v>0</v>
      </c>
      <c r="D34" s="425"/>
      <c r="E34" s="425"/>
      <c r="F34" s="425"/>
      <c r="G34" s="424"/>
      <c r="H34" s="423">
        <f>IF(A34&lt;='Indicadores Financeiros'!$F$14,SUMIFS('Relatório Custo'!$V:$V,'Relatório Custo'!$F:$F,"&lt;="&amp;'Custo  Resumido por local'!$A34,'Relatório Custo'!$B:$B,'Custo  Resumido por local'!$C$1),0)</f>
        <v>0</v>
      </c>
      <c r="I34" s="424"/>
      <c r="J34" s="423">
        <f>IF(A34&lt;='Indicadores Financeiros'!$F$14,SUMIFS('Relatório Custo'!$W:$W,'Relatório Custo'!$F:$F,"&lt;="&amp;'Custo  Resumido por local'!$A34,'Relatório Custo'!$B:$B,'Custo  Resumido por local'!$C$1),0)</f>
        <v>0</v>
      </c>
      <c r="K34" s="424"/>
      <c r="L34" s="85"/>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row>
    <row r="35" spans="1:193" x14ac:dyDescent="0.25">
      <c r="A35" s="404">
        <v>6</v>
      </c>
      <c r="B35" s="405"/>
      <c r="C35" s="423">
        <f>IF(A35&lt;='Indicadores Financeiros'!$F$14,SUMIFS('Relatório Custo'!$S:$S,'Relatório Custo'!$G:$G,'Custo  Resumido por local'!$C$28,'Relatório Custo'!$F:$F,"&lt;="&amp;'Custo  Resumido por local'!$A35,'Relatório Custo'!$B:$B,'Custo  Resumido por local'!$C$1),0)</f>
        <v>0</v>
      </c>
      <c r="D35" s="425"/>
      <c r="E35" s="425"/>
      <c r="F35" s="425"/>
      <c r="G35" s="424"/>
      <c r="H35" s="423">
        <f>IF(A35&lt;='Indicadores Financeiros'!$F$14,SUMIFS('Relatório Custo'!$V:$V,'Relatório Custo'!$F:$F,"&lt;="&amp;'Custo  Resumido por local'!$A35,'Relatório Custo'!$B:$B,'Custo  Resumido por local'!$C$1),0)</f>
        <v>0</v>
      </c>
      <c r="I35" s="424"/>
      <c r="J35" s="423">
        <f>IF(A35&lt;='Indicadores Financeiros'!$F$14,SUMIFS('Relatório Custo'!$W:$W,'Relatório Custo'!$F:$F,"&lt;="&amp;'Custo  Resumido por local'!$A35,'Relatório Custo'!$B:$B,'Custo  Resumido por local'!$C$1),0)</f>
        <v>0</v>
      </c>
      <c r="K35" s="424"/>
      <c r="L35" s="8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row>
    <row r="36" spans="1:193" x14ac:dyDescent="0.25">
      <c r="A36" s="404">
        <v>7</v>
      </c>
      <c r="B36" s="405"/>
      <c r="C36" s="423">
        <f>IF(A36&lt;='Indicadores Financeiros'!$F$14,SUMIFS('Relatório Custo'!$S:$S,'Relatório Custo'!$G:$G,'Custo  Resumido por local'!$C$28,'Relatório Custo'!$F:$F,"&lt;="&amp;'Custo  Resumido por local'!$A36,'Relatório Custo'!$B:$B,'Custo  Resumido por local'!$C$1),0)</f>
        <v>0</v>
      </c>
      <c r="D36" s="425"/>
      <c r="E36" s="425"/>
      <c r="F36" s="425"/>
      <c r="G36" s="424"/>
      <c r="H36" s="423">
        <f>IF(A36&lt;='Indicadores Financeiros'!$F$14,SUMIFS('Relatório Custo'!$V:$V,'Relatório Custo'!$F:$F,"&lt;="&amp;'Custo  Resumido por local'!$A36,'Relatório Custo'!$B:$B,'Custo  Resumido por local'!$C$1),0)</f>
        <v>0</v>
      </c>
      <c r="I36" s="424"/>
      <c r="J36" s="423">
        <f>IF(A36&lt;='Indicadores Financeiros'!$F$14,SUMIFS('Relatório Custo'!$W:$W,'Relatório Custo'!$F:$F,"&lt;="&amp;'Custo  Resumido por local'!$A36,'Relatório Custo'!$B:$B,'Custo  Resumido por local'!$C$1),0)</f>
        <v>0</v>
      </c>
      <c r="K36" s="424"/>
      <c r="L36" s="85"/>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row>
    <row r="37" spans="1:193" x14ac:dyDescent="0.25">
      <c r="A37" s="404">
        <v>8</v>
      </c>
      <c r="B37" s="405"/>
      <c r="C37" s="423">
        <f>IF(A37&lt;='Indicadores Financeiros'!$F$14,SUMIFS('Relatório Custo'!$S:$S,'Relatório Custo'!$G:$G,'Custo  Resumido por local'!$C$28,'Relatório Custo'!$F:$F,"&lt;="&amp;'Custo  Resumido por local'!$A37,'Relatório Custo'!$B:$B,'Custo  Resumido por local'!$C$1),0)</f>
        <v>0</v>
      </c>
      <c r="D37" s="425"/>
      <c r="E37" s="425"/>
      <c r="F37" s="425"/>
      <c r="G37" s="424"/>
      <c r="H37" s="423">
        <f>IF(A37&lt;='Indicadores Financeiros'!$F$14,SUMIFS('Relatório Custo'!$V:$V,'Relatório Custo'!$F:$F,"&lt;="&amp;'Custo  Resumido por local'!$A37,'Relatório Custo'!$B:$B,'Custo  Resumido por local'!$C$1),0)</f>
        <v>0</v>
      </c>
      <c r="I37" s="424"/>
      <c r="J37" s="423">
        <f>IF(A37&lt;='Indicadores Financeiros'!$F$14,SUMIFS('Relatório Custo'!$W:$W,'Relatório Custo'!$F:$F,"&lt;="&amp;'Custo  Resumido por local'!$A37,'Relatório Custo'!$B:$B,'Custo  Resumido por local'!$C$1),0)</f>
        <v>0</v>
      </c>
      <c r="K37" s="424"/>
      <c r="L37" s="85"/>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row>
    <row r="38" spans="1:193" x14ac:dyDescent="0.25">
      <c r="A38" s="404">
        <v>9</v>
      </c>
      <c r="B38" s="405"/>
      <c r="C38" s="423">
        <f>IF(A38&lt;='Indicadores Financeiros'!$F$14,SUMIFS('Relatório Custo'!$S:$S,'Relatório Custo'!$G:$G,'Custo  Resumido por local'!$C$28,'Relatório Custo'!$F:$F,"&lt;="&amp;'Custo  Resumido por local'!$A38,'Relatório Custo'!$B:$B,'Custo  Resumido por local'!$C$1),0)</f>
        <v>0</v>
      </c>
      <c r="D38" s="425"/>
      <c r="E38" s="425"/>
      <c r="F38" s="425"/>
      <c r="G38" s="424"/>
      <c r="H38" s="423">
        <f>IF(A38&lt;='Indicadores Financeiros'!$F$14,SUMIFS('Relatório Custo'!$V:$V,'Relatório Custo'!$F:$F,"&lt;="&amp;'Custo  Resumido por local'!$A38,'Relatório Custo'!$B:$B,'Custo  Resumido por local'!$C$1),0)</f>
        <v>0</v>
      </c>
      <c r="I38" s="424"/>
      <c r="J38" s="423">
        <f>IF(A38&lt;='Indicadores Financeiros'!$F$14,SUMIFS('Relatório Custo'!$W:$W,'Relatório Custo'!$F:$F,"&lt;="&amp;'Custo  Resumido por local'!$A38,'Relatório Custo'!$B:$B,'Custo  Resumido por local'!$C$1),0)</f>
        <v>0</v>
      </c>
      <c r="K38" s="424"/>
      <c r="L38" s="85"/>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row>
    <row r="39" spans="1:193" x14ac:dyDescent="0.25">
      <c r="A39" s="404">
        <v>10</v>
      </c>
      <c r="B39" s="405"/>
      <c r="C39" s="423">
        <f>IF(A39&lt;='Indicadores Financeiros'!$F$14,SUMIFS('Relatório Custo'!$S:$S,'Relatório Custo'!$G:$G,'Custo  Resumido por local'!$C$28,'Relatório Custo'!$F:$F,"&lt;="&amp;'Custo  Resumido por local'!$A39,'Relatório Custo'!$B:$B,'Custo  Resumido por local'!$C$1),0)</f>
        <v>0</v>
      </c>
      <c r="D39" s="425"/>
      <c r="E39" s="425"/>
      <c r="F39" s="425"/>
      <c r="G39" s="424"/>
      <c r="H39" s="423">
        <f>IF(A39&lt;='Indicadores Financeiros'!$F$14,SUMIFS('Relatório Custo'!$V:$V,'Relatório Custo'!$F:$F,"&lt;="&amp;'Custo  Resumido por local'!$A39,'Relatório Custo'!$B:$B,'Custo  Resumido por local'!$C$1),0)</f>
        <v>0</v>
      </c>
      <c r="I39" s="424"/>
      <c r="J39" s="423">
        <f>IF(A39&lt;='Indicadores Financeiros'!$F$14,SUMIFS('Relatório Custo'!$W:$W,'Relatório Custo'!$F:$F,"&lt;="&amp;'Custo  Resumido por local'!$A39,'Relatório Custo'!$B:$B,'Custo  Resumido por local'!$C$1),0)</f>
        <v>0</v>
      </c>
      <c r="K39" s="424"/>
      <c r="L39" s="85"/>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row>
    <row r="40" spans="1:193" x14ac:dyDescent="0.25">
      <c r="A40" s="404">
        <v>11</v>
      </c>
      <c r="B40" s="405"/>
      <c r="C40" s="423">
        <f>IF(A40&lt;='Indicadores Financeiros'!$F$14,SUMIFS('Relatório Custo'!$S:$S,'Relatório Custo'!$G:$G,'Custo  Resumido por local'!$C$28,'Relatório Custo'!$F:$F,"&lt;="&amp;'Custo  Resumido por local'!$A40,'Relatório Custo'!$B:$B,'Custo  Resumido por local'!$C$1),0)</f>
        <v>0</v>
      </c>
      <c r="D40" s="425"/>
      <c r="E40" s="425"/>
      <c r="F40" s="425"/>
      <c r="G40" s="424"/>
      <c r="H40" s="423">
        <f>IF(A40&lt;='Indicadores Financeiros'!$F$14,SUMIFS('Relatório Custo'!$V:$V,'Relatório Custo'!$F:$F,"&lt;="&amp;'Custo  Resumido por local'!$A40,'Relatório Custo'!$B:$B,'Custo  Resumido por local'!$C$1),0)</f>
        <v>0</v>
      </c>
      <c r="I40" s="424"/>
      <c r="J40" s="423">
        <f>IF(A40&lt;='Indicadores Financeiros'!$F$14,SUMIFS('Relatório Custo'!$W:$W,'Relatório Custo'!$F:$F,"&lt;="&amp;'Custo  Resumido por local'!$A40,'Relatório Custo'!$B:$B,'Custo  Resumido por local'!$C$1),0)</f>
        <v>0</v>
      </c>
      <c r="K40" s="424"/>
      <c r="L40" s="85"/>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row>
    <row r="41" spans="1:193" x14ac:dyDescent="0.25">
      <c r="A41" s="404">
        <v>12</v>
      </c>
      <c r="B41" s="405"/>
      <c r="C41" s="423">
        <f>IF(A41&lt;='Indicadores Financeiros'!$F$14,SUMIFS('Relatório Custo'!$S:$S,'Relatório Custo'!$G:$G,'Custo  Resumido por local'!$C$28,'Relatório Custo'!$F:$F,"&lt;="&amp;'Custo  Resumido por local'!$A41,'Relatório Custo'!$B:$B,'Custo  Resumido por local'!$C$1),0)</f>
        <v>0</v>
      </c>
      <c r="D41" s="425"/>
      <c r="E41" s="425"/>
      <c r="F41" s="425"/>
      <c r="G41" s="424"/>
      <c r="H41" s="423">
        <f>IF(A41&lt;='Indicadores Financeiros'!$F$14,SUMIFS('Relatório Custo'!$V:$V,'Relatório Custo'!$F:$F,"&lt;="&amp;'Custo  Resumido por local'!$A41,'Relatório Custo'!$B:$B,'Custo  Resumido por local'!$C$1),0)</f>
        <v>0</v>
      </c>
      <c r="I41" s="424"/>
      <c r="J41" s="423">
        <f>IF(A41&lt;='Indicadores Financeiros'!$F$14,SUMIFS('Relatório Custo'!$W:$W,'Relatório Custo'!$F:$F,"&lt;="&amp;'Custo  Resumido por local'!$A41,'Relatório Custo'!$B:$B,'Custo  Resumido por local'!$C$1),0)</f>
        <v>0</v>
      </c>
      <c r="K41" s="424"/>
      <c r="L41" s="85"/>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row>
    <row r="42" spans="1:193" x14ac:dyDescent="0.25">
      <c r="A42" s="404">
        <v>13</v>
      </c>
      <c r="B42" s="405"/>
      <c r="C42" s="423">
        <f>IF(A42&lt;='Indicadores Financeiros'!$F$14,SUMIFS('Relatório Custo'!$S:$S,'Relatório Custo'!$G:$G,'Custo  Resumido por local'!$C$28,'Relatório Custo'!$F:$F,"&lt;="&amp;'Custo  Resumido por local'!$A42,'Relatório Custo'!$B:$B,'Custo  Resumido por local'!$C$1),0)</f>
        <v>0</v>
      </c>
      <c r="D42" s="425"/>
      <c r="E42" s="425"/>
      <c r="F42" s="425"/>
      <c r="G42" s="424"/>
      <c r="H42" s="423">
        <f>IF(A42&lt;='Indicadores Financeiros'!$F$14,SUMIFS('Relatório Custo'!$V:$V,'Relatório Custo'!$F:$F,"&lt;="&amp;'Custo  Resumido por local'!$A42,'Relatório Custo'!$B:$B,'Custo  Resumido por local'!$C$1),0)</f>
        <v>0</v>
      </c>
      <c r="I42" s="424"/>
      <c r="J42" s="423">
        <f>IF(A42&lt;='Indicadores Financeiros'!$F$14,SUMIFS('Relatório Custo'!$W:$W,'Relatório Custo'!$F:$F,"&lt;="&amp;'Custo  Resumido por local'!$A42,'Relatório Custo'!$B:$B,'Custo  Resumido por local'!$C$1),0)</f>
        <v>0</v>
      </c>
      <c r="K42" s="424"/>
      <c r="L42" s="85"/>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row>
    <row r="43" spans="1:193" x14ac:dyDescent="0.25">
      <c r="A43" s="404">
        <v>14</v>
      </c>
      <c r="B43" s="405"/>
      <c r="C43" s="423">
        <f>IF(A43&lt;='Indicadores Financeiros'!$F$14,SUMIFS('Relatório Custo'!$S:$S,'Relatório Custo'!$G:$G,'Custo  Resumido por local'!$C$28,'Relatório Custo'!$F:$F,"&lt;="&amp;'Custo  Resumido por local'!$A43,'Relatório Custo'!$B:$B,'Custo  Resumido por local'!$C$1),0)</f>
        <v>0</v>
      </c>
      <c r="D43" s="425"/>
      <c r="E43" s="425"/>
      <c r="F43" s="425"/>
      <c r="G43" s="424"/>
      <c r="H43" s="423">
        <f>IF(A43&lt;='Indicadores Financeiros'!$F$14,SUMIFS('Relatório Custo'!$V:$V,'Relatório Custo'!$F:$F,"&lt;="&amp;'Custo  Resumido por local'!$A43,'Relatório Custo'!$B:$B,'Custo  Resumido por local'!$C$1),0)</f>
        <v>0</v>
      </c>
      <c r="I43" s="424"/>
      <c r="J43" s="423">
        <f>IF(A43&lt;='Indicadores Financeiros'!$F$14,SUMIFS('Relatório Custo'!$W:$W,'Relatório Custo'!$F:$F,"&lt;="&amp;'Custo  Resumido por local'!$A43,'Relatório Custo'!$B:$B,'Custo  Resumido por local'!$C$1),0)</f>
        <v>0</v>
      </c>
      <c r="K43" s="424"/>
      <c r="L43" s="85"/>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row>
    <row r="44" spans="1:193" x14ac:dyDescent="0.25">
      <c r="A44" s="404">
        <v>15</v>
      </c>
      <c r="B44" s="405"/>
      <c r="C44" s="423">
        <f>IF(A44&lt;='Indicadores Financeiros'!$F$14,SUMIFS('Relatório Custo'!$S:$S,'Relatório Custo'!$G:$G,'Custo  Resumido por local'!$C$28,'Relatório Custo'!$F:$F,"&lt;="&amp;'Custo  Resumido por local'!$A44,'Relatório Custo'!$B:$B,'Custo  Resumido por local'!$C$1),0)</f>
        <v>0</v>
      </c>
      <c r="D44" s="425"/>
      <c r="E44" s="425"/>
      <c r="F44" s="425"/>
      <c r="G44" s="424"/>
      <c r="H44" s="423">
        <f>IF(A44&lt;='Indicadores Financeiros'!$F$14,SUMIFS('Relatório Custo'!$V:$V,'Relatório Custo'!$F:$F,"&lt;="&amp;'Custo  Resumido por local'!$A44,'Relatório Custo'!$B:$B,'Custo  Resumido por local'!$C$1),0)</f>
        <v>0</v>
      </c>
      <c r="I44" s="424"/>
      <c r="J44" s="423">
        <f>IF(A44&lt;='Indicadores Financeiros'!$F$14,SUMIFS('Relatório Custo'!$W:$W,'Relatório Custo'!$F:$F,"&lt;="&amp;'Custo  Resumido por local'!$A44,'Relatório Custo'!$B:$B,'Custo  Resumido por local'!$C$1),0)</f>
        <v>0</v>
      </c>
      <c r="K44" s="424"/>
      <c r="L44" s="85"/>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row>
    <row r="45" spans="1:193" x14ac:dyDescent="0.25">
      <c r="A45" s="404">
        <v>16</v>
      </c>
      <c r="B45" s="405"/>
      <c r="C45" s="423">
        <f>IF(A45&lt;='Indicadores Financeiros'!$F$14,SUMIFS('Relatório Custo'!$S:$S,'Relatório Custo'!$G:$G,'Custo  Resumido por local'!$C$28,'Relatório Custo'!$F:$F,"&lt;="&amp;'Custo  Resumido por local'!$A45,'Relatório Custo'!$B:$B,'Custo  Resumido por local'!$C$1),0)</f>
        <v>0</v>
      </c>
      <c r="D45" s="425"/>
      <c r="E45" s="425"/>
      <c r="F45" s="425"/>
      <c r="G45" s="424"/>
      <c r="H45" s="423">
        <f>IF(A45&lt;='Indicadores Financeiros'!$F$14,SUMIFS('Relatório Custo'!$V:$V,'Relatório Custo'!$F:$F,"&lt;="&amp;'Custo  Resumido por local'!$A45,'Relatório Custo'!$B:$B,'Custo  Resumido por local'!$C$1),0)</f>
        <v>0</v>
      </c>
      <c r="I45" s="424"/>
      <c r="J45" s="423">
        <f>IF(A45&lt;='Indicadores Financeiros'!$F$14,SUMIFS('Relatório Custo'!$W:$W,'Relatório Custo'!$F:$F,"&lt;="&amp;'Custo  Resumido por local'!$A45,'Relatório Custo'!$B:$B,'Custo  Resumido por local'!$C$1),0)</f>
        <v>0</v>
      </c>
      <c r="K45" s="424"/>
      <c r="L45" s="8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row>
    <row r="46" spans="1:193" x14ac:dyDescent="0.25">
      <c r="A46" s="404">
        <v>17</v>
      </c>
      <c r="B46" s="405"/>
      <c r="C46" s="423">
        <f>IF(A46&lt;='Indicadores Financeiros'!$F$14,SUMIFS('Relatório Custo'!$S:$S,'Relatório Custo'!$G:$G,'Custo  Resumido por local'!$C$28,'Relatório Custo'!$F:$F,"&lt;="&amp;'Custo  Resumido por local'!$A46,'Relatório Custo'!$B:$B,'Custo  Resumido por local'!$C$1),0)</f>
        <v>0</v>
      </c>
      <c r="D46" s="425"/>
      <c r="E46" s="425"/>
      <c r="F46" s="425"/>
      <c r="G46" s="424"/>
      <c r="H46" s="423">
        <f>IF(A46&lt;='Indicadores Financeiros'!$F$14,SUMIFS('Relatório Custo'!$V:$V,'Relatório Custo'!$F:$F,"&lt;="&amp;'Custo  Resumido por local'!$A46,'Relatório Custo'!$B:$B,'Custo  Resumido por local'!$C$1),0)</f>
        <v>0</v>
      </c>
      <c r="I46" s="424"/>
      <c r="J46" s="423">
        <f>IF(A46&lt;='Indicadores Financeiros'!$F$14,SUMIFS('Relatório Custo'!$W:$W,'Relatório Custo'!$F:$F,"&lt;="&amp;'Custo  Resumido por local'!$A46,'Relatório Custo'!$B:$B,'Custo  Resumido por local'!$C$1),0)</f>
        <v>0</v>
      </c>
      <c r="K46" s="424"/>
      <c r="L46" s="85"/>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row>
    <row r="47" spans="1:193" x14ac:dyDescent="0.25">
      <c r="A47" s="404">
        <v>18</v>
      </c>
      <c r="B47" s="405"/>
      <c r="C47" s="423">
        <f>IF(A47&lt;='Indicadores Financeiros'!$F$14,SUMIFS('Relatório Custo'!$S:$S,'Relatório Custo'!$G:$G,'Custo  Resumido por local'!$C$28,'Relatório Custo'!$F:$F,"&lt;="&amp;'Custo  Resumido por local'!$A47,'Relatório Custo'!$B:$B,'Custo  Resumido por local'!$C$1),0)</f>
        <v>0</v>
      </c>
      <c r="D47" s="425"/>
      <c r="E47" s="425"/>
      <c r="F47" s="425"/>
      <c r="G47" s="424"/>
      <c r="H47" s="423">
        <f>IF(A47&lt;='Indicadores Financeiros'!$F$14,SUMIFS('Relatório Custo'!$V:$V,'Relatório Custo'!$F:$F,"&lt;="&amp;'Custo  Resumido por local'!$A47,'Relatório Custo'!$B:$B,'Custo  Resumido por local'!$C$1),0)</f>
        <v>0</v>
      </c>
      <c r="I47" s="424"/>
      <c r="J47" s="423">
        <f>IF(A47&lt;='Indicadores Financeiros'!$F$14,SUMIFS('Relatório Custo'!$W:$W,'Relatório Custo'!$F:$F,"&lt;="&amp;'Custo  Resumido por local'!$A47,'Relatório Custo'!$B:$B,'Custo  Resumido por local'!$C$1),0)</f>
        <v>0</v>
      </c>
      <c r="K47" s="424"/>
      <c r="L47" s="85"/>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row>
    <row r="48" spans="1:193" x14ac:dyDescent="0.25">
      <c r="A48" s="404">
        <v>19</v>
      </c>
      <c r="B48" s="405"/>
      <c r="C48" s="423">
        <f>IF(A48&lt;='Indicadores Financeiros'!$F$14,SUMIFS('Relatório Custo'!$S:$S,'Relatório Custo'!$G:$G,'Custo  Resumido por local'!$C$28,'Relatório Custo'!$F:$F,"&lt;="&amp;'Custo  Resumido por local'!$A48,'Relatório Custo'!$B:$B,'Custo  Resumido por local'!$C$1),0)</f>
        <v>0</v>
      </c>
      <c r="D48" s="425"/>
      <c r="E48" s="425"/>
      <c r="F48" s="425"/>
      <c r="G48" s="424"/>
      <c r="H48" s="423">
        <f>IF(A48&lt;='Indicadores Financeiros'!$F$14,SUMIFS('Relatório Custo'!$V:$V,'Relatório Custo'!$F:$F,"&lt;="&amp;'Custo  Resumido por local'!$A48,'Relatório Custo'!$B:$B,'Custo  Resumido por local'!$C$1),0)</f>
        <v>0</v>
      </c>
      <c r="I48" s="424"/>
      <c r="J48" s="423">
        <f>IF(A48&lt;='Indicadores Financeiros'!$F$14,SUMIFS('Relatório Custo'!$W:$W,'Relatório Custo'!$F:$F,"&lt;="&amp;'Custo  Resumido por local'!$A48,'Relatório Custo'!$B:$B,'Custo  Resumido por local'!$C$1),0)</f>
        <v>0</v>
      </c>
      <c r="K48" s="424"/>
      <c r="L48" s="85"/>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row>
    <row r="49" spans="1:193" x14ac:dyDescent="0.25">
      <c r="A49" s="404">
        <v>20</v>
      </c>
      <c r="B49" s="405"/>
      <c r="C49" s="423">
        <f>IF(A49&lt;='Indicadores Financeiros'!$F$14,SUMIFS('Relatório Custo'!$S:$S,'Relatório Custo'!$G:$G,'Custo  Resumido por local'!$C$28,'Relatório Custo'!$F:$F,"&lt;="&amp;'Custo  Resumido por local'!$A49,'Relatório Custo'!$B:$B,'Custo  Resumido por local'!$C$1),0)</f>
        <v>0</v>
      </c>
      <c r="D49" s="425"/>
      <c r="E49" s="425"/>
      <c r="F49" s="425"/>
      <c r="G49" s="424"/>
      <c r="H49" s="423">
        <f>IF(A49&lt;='Indicadores Financeiros'!$F$14,SUMIFS('Relatório Custo'!$V:$V,'Relatório Custo'!$F:$F,"&lt;="&amp;'Custo  Resumido por local'!$A49,'Relatório Custo'!$B:$B,'Custo  Resumido por local'!$C$1),0)</f>
        <v>0</v>
      </c>
      <c r="I49" s="424"/>
      <c r="J49" s="423">
        <f>IF(A49&lt;='Indicadores Financeiros'!$F$14,SUMIFS('Relatório Custo'!$W:$W,'Relatório Custo'!$F:$F,"&lt;="&amp;'Custo  Resumido por local'!$A49,'Relatório Custo'!$B:$B,'Custo  Resumido por local'!$C$1),0)</f>
        <v>0</v>
      </c>
      <c r="K49" s="424"/>
      <c r="L49" s="85"/>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row>
    <row r="50" spans="1:193" s="70" customFormat="1" x14ac:dyDescent="0.25">
      <c r="A50" s="404">
        <v>21</v>
      </c>
      <c r="B50" s="405"/>
      <c r="C50" s="423">
        <f>IF(A50&lt;='Indicadores Financeiros'!$F$14,SUMIFS('Relatório Custo'!$S:$S,'Relatório Custo'!$G:$G,'Custo  Resumido por local'!$C$28,'Relatório Custo'!$F:$F,"&lt;="&amp;'Custo  Resumido por local'!$A50,'Relatório Custo'!$B:$B,'Custo  Resumido por local'!$C$1),0)</f>
        <v>0</v>
      </c>
      <c r="D50" s="425"/>
      <c r="E50" s="425"/>
      <c r="F50" s="425"/>
      <c r="G50" s="424"/>
      <c r="H50" s="423">
        <f>IF(A50&lt;='Indicadores Financeiros'!$F$14,SUMIFS('Relatório Custo'!$V:$V,'Relatório Custo'!$F:$F,"&lt;="&amp;'Custo  Resumido por local'!$A50,'Relatório Custo'!$B:$B,'Custo  Resumido por local'!$C$1),0)</f>
        <v>0</v>
      </c>
      <c r="I50" s="424"/>
      <c r="J50" s="423">
        <f>IF(A50&lt;='Indicadores Financeiros'!$F$14,SUMIFS('Relatório Custo'!$W:$W,'Relatório Custo'!$F:$F,"&lt;="&amp;'Custo  Resumido por local'!$A50,'Relatório Custo'!$B:$B,'Custo  Resumido por local'!$C$1),0)</f>
        <v>0</v>
      </c>
      <c r="K50" s="424"/>
      <c r="L50" s="85"/>
    </row>
    <row r="51" spans="1:193" s="70" customFormat="1" x14ac:dyDescent="0.25">
      <c r="A51" s="404">
        <v>22</v>
      </c>
      <c r="B51" s="405"/>
      <c r="C51" s="423">
        <f>IF(A51&lt;='Indicadores Financeiros'!$F$14,SUMIFS('Relatório Custo'!$S:$S,'Relatório Custo'!$G:$G,'Custo  Resumido por local'!$C$28,'Relatório Custo'!$F:$F,"&lt;="&amp;'Custo  Resumido por local'!$A51,'Relatório Custo'!$B:$B,'Custo  Resumido por local'!$C$1),0)</f>
        <v>0</v>
      </c>
      <c r="D51" s="425"/>
      <c r="E51" s="425"/>
      <c r="F51" s="425"/>
      <c r="G51" s="424"/>
      <c r="H51" s="423">
        <f>IF(A51&lt;='Indicadores Financeiros'!$F$14,SUMIFS('Relatório Custo'!$V:$V,'Relatório Custo'!$F:$F,"&lt;="&amp;'Custo  Resumido por local'!$A51,'Relatório Custo'!$B:$B,'Custo  Resumido por local'!$C$1),0)</f>
        <v>0</v>
      </c>
      <c r="I51" s="424"/>
      <c r="J51" s="423">
        <f>IF(A51&lt;='Indicadores Financeiros'!$F$14,SUMIFS('Relatório Custo'!$W:$W,'Relatório Custo'!$F:$F,"&lt;="&amp;'Custo  Resumido por local'!$A51,'Relatório Custo'!$B:$B,'Custo  Resumido por local'!$C$1),0)</f>
        <v>0</v>
      </c>
      <c r="K51" s="424"/>
      <c r="L51" s="85"/>
    </row>
    <row r="52" spans="1:193" s="70" customFormat="1" x14ac:dyDescent="0.25">
      <c r="A52" s="404">
        <v>23</v>
      </c>
      <c r="B52" s="405"/>
      <c r="C52" s="423">
        <f>IF(A52&lt;='Indicadores Financeiros'!$F$14,SUMIFS('Relatório Custo'!$S:$S,'Relatório Custo'!$G:$G,'Custo  Resumido por local'!$C$28,'Relatório Custo'!$F:$F,"&lt;="&amp;'Custo  Resumido por local'!$A52,'Relatório Custo'!$B:$B,'Custo  Resumido por local'!$C$1),0)</f>
        <v>0</v>
      </c>
      <c r="D52" s="425"/>
      <c r="E52" s="425"/>
      <c r="F52" s="425"/>
      <c r="G52" s="424"/>
      <c r="H52" s="423">
        <f>IF(A52&lt;='Indicadores Financeiros'!$F$14,SUMIFS('Relatório Custo'!$V:$V,'Relatório Custo'!$F:$F,"&lt;="&amp;'Custo  Resumido por local'!$A52,'Relatório Custo'!$B:$B,'Custo  Resumido por local'!$C$1),0)</f>
        <v>0</v>
      </c>
      <c r="I52" s="424"/>
      <c r="J52" s="423">
        <f>IF(A52&lt;='Indicadores Financeiros'!$F$14,SUMIFS('Relatório Custo'!$W:$W,'Relatório Custo'!$F:$F,"&lt;="&amp;'Custo  Resumido por local'!$A52,'Relatório Custo'!$B:$B,'Custo  Resumido por local'!$C$1),0)</f>
        <v>0</v>
      </c>
      <c r="K52" s="424"/>
      <c r="L52" s="85"/>
    </row>
    <row r="53" spans="1:193" s="70" customFormat="1" x14ac:dyDescent="0.25">
      <c r="A53" s="404">
        <v>24</v>
      </c>
      <c r="B53" s="405"/>
      <c r="C53" s="423">
        <f>IF(A53&lt;='Indicadores Financeiros'!$F$14,SUMIFS('Relatório Custo'!$S:$S,'Relatório Custo'!$G:$G,'Custo  Resumido por local'!$C$28,'Relatório Custo'!$F:$F,"&lt;="&amp;'Custo  Resumido por local'!$A53,'Relatório Custo'!$B:$B,'Custo  Resumido por local'!$C$1),0)</f>
        <v>0</v>
      </c>
      <c r="D53" s="425"/>
      <c r="E53" s="425"/>
      <c r="F53" s="425"/>
      <c r="G53" s="424"/>
      <c r="H53" s="423">
        <f>IF(A53&lt;='Indicadores Financeiros'!$F$14,SUMIFS('Relatório Custo'!$V:$V,'Relatório Custo'!$F:$F,"&lt;="&amp;'Custo  Resumido por local'!$A53,'Relatório Custo'!$B:$B,'Custo  Resumido por local'!$C$1),0)</f>
        <v>0</v>
      </c>
      <c r="I53" s="424"/>
      <c r="J53" s="423">
        <f>IF(A53&lt;='Indicadores Financeiros'!$F$14,SUMIFS('Relatório Custo'!$W:$W,'Relatório Custo'!$F:$F,"&lt;="&amp;'Custo  Resumido por local'!$A53,'Relatório Custo'!$B:$B,'Custo  Resumido por local'!$C$1),0)</f>
        <v>0</v>
      </c>
      <c r="K53" s="424"/>
      <c r="L53" s="85"/>
    </row>
    <row r="54" spans="1:193" s="70" customFormat="1" x14ac:dyDescent="0.25">
      <c r="A54" s="404">
        <v>25</v>
      </c>
      <c r="B54" s="405"/>
      <c r="C54" s="423">
        <f>IF(A54&lt;='Indicadores Financeiros'!$F$14,SUMIFS('Relatório Custo'!$S:$S,'Relatório Custo'!$G:$G,'Custo  Resumido por local'!$C$28,'Relatório Custo'!$F:$F,"&lt;="&amp;'Custo  Resumido por local'!$A54,'Relatório Custo'!$B:$B,'Custo  Resumido por local'!$C$1),0)</f>
        <v>0</v>
      </c>
      <c r="D54" s="425"/>
      <c r="E54" s="425"/>
      <c r="F54" s="425"/>
      <c r="G54" s="424"/>
      <c r="H54" s="423">
        <f>IF(A54&lt;='Indicadores Financeiros'!$F$14,SUMIFS('Relatório Custo'!$V:$V,'Relatório Custo'!$F:$F,"&lt;="&amp;'Custo  Resumido por local'!$A54,'Relatório Custo'!$B:$B,'Custo  Resumido por local'!$C$1),0)</f>
        <v>0</v>
      </c>
      <c r="I54" s="424"/>
      <c r="J54" s="423">
        <f>IF(A54&lt;='Indicadores Financeiros'!$F$14,SUMIFS('Relatório Custo'!$W:$W,'Relatório Custo'!$F:$F,"&lt;="&amp;'Custo  Resumido por local'!$A54,'Relatório Custo'!$B:$B,'Custo  Resumido por local'!$C$1),0)</f>
        <v>0</v>
      </c>
      <c r="K54" s="424"/>
      <c r="L54" s="85"/>
    </row>
    <row r="55" spans="1:193" s="70" customFormat="1" x14ac:dyDescent="0.25">
      <c r="A55" s="404">
        <v>26</v>
      </c>
      <c r="B55" s="405"/>
      <c r="C55" s="423">
        <f>IF(A55&lt;='Indicadores Financeiros'!$F$14,SUMIFS('Relatório Custo'!$S:$S,'Relatório Custo'!$G:$G,'Custo  Resumido por local'!$C$28,'Relatório Custo'!$F:$F,"&lt;="&amp;'Custo  Resumido por local'!$A55,'Relatório Custo'!$B:$B,'Custo  Resumido por local'!$C$1),0)</f>
        <v>0</v>
      </c>
      <c r="D55" s="425"/>
      <c r="E55" s="425"/>
      <c r="F55" s="425"/>
      <c r="G55" s="424"/>
      <c r="H55" s="423">
        <f>IF(A55&lt;='Indicadores Financeiros'!$F$14,SUMIFS('Relatório Custo'!$V:$V,'Relatório Custo'!$F:$F,"&lt;="&amp;'Custo  Resumido por local'!$A55,'Relatório Custo'!$B:$B,'Custo  Resumido por local'!$C$1),0)</f>
        <v>0</v>
      </c>
      <c r="I55" s="424"/>
      <c r="J55" s="423">
        <f>IF(A55&lt;='Indicadores Financeiros'!$F$14,SUMIFS('Relatório Custo'!$W:$W,'Relatório Custo'!$F:$F,"&lt;="&amp;'Custo  Resumido por local'!$A55,'Relatório Custo'!$B:$B,'Custo  Resumido por local'!$C$1),0)</f>
        <v>0</v>
      </c>
      <c r="K55" s="424"/>
      <c r="L55" s="85"/>
    </row>
    <row r="56" spans="1:193" s="70" customFormat="1" x14ac:dyDescent="0.25">
      <c r="A56" s="404">
        <v>27</v>
      </c>
      <c r="B56" s="405"/>
      <c r="C56" s="423">
        <f>IF(A56&lt;='Indicadores Financeiros'!$F$14,SUMIFS('Relatório Custo'!$S:$S,'Relatório Custo'!$G:$G,'Custo  Resumido por local'!$C$28,'Relatório Custo'!$F:$F,"&lt;="&amp;'Custo  Resumido por local'!$A56,'Relatório Custo'!$B:$B,'Custo  Resumido por local'!$C$1),0)</f>
        <v>0</v>
      </c>
      <c r="D56" s="425"/>
      <c r="E56" s="425"/>
      <c r="F56" s="425"/>
      <c r="G56" s="424"/>
      <c r="H56" s="423">
        <f>IF(A56&lt;='Indicadores Financeiros'!$F$14,SUMIFS('Relatório Custo'!$V:$V,'Relatório Custo'!$F:$F,"&lt;="&amp;'Custo  Resumido por local'!$A56,'Relatório Custo'!$B:$B,'Custo  Resumido por local'!$C$1),0)</f>
        <v>0</v>
      </c>
      <c r="I56" s="424"/>
      <c r="J56" s="423">
        <f>IF(A56&lt;='Indicadores Financeiros'!$F$14,SUMIFS('Relatório Custo'!$W:$W,'Relatório Custo'!$F:$F,"&lt;="&amp;'Custo  Resumido por local'!$A56,'Relatório Custo'!$B:$B,'Custo  Resumido por local'!$C$1),0)</f>
        <v>0</v>
      </c>
      <c r="K56" s="424"/>
      <c r="L56" s="85"/>
    </row>
    <row r="57" spans="1:193" s="70" customFormat="1" x14ac:dyDescent="0.25">
      <c r="A57" s="404">
        <v>28</v>
      </c>
      <c r="B57" s="405"/>
      <c r="C57" s="423">
        <f>IF(A57&lt;='Indicadores Financeiros'!$F$14,SUMIFS('Relatório Custo'!$S:$S,'Relatório Custo'!$G:$G,'Custo  Resumido por local'!$C$28,'Relatório Custo'!$F:$F,"&lt;="&amp;'Custo  Resumido por local'!$A57,'Relatório Custo'!$B:$B,'Custo  Resumido por local'!$C$1),0)</f>
        <v>0</v>
      </c>
      <c r="D57" s="425"/>
      <c r="E57" s="425"/>
      <c r="F57" s="425"/>
      <c r="G57" s="424"/>
      <c r="H57" s="423">
        <f>IF(A57&lt;='Indicadores Financeiros'!$F$14,SUMIFS('Relatório Custo'!$V:$V,'Relatório Custo'!$F:$F,"&lt;="&amp;'Custo  Resumido por local'!$A57,'Relatório Custo'!$B:$B,'Custo  Resumido por local'!$C$1),0)</f>
        <v>0</v>
      </c>
      <c r="I57" s="424"/>
      <c r="J57" s="423">
        <f>IF(A57&lt;='Indicadores Financeiros'!$F$14,SUMIFS('Relatório Custo'!$W:$W,'Relatório Custo'!$F:$F,"&lt;="&amp;'Custo  Resumido por local'!$A57,'Relatório Custo'!$B:$B,'Custo  Resumido por local'!$C$1),0)</f>
        <v>0</v>
      </c>
      <c r="K57" s="424"/>
      <c r="L57" s="85"/>
    </row>
    <row r="58" spans="1:193" s="70" customFormat="1" x14ac:dyDescent="0.25">
      <c r="A58" s="404">
        <v>29</v>
      </c>
      <c r="B58" s="405"/>
      <c r="C58" s="423">
        <f>IF(A58&lt;='Indicadores Financeiros'!$F$14,SUMIFS('Relatório Custo'!$S:$S,'Relatório Custo'!$G:$G,'Custo  Resumido por local'!$C$28,'Relatório Custo'!$F:$F,"&lt;="&amp;'Custo  Resumido por local'!$A58,'Relatório Custo'!$B:$B,'Custo  Resumido por local'!$C$1),0)</f>
        <v>0</v>
      </c>
      <c r="D58" s="425"/>
      <c r="E58" s="425"/>
      <c r="F58" s="425"/>
      <c r="G58" s="424"/>
      <c r="H58" s="423">
        <f>IF(A58&lt;='Indicadores Financeiros'!$F$14,SUMIFS('Relatório Custo'!$V:$V,'Relatório Custo'!$F:$F,"&lt;="&amp;'Custo  Resumido por local'!$A58,'Relatório Custo'!$B:$B,'Custo  Resumido por local'!$C$1),0)</f>
        <v>0</v>
      </c>
      <c r="I58" s="424"/>
      <c r="J58" s="423">
        <f>IF(A58&lt;='Indicadores Financeiros'!$F$14,SUMIFS('Relatório Custo'!$W:$W,'Relatório Custo'!$F:$F,"&lt;="&amp;'Custo  Resumido por local'!$A58,'Relatório Custo'!$B:$B,'Custo  Resumido por local'!$C$1),0)</f>
        <v>0</v>
      </c>
      <c r="K58" s="424"/>
      <c r="L58" s="85"/>
    </row>
    <row r="59" spans="1:193" s="70" customFormat="1" x14ac:dyDescent="0.25">
      <c r="A59" s="404">
        <v>30</v>
      </c>
      <c r="B59" s="405"/>
      <c r="C59" s="423">
        <f>IF(A59&lt;='Indicadores Financeiros'!$F$14,SUMIFS('Relatório Custo'!$S:$S,'Relatório Custo'!$G:$G,'Custo  Resumido por local'!$C$28,'Relatório Custo'!$F:$F,"&lt;="&amp;'Custo  Resumido por local'!$A59,'Relatório Custo'!$B:$B,'Custo  Resumido por local'!$C$1),0)</f>
        <v>0</v>
      </c>
      <c r="D59" s="425"/>
      <c r="E59" s="425"/>
      <c r="F59" s="425"/>
      <c r="G59" s="424"/>
      <c r="H59" s="423">
        <f>IF(A59&lt;='Indicadores Financeiros'!$F$14,SUMIFS('Relatório Custo'!$V:$V,'Relatório Custo'!$F:$F,"&lt;="&amp;'Custo  Resumido por local'!$A59,'Relatório Custo'!$B:$B,'Custo  Resumido por local'!$C$1),0)</f>
        <v>0</v>
      </c>
      <c r="I59" s="424"/>
      <c r="J59" s="423">
        <f>IF(A59&lt;='Indicadores Financeiros'!$F$14,SUMIFS('Relatório Custo'!$W:$W,'Relatório Custo'!$F:$F,"&lt;="&amp;'Custo  Resumido por local'!$A59,'Relatório Custo'!$B:$B,'Custo  Resumido por local'!$C$1),0)</f>
        <v>0</v>
      </c>
      <c r="K59" s="424"/>
      <c r="L59" s="85"/>
    </row>
    <row r="60" spans="1:193" s="70" customFormat="1" ht="11.25" x14ac:dyDescent="0.25">
      <c r="A60" s="112" t="s">
        <v>190</v>
      </c>
      <c r="B60" s="112"/>
      <c r="C60" s="435">
        <f>+ROUND(SUM(C30:G59),2)</f>
        <v>0</v>
      </c>
      <c r="D60" s="436"/>
      <c r="E60" s="436"/>
      <c r="F60" s="436"/>
      <c r="G60" s="437"/>
      <c r="H60" s="435">
        <f>+SUM(H30:I59)</f>
        <v>0</v>
      </c>
      <c r="I60" s="437"/>
      <c r="J60" s="435">
        <f>+SUM(J30:K59)</f>
        <v>0</v>
      </c>
      <c r="K60" s="437"/>
      <c r="L60" s="85"/>
    </row>
    <row r="61" spans="1:193" s="70" customFormat="1" ht="15" customHeight="1" x14ac:dyDescent="0.25">
      <c r="D61" s="209"/>
      <c r="E61" s="209"/>
      <c r="F61" s="209"/>
      <c r="G61" s="208">
        <f>C60-K16</f>
        <v>0</v>
      </c>
      <c r="H61" s="210"/>
      <c r="J61" s="86"/>
      <c r="K61" s="96"/>
    </row>
    <row r="62" spans="1:193" s="70" customFormat="1" ht="11.25" x14ac:dyDescent="0.25">
      <c r="D62" s="122"/>
      <c r="K62" s="72"/>
    </row>
    <row r="63" spans="1:193" s="70" customFormat="1" ht="11.25" x14ac:dyDescent="0.25">
      <c r="D63" s="122"/>
    </row>
    <row r="64" spans="1:193" s="70" customFormat="1" ht="11.25" x14ac:dyDescent="0.25">
      <c r="D64" s="122"/>
    </row>
    <row r="65" spans="4:4" s="70" customFormat="1" ht="11.25" x14ac:dyDescent="0.25">
      <c r="D65" s="122"/>
    </row>
    <row r="66" spans="4:4" s="70" customFormat="1" ht="11.25" x14ac:dyDescent="0.25">
      <c r="D66" s="122"/>
    </row>
    <row r="67" spans="4:4" s="70" customFormat="1" ht="11.25" x14ac:dyDescent="0.25">
      <c r="D67" s="122"/>
    </row>
    <row r="68" spans="4:4" s="70" customFormat="1" ht="11.25" x14ac:dyDescent="0.25">
      <c r="D68" s="122"/>
    </row>
    <row r="69" spans="4:4" s="70" customFormat="1" ht="11.25" x14ac:dyDescent="0.25">
      <c r="D69" s="122"/>
    </row>
    <row r="70" spans="4:4" s="70" customFormat="1" ht="11.25" x14ac:dyDescent="0.25">
      <c r="D70" s="122"/>
    </row>
    <row r="71" spans="4:4" s="70" customFormat="1" ht="11.25" x14ac:dyDescent="0.25">
      <c r="D71" s="122"/>
    </row>
    <row r="72" spans="4:4" s="70" customFormat="1" ht="11.25" x14ac:dyDescent="0.25">
      <c r="D72" s="122"/>
    </row>
    <row r="73" spans="4:4" s="70" customFormat="1" ht="11.25" x14ac:dyDescent="0.25">
      <c r="D73" s="122"/>
    </row>
    <row r="74" spans="4:4" s="70" customFormat="1" ht="11.25" x14ac:dyDescent="0.25">
      <c r="D74" s="122"/>
    </row>
    <row r="75" spans="4:4" s="70" customFormat="1" ht="11.25" x14ac:dyDescent="0.25">
      <c r="D75" s="122"/>
    </row>
    <row r="76" spans="4:4" s="70" customFormat="1" ht="11.25" x14ac:dyDescent="0.25">
      <c r="D76" s="122"/>
    </row>
    <row r="77" spans="4:4" s="70" customFormat="1" ht="11.25" x14ac:dyDescent="0.25">
      <c r="D77" s="122"/>
    </row>
    <row r="78" spans="4:4" s="70" customFormat="1" ht="11.25" x14ac:dyDescent="0.25">
      <c r="D78" s="122"/>
    </row>
    <row r="79" spans="4:4" s="70" customFormat="1" ht="11.25" x14ac:dyDescent="0.25">
      <c r="D79" s="122"/>
    </row>
    <row r="80" spans="4:4" s="70" customFormat="1" ht="11.25" x14ac:dyDescent="0.25">
      <c r="D80" s="122"/>
    </row>
    <row r="81" spans="4:4" s="70" customFormat="1" ht="11.25" x14ac:dyDescent="0.25">
      <c r="D81" s="122"/>
    </row>
    <row r="82" spans="4:4" s="70" customFormat="1" ht="11.25" x14ac:dyDescent="0.25">
      <c r="D82" s="122"/>
    </row>
    <row r="83" spans="4:4" s="70" customFormat="1" ht="11.25" x14ac:dyDescent="0.25">
      <c r="D83" s="122"/>
    </row>
    <row r="84" spans="4:4" s="70" customFormat="1" ht="11.25" x14ac:dyDescent="0.25">
      <c r="D84" s="122"/>
    </row>
    <row r="85" spans="4:4" s="70" customFormat="1" ht="11.25" x14ac:dyDescent="0.25">
      <c r="D85" s="122"/>
    </row>
    <row r="86" spans="4:4" s="70" customFormat="1" ht="11.25" x14ac:dyDescent="0.25">
      <c r="D86" s="122"/>
    </row>
    <row r="87" spans="4:4" s="70" customFormat="1" ht="11.25" x14ac:dyDescent="0.25">
      <c r="D87" s="122"/>
    </row>
    <row r="88" spans="4:4" s="70" customFormat="1" ht="11.25" x14ac:dyDescent="0.25">
      <c r="D88" s="122"/>
    </row>
    <row r="89" spans="4:4" s="70" customFormat="1" ht="11.25" x14ac:dyDescent="0.25">
      <c r="D89" s="122"/>
    </row>
    <row r="90" spans="4:4" s="70" customFormat="1" ht="11.25" x14ac:dyDescent="0.25">
      <c r="D90" s="122"/>
    </row>
    <row r="91" spans="4:4" s="70" customFormat="1" ht="11.25" x14ac:dyDescent="0.25">
      <c r="D91" s="122"/>
    </row>
    <row r="92" spans="4:4" s="70" customFormat="1" ht="11.25" x14ac:dyDescent="0.25">
      <c r="D92" s="122"/>
    </row>
    <row r="93" spans="4:4" s="70" customFormat="1" ht="11.25" x14ac:dyDescent="0.25">
      <c r="D93" s="122"/>
    </row>
    <row r="94" spans="4:4" s="70" customFormat="1" ht="11.25" x14ac:dyDescent="0.25">
      <c r="D94" s="122"/>
    </row>
    <row r="95" spans="4:4" s="70" customFormat="1" ht="11.25" x14ac:dyDescent="0.25">
      <c r="D95" s="122"/>
    </row>
    <row r="96" spans="4:4" s="70" customFormat="1" ht="11.25" x14ac:dyDescent="0.25">
      <c r="D96" s="122"/>
    </row>
    <row r="97" spans="4:4" s="70" customFormat="1" ht="11.25" x14ac:dyDescent="0.25">
      <c r="D97" s="122"/>
    </row>
    <row r="98" spans="4:4" s="70" customFormat="1" ht="11.25" x14ac:dyDescent="0.25">
      <c r="D98" s="122"/>
    </row>
    <row r="99" spans="4:4" s="70" customFormat="1" ht="11.25" x14ac:dyDescent="0.25">
      <c r="D99" s="122"/>
    </row>
    <row r="100" spans="4:4" s="70" customFormat="1" ht="11.25" x14ac:dyDescent="0.25">
      <c r="D100" s="122"/>
    </row>
    <row r="101" spans="4:4" s="70" customFormat="1" ht="11.25" x14ac:dyDescent="0.25">
      <c r="D101" s="122"/>
    </row>
    <row r="102" spans="4:4" s="70" customFormat="1" ht="11.25" x14ac:dyDescent="0.25">
      <c r="D102" s="122"/>
    </row>
    <row r="103" spans="4:4" s="70" customFormat="1" ht="11.25" x14ac:dyDescent="0.25">
      <c r="D103" s="122"/>
    </row>
    <row r="104" spans="4:4" s="70" customFormat="1" ht="11.25" x14ac:dyDescent="0.25">
      <c r="D104" s="122"/>
    </row>
    <row r="105" spans="4:4" s="70" customFormat="1" ht="11.25" x14ac:dyDescent="0.25">
      <c r="D105" s="122"/>
    </row>
    <row r="106" spans="4:4" s="70" customFormat="1" ht="11.25" x14ac:dyDescent="0.25">
      <c r="D106" s="122"/>
    </row>
    <row r="107" spans="4:4" s="70" customFormat="1" ht="11.25" x14ac:dyDescent="0.25">
      <c r="D107" s="122"/>
    </row>
    <row r="108" spans="4:4" s="70" customFormat="1" ht="11.25" x14ac:dyDescent="0.25">
      <c r="D108" s="122"/>
    </row>
    <row r="109" spans="4:4" s="70" customFormat="1" ht="11.25" x14ac:dyDescent="0.25">
      <c r="D109" s="122"/>
    </row>
    <row r="110" spans="4:4" s="70" customFormat="1" ht="11.25" x14ac:dyDescent="0.25">
      <c r="D110" s="122"/>
    </row>
    <row r="111" spans="4:4" s="70" customFormat="1" ht="11.25" x14ac:dyDescent="0.25">
      <c r="D111" s="122"/>
    </row>
    <row r="112" spans="4:4" s="70" customFormat="1" ht="11.25" x14ac:dyDescent="0.25">
      <c r="D112" s="122"/>
    </row>
    <row r="113" spans="4:4" s="70" customFormat="1" ht="11.25" x14ac:dyDescent="0.25">
      <c r="D113" s="122"/>
    </row>
    <row r="114" spans="4:4" s="70" customFormat="1" ht="11.25" x14ac:dyDescent="0.25">
      <c r="D114" s="122"/>
    </row>
    <row r="115" spans="4:4" s="70" customFormat="1" ht="11.25" x14ac:dyDescent="0.25">
      <c r="D115" s="122"/>
    </row>
    <row r="116" spans="4:4" s="70" customFormat="1" ht="11.25" x14ac:dyDescent="0.25">
      <c r="D116" s="122"/>
    </row>
    <row r="117" spans="4:4" s="70" customFormat="1" ht="11.25" x14ac:dyDescent="0.25">
      <c r="D117" s="122"/>
    </row>
    <row r="118" spans="4:4" s="70" customFormat="1" ht="11.25" x14ac:dyDescent="0.25">
      <c r="D118" s="122"/>
    </row>
    <row r="119" spans="4:4" s="70" customFormat="1" ht="11.25" x14ac:dyDescent="0.25">
      <c r="D119" s="122"/>
    </row>
    <row r="120" spans="4:4" s="70" customFormat="1" ht="11.25" x14ac:dyDescent="0.25">
      <c r="D120" s="122"/>
    </row>
    <row r="121" spans="4:4" s="70" customFormat="1" ht="11.25" x14ac:dyDescent="0.25">
      <c r="D121" s="122"/>
    </row>
    <row r="122" spans="4:4" s="70" customFormat="1" ht="11.25" x14ac:dyDescent="0.25">
      <c r="D122" s="122"/>
    </row>
    <row r="123" spans="4:4" s="70" customFormat="1" ht="11.25" x14ac:dyDescent="0.25">
      <c r="D123" s="122"/>
    </row>
    <row r="124" spans="4:4" s="70" customFormat="1" ht="11.25" x14ac:dyDescent="0.25">
      <c r="D124" s="122"/>
    </row>
    <row r="125" spans="4:4" s="70" customFormat="1" ht="11.25" x14ac:dyDescent="0.25">
      <c r="D125" s="122"/>
    </row>
    <row r="126" spans="4:4" s="70" customFormat="1" ht="11.25" x14ac:dyDescent="0.25">
      <c r="D126" s="122"/>
    </row>
    <row r="127" spans="4:4" s="70" customFormat="1" ht="11.25" x14ac:dyDescent="0.25">
      <c r="D127" s="122"/>
    </row>
    <row r="128" spans="4:4" s="70" customFormat="1" ht="11.25" x14ac:dyDescent="0.25">
      <c r="D128" s="122"/>
    </row>
    <row r="129" spans="4:4" s="70" customFormat="1" ht="11.25" x14ac:dyDescent="0.25">
      <c r="D129" s="122"/>
    </row>
    <row r="130" spans="4:4" s="70" customFormat="1" ht="11.25" x14ac:dyDescent="0.25">
      <c r="D130" s="122"/>
    </row>
    <row r="131" spans="4:4" s="70" customFormat="1" ht="11.25" x14ac:dyDescent="0.25">
      <c r="D131" s="122"/>
    </row>
    <row r="132" spans="4:4" s="70" customFormat="1" ht="11.25" x14ac:dyDescent="0.25">
      <c r="D132" s="122"/>
    </row>
    <row r="133" spans="4:4" s="70" customFormat="1" ht="11.25" x14ac:dyDescent="0.25">
      <c r="D133" s="122"/>
    </row>
    <row r="134" spans="4:4" s="70" customFormat="1" ht="11.25" x14ac:dyDescent="0.25">
      <c r="D134" s="122"/>
    </row>
    <row r="135" spans="4:4" s="70" customFormat="1" ht="11.25" x14ac:dyDescent="0.25">
      <c r="D135" s="122"/>
    </row>
    <row r="136" spans="4:4" s="70" customFormat="1" ht="11.25" x14ac:dyDescent="0.25">
      <c r="D136" s="122"/>
    </row>
    <row r="137" spans="4:4" s="70" customFormat="1" ht="11.25" x14ac:dyDescent="0.25">
      <c r="D137" s="122"/>
    </row>
    <row r="138" spans="4:4" s="70" customFormat="1" ht="11.25" x14ac:dyDescent="0.25">
      <c r="D138" s="122"/>
    </row>
    <row r="139" spans="4:4" s="70" customFormat="1" ht="11.25" x14ac:dyDescent="0.25">
      <c r="D139" s="122"/>
    </row>
    <row r="140" spans="4:4" s="70" customFormat="1" ht="11.25" x14ac:dyDescent="0.25">
      <c r="D140" s="122"/>
    </row>
    <row r="141" spans="4:4" s="70" customFormat="1" ht="11.25" x14ac:dyDescent="0.25">
      <c r="D141" s="122"/>
    </row>
    <row r="142" spans="4:4" s="70" customFormat="1" ht="11.25" x14ac:dyDescent="0.25">
      <c r="D142" s="122"/>
    </row>
    <row r="143" spans="4:4" s="70" customFormat="1" ht="11.25" x14ac:dyDescent="0.25">
      <c r="D143" s="122"/>
    </row>
    <row r="144" spans="4:4" s="70" customFormat="1" ht="11.25" x14ac:dyDescent="0.25">
      <c r="D144" s="122"/>
    </row>
    <row r="145" spans="4:4" s="70" customFormat="1" ht="11.25" x14ac:dyDescent="0.25">
      <c r="D145" s="122"/>
    </row>
    <row r="146" spans="4:4" s="70" customFormat="1" ht="11.25" x14ac:dyDescent="0.25">
      <c r="D146" s="122"/>
    </row>
    <row r="147" spans="4:4" s="70" customFormat="1" ht="11.25" x14ac:dyDescent="0.25">
      <c r="D147" s="122"/>
    </row>
    <row r="148" spans="4:4" s="70" customFormat="1" ht="11.25" x14ac:dyDescent="0.25">
      <c r="D148" s="122"/>
    </row>
    <row r="149" spans="4:4" s="70" customFormat="1" ht="11.25" x14ac:dyDescent="0.25">
      <c r="D149" s="122"/>
    </row>
    <row r="150" spans="4:4" s="70" customFormat="1" ht="11.25" x14ac:dyDescent="0.25">
      <c r="D150" s="122"/>
    </row>
    <row r="151" spans="4:4" s="70" customFormat="1" ht="11.25" x14ac:dyDescent="0.25">
      <c r="D151" s="122"/>
    </row>
    <row r="152" spans="4:4" s="70" customFormat="1" ht="11.25" x14ac:dyDescent="0.25">
      <c r="D152" s="122"/>
    </row>
    <row r="153" spans="4:4" s="70" customFormat="1" ht="11.25" x14ac:dyDescent="0.25">
      <c r="D153" s="122"/>
    </row>
    <row r="154" spans="4:4" s="70" customFormat="1" ht="11.25" x14ac:dyDescent="0.25">
      <c r="D154" s="122"/>
    </row>
    <row r="155" spans="4:4" s="70" customFormat="1" ht="11.25" x14ac:dyDescent="0.25">
      <c r="D155" s="122"/>
    </row>
    <row r="156" spans="4:4" s="70" customFormat="1" ht="11.25" x14ac:dyDescent="0.25">
      <c r="D156" s="122"/>
    </row>
    <row r="157" spans="4:4" s="70" customFormat="1" ht="11.25" x14ac:dyDescent="0.25">
      <c r="D157" s="122"/>
    </row>
    <row r="158" spans="4:4" s="70" customFormat="1" ht="11.25" x14ac:dyDescent="0.25">
      <c r="D158" s="122"/>
    </row>
    <row r="159" spans="4:4" s="70" customFormat="1" ht="11.25" x14ac:dyDescent="0.25">
      <c r="D159" s="122"/>
    </row>
    <row r="160" spans="4:4" s="70" customFormat="1" ht="11.25" x14ac:dyDescent="0.25">
      <c r="D160" s="122"/>
    </row>
    <row r="161" spans="4:4" s="70" customFormat="1" ht="11.25" x14ac:dyDescent="0.25">
      <c r="D161" s="122"/>
    </row>
    <row r="162" spans="4:4" s="70" customFormat="1" ht="11.25" x14ac:dyDescent="0.25">
      <c r="D162" s="122"/>
    </row>
    <row r="163" spans="4:4" s="70" customFormat="1" ht="11.25" x14ac:dyDescent="0.25">
      <c r="D163" s="122"/>
    </row>
    <row r="164" spans="4:4" s="70" customFormat="1" ht="11.25" x14ac:dyDescent="0.25">
      <c r="D164" s="122"/>
    </row>
    <row r="165" spans="4:4" s="70" customFormat="1" ht="11.25" x14ac:dyDescent="0.25">
      <c r="D165" s="122"/>
    </row>
    <row r="166" spans="4:4" s="70" customFormat="1" ht="11.25" x14ac:dyDescent="0.25">
      <c r="D166" s="122"/>
    </row>
    <row r="167" spans="4:4" s="70" customFormat="1" ht="11.25" x14ac:dyDescent="0.25">
      <c r="D167" s="122"/>
    </row>
    <row r="168" spans="4:4" s="70" customFormat="1" ht="11.25" x14ac:dyDescent="0.25">
      <c r="D168" s="122"/>
    </row>
    <row r="169" spans="4:4" s="70" customFormat="1" ht="11.25" x14ac:dyDescent="0.25">
      <c r="D169" s="122"/>
    </row>
    <row r="170" spans="4:4" s="70" customFormat="1" ht="11.25" x14ac:dyDescent="0.25">
      <c r="D170" s="122"/>
    </row>
    <row r="171" spans="4:4" s="70" customFormat="1" ht="11.25" x14ac:dyDescent="0.25">
      <c r="D171" s="122"/>
    </row>
    <row r="172" spans="4:4" s="70" customFormat="1" ht="11.25" x14ac:dyDescent="0.25">
      <c r="D172" s="122"/>
    </row>
    <row r="173" spans="4:4" s="70" customFormat="1" ht="11.25" x14ac:dyDescent="0.25">
      <c r="D173" s="122"/>
    </row>
    <row r="174" spans="4:4" s="70" customFormat="1" ht="11.25" x14ac:dyDescent="0.25">
      <c r="D174" s="122"/>
    </row>
    <row r="175" spans="4:4" s="70" customFormat="1" ht="11.25" x14ac:dyDescent="0.25">
      <c r="D175" s="122"/>
    </row>
    <row r="176" spans="4:4" s="70" customFormat="1" ht="11.25" x14ac:dyDescent="0.25">
      <c r="D176" s="122"/>
    </row>
    <row r="177" spans="4:4" s="70" customFormat="1" ht="11.25" x14ac:dyDescent="0.25">
      <c r="D177" s="122"/>
    </row>
    <row r="178" spans="4:4" s="70" customFormat="1" ht="11.25" x14ac:dyDescent="0.25">
      <c r="D178" s="122"/>
    </row>
    <row r="179" spans="4:4" s="70" customFormat="1" ht="11.25" x14ac:dyDescent="0.25">
      <c r="D179" s="122"/>
    </row>
    <row r="180" spans="4:4" s="70" customFormat="1" ht="11.25" x14ac:dyDescent="0.25">
      <c r="D180" s="122"/>
    </row>
    <row r="181" spans="4:4" s="70" customFormat="1" ht="11.25" x14ac:dyDescent="0.25">
      <c r="D181" s="122"/>
    </row>
    <row r="182" spans="4:4" s="70" customFormat="1" ht="11.25" x14ac:dyDescent="0.25">
      <c r="D182" s="122"/>
    </row>
    <row r="183" spans="4:4" s="70" customFormat="1" ht="11.25" x14ac:dyDescent="0.25">
      <c r="D183" s="122"/>
    </row>
    <row r="184" spans="4:4" s="70" customFormat="1" ht="11.25" x14ac:dyDescent="0.25">
      <c r="D184" s="122"/>
    </row>
    <row r="185" spans="4:4" s="70" customFormat="1" ht="11.25" x14ac:dyDescent="0.25">
      <c r="D185" s="122"/>
    </row>
    <row r="186" spans="4:4" s="70" customFormat="1" ht="11.25" x14ac:dyDescent="0.25">
      <c r="D186" s="122"/>
    </row>
    <row r="187" spans="4:4" s="70" customFormat="1" ht="11.25" x14ac:dyDescent="0.25">
      <c r="D187" s="122"/>
    </row>
    <row r="188" spans="4:4" s="70" customFormat="1" ht="11.25" x14ac:dyDescent="0.25">
      <c r="D188" s="122"/>
    </row>
    <row r="189" spans="4:4" s="70" customFormat="1" ht="11.25" x14ac:dyDescent="0.25">
      <c r="D189" s="122"/>
    </row>
    <row r="190" spans="4:4" s="70" customFormat="1" ht="11.25" x14ac:dyDescent="0.25">
      <c r="D190" s="122"/>
    </row>
    <row r="191" spans="4:4" s="70" customFormat="1" ht="11.25" x14ac:dyDescent="0.25">
      <c r="D191" s="122"/>
    </row>
    <row r="192" spans="4:4" s="70" customFormat="1" ht="11.25" x14ac:dyDescent="0.25">
      <c r="D192" s="122"/>
    </row>
    <row r="193" spans="4:4" s="70" customFormat="1" ht="11.25" x14ac:dyDescent="0.25">
      <c r="D193" s="122"/>
    </row>
    <row r="194" spans="4:4" s="70" customFormat="1" ht="11.25" x14ac:dyDescent="0.25">
      <c r="D194" s="122"/>
    </row>
    <row r="195" spans="4:4" s="70" customFormat="1" ht="11.25" x14ac:dyDescent="0.25">
      <c r="D195" s="122"/>
    </row>
    <row r="196" spans="4:4" s="70" customFormat="1" ht="11.25" x14ac:dyDescent="0.25">
      <c r="D196" s="122"/>
    </row>
    <row r="197" spans="4:4" s="70" customFormat="1" ht="11.25" x14ac:dyDescent="0.25">
      <c r="D197" s="122"/>
    </row>
    <row r="198" spans="4:4" s="70" customFormat="1" ht="11.25" x14ac:dyDescent="0.25">
      <c r="D198" s="122"/>
    </row>
    <row r="199" spans="4:4" s="70" customFormat="1" ht="11.25" x14ac:dyDescent="0.25">
      <c r="D199" s="122"/>
    </row>
    <row r="200" spans="4:4" s="70" customFormat="1" ht="11.25" x14ac:dyDescent="0.25">
      <c r="D200" s="122"/>
    </row>
    <row r="201" spans="4:4" s="70" customFormat="1" ht="11.25" x14ac:dyDescent="0.25">
      <c r="D201" s="122"/>
    </row>
    <row r="202" spans="4:4" s="70" customFormat="1" ht="11.25" x14ac:dyDescent="0.25">
      <c r="D202" s="122"/>
    </row>
    <row r="203" spans="4:4" s="70" customFormat="1" ht="11.25" x14ac:dyDescent="0.25">
      <c r="D203" s="122"/>
    </row>
    <row r="204" spans="4:4" s="70" customFormat="1" ht="11.25" x14ac:dyDescent="0.25">
      <c r="D204" s="122"/>
    </row>
    <row r="205" spans="4:4" s="70" customFormat="1" ht="11.25" x14ac:dyDescent="0.25">
      <c r="D205" s="122"/>
    </row>
    <row r="206" spans="4:4" s="70" customFormat="1" ht="11.25" x14ac:dyDescent="0.25">
      <c r="D206" s="122"/>
    </row>
    <row r="207" spans="4:4" s="70" customFormat="1" ht="11.25" x14ac:dyDescent="0.25">
      <c r="D207" s="122"/>
    </row>
    <row r="208" spans="4:4" s="70" customFormat="1" ht="11.25" x14ac:dyDescent="0.25">
      <c r="D208" s="122"/>
    </row>
    <row r="209" spans="4:4" s="70" customFormat="1" ht="11.25" x14ac:dyDescent="0.25">
      <c r="D209" s="122"/>
    </row>
    <row r="210" spans="4:4" s="70" customFormat="1" ht="11.25" x14ac:dyDescent="0.25">
      <c r="D210" s="122"/>
    </row>
    <row r="211" spans="4:4" s="70" customFormat="1" ht="11.25" x14ac:dyDescent="0.25">
      <c r="D211" s="122"/>
    </row>
    <row r="212" spans="4:4" s="70" customFormat="1" ht="11.25" x14ac:dyDescent="0.25">
      <c r="D212" s="122"/>
    </row>
    <row r="213" spans="4:4" s="70" customFormat="1" ht="11.25" x14ac:dyDescent="0.25">
      <c r="D213" s="122"/>
    </row>
    <row r="214" spans="4:4" s="70" customFormat="1" ht="11.25" x14ac:dyDescent="0.25">
      <c r="D214" s="122"/>
    </row>
    <row r="215" spans="4:4" s="70" customFormat="1" ht="11.25" x14ac:dyDescent="0.25">
      <c r="D215" s="122"/>
    </row>
    <row r="216" spans="4:4" s="70" customFormat="1" ht="11.25" x14ac:dyDescent="0.25">
      <c r="D216" s="122"/>
    </row>
    <row r="217" spans="4:4" s="70" customFormat="1" ht="11.25" x14ac:dyDescent="0.25">
      <c r="D217" s="122"/>
    </row>
    <row r="218" spans="4:4" s="70" customFormat="1" ht="11.25" x14ac:dyDescent="0.25">
      <c r="D218" s="122"/>
    </row>
    <row r="219" spans="4:4" s="70" customFormat="1" ht="11.25" x14ac:dyDescent="0.25">
      <c r="D219" s="122"/>
    </row>
    <row r="220" spans="4:4" s="70" customFormat="1" ht="11.25" x14ac:dyDescent="0.25">
      <c r="D220" s="122"/>
    </row>
    <row r="221" spans="4:4" s="70" customFormat="1" ht="11.25" x14ac:dyDescent="0.25">
      <c r="D221" s="122"/>
    </row>
    <row r="222" spans="4:4" s="70" customFormat="1" ht="11.25" x14ac:dyDescent="0.25">
      <c r="D222" s="122"/>
    </row>
    <row r="223" spans="4:4" s="70" customFormat="1" ht="11.25" x14ac:dyDescent="0.25">
      <c r="D223" s="122"/>
    </row>
    <row r="224" spans="4:4" s="70" customFormat="1" ht="11.25" x14ac:dyDescent="0.25">
      <c r="D224" s="122"/>
    </row>
    <row r="225" spans="4:4" s="70" customFormat="1" ht="11.25" x14ac:dyDescent="0.25">
      <c r="D225" s="122"/>
    </row>
    <row r="226" spans="4:4" s="70" customFormat="1" ht="11.25" x14ac:dyDescent="0.25">
      <c r="D226" s="122"/>
    </row>
    <row r="227" spans="4:4" s="70" customFormat="1" ht="11.25" x14ac:dyDescent="0.25">
      <c r="D227" s="122"/>
    </row>
    <row r="228" spans="4:4" s="70" customFormat="1" ht="11.25" x14ac:dyDescent="0.25">
      <c r="D228" s="122"/>
    </row>
    <row r="229" spans="4:4" s="70" customFormat="1" ht="11.25" x14ac:dyDescent="0.25">
      <c r="D229" s="122"/>
    </row>
    <row r="230" spans="4:4" s="70" customFormat="1" ht="11.25" x14ac:dyDescent="0.25">
      <c r="D230" s="122"/>
    </row>
    <row r="231" spans="4:4" s="70" customFormat="1" ht="11.25" x14ac:dyDescent="0.25">
      <c r="D231" s="122"/>
    </row>
    <row r="232" spans="4:4" s="70" customFormat="1" ht="11.25" x14ac:dyDescent="0.25">
      <c r="D232" s="122"/>
    </row>
    <row r="233" spans="4:4" s="70" customFormat="1" ht="11.25" x14ac:dyDescent="0.25">
      <c r="D233" s="122"/>
    </row>
    <row r="234" spans="4:4" s="70" customFormat="1" ht="11.25" x14ac:dyDescent="0.25">
      <c r="D234" s="122"/>
    </row>
    <row r="235" spans="4:4" s="70" customFormat="1" ht="11.25" x14ac:dyDescent="0.25">
      <c r="D235" s="122"/>
    </row>
    <row r="236" spans="4:4" s="70" customFormat="1" ht="11.25" x14ac:dyDescent="0.25">
      <c r="D236" s="122"/>
    </row>
    <row r="237" spans="4:4" s="70" customFormat="1" ht="11.25" x14ac:dyDescent="0.25">
      <c r="D237" s="122"/>
    </row>
    <row r="238" spans="4:4" s="70" customFormat="1" ht="11.25" x14ac:dyDescent="0.25">
      <c r="D238" s="122"/>
    </row>
    <row r="239" spans="4:4" s="70" customFormat="1" ht="11.25" x14ac:dyDescent="0.25">
      <c r="D239" s="122"/>
    </row>
    <row r="240" spans="4:4" s="70" customFormat="1" ht="11.25" x14ac:dyDescent="0.25">
      <c r="D240" s="122"/>
    </row>
    <row r="241" spans="4:4" s="70" customFormat="1" ht="11.25" x14ac:dyDescent="0.25">
      <c r="D241" s="122"/>
    </row>
    <row r="242" spans="4:4" s="70" customFormat="1" ht="11.25" x14ac:dyDescent="0.25">
      <c r="D242" s="122"/>
    </row>
    <row r="243" spans="4:4" s="70" customFormat="1" ht="11.25" x14ac:dyDescent="0.25">
      <c r="D243" s="122"/>
    </row>
    <row r="244" spans="4:4" s="70" customFormat="1" ht="11.25" x14ac:dyDescent="0.25">
      <c r="D244" s="122"/>
    </row>
    <row r="245" spans="4:4" s="70" customFormat="1" ht="11.25" x14ac:dyDescent="0.25">
      <c r="D245" s="122"/>
    </row>
    <row r="246" spans="4:4" s="70" customFormat="1" ht="11.25" x14ac:dyDescent="0.25">
      <c r="D246" s="122"/>
    </row>
    <row r="247" spans="4:4" s="70" customFormat="1" ht="11.25" x14ac:dyDescent="0.25">
      <c r="D247" s="122"/>
    </row>
    <row r="248" spans="4:4" s="70" customFormat="1" ht="11.25" x14ac:dyDescent="0.25">
      <c r="D248" s="122"/>
    </row>
    <row r="249" spans="4:4" s="70" customFormat="1" ht="11.25" x14ac:dyDescent="0.25">
      <c r="D249" s="122"/>
    </row>
    <row r="250" spans="4:4" s="70" customFormat="1" ht="11.25" x14ac:dyDescent="0.25">
      <c r="D250" s="122"/>
    </row>
    <row r="251" spans="4:4" s="70" customFormat="1" ht="11.25" x14ac:dyDescent="0.25">
      <c r="D251" s="122"/>
    </row>
    <row r="252" spans="4:4" s="70" customFormat="1" ht="11.25" x14ac:dyDescent="0.25">
      <c r="D252" s="122"/>
    </row>
    <row r="253" spans="4:4" s="70" customFormat="1" ht="11.25" x14ac:dyDescent="0.25">
      <c r="D253" s="122"/>
    </row>
    <row r="254" spans="4:4" s="70" customFormat="1" ht="11.25" x14ac:dyDescent="0.25">
      <c r="D254" s="122"/>
    </row>
    <row r="255" spans="4:4" s="70" customFormat="1" ht="11.25" x14ac:dyDescent="0.25">
      <c r="D255" s="122"/>
    </row>
    <row r="256" spans="4:4" s="70" customFormat="1" ht="11.25" x14ac:dyDescent="0.25">
      <c r="D256" s="122"/>
    </row>
    <row r="257" spans="4:4" s="70" customFormat="1" ht="11.25" x14ac:dyDescent="0.25">
      <c r="D257" s="122"/>
    </row>
    <row r="258" spans="4:4" s="70" customFormat="1" ht="11.25" x14ac:dyDescent="0.25">
      <c r="D258" s="122"/>
    </row>
    <row r="259" spans="4:4" s="70" customFormat="1" ht="11.25" x14ac:dyDescent="0.25">
      <c r="D259" s="122"/>
    </row>
    <row r="260" spans="4:4" s="70" customFormat="1" ht="11.25" x14ac:dyDescent="0.25">
      <c r="D260" s="122"/>
    </row>
    <row r="261" spans="4:4" s="70" customFormat="1" ht="11.25" x14ac:dyDescent="0.25">
      <c r="D261" s="122"/>
    </row>
    <row r="262" spans="4:4" s="70" customFormat="1" ht="11.25" x14ac:dyDescent="0.25">
      <c r="D262" s="122"/>
    </row>
    <row r="263" spans="4:4" s="70" customFormat="1" ht="11.25" x14ac:dyDescent="0.25">
      <c r="D263" s="122"/>
    </row>
    <row r="264" spans="4:4" s="70" customFormat="1" ht="11.25" x14ac:dyDescent="0.25">
      <c r="D264" s="122"/>
    </row>
    <row r="265" spans="4:4" s="70" customFormat="1" ht="11.25" x14ac:dyDescent="0.25">
      <c r="D265" s="122"/>
    </row>
    <row r="266" spans="4:4" s="70" customFormat="1" ht="11.25" x14ac:dyDescent="0.25">
      <c r="D266" s="122"/>
    </row>
    <row r="267" spans="4:4" s="70" customFormat="1" ht="11.25" x14ac:dyDescent="0.25">
      <c r="D267" s="122"/>
    </row>
    <row r="268" spans="4:4" s="70" customFormat="1" ht="11.25" x14ac:dyDescent="0.25">
      <c r="D268" s="122"/>
    </row>
    <row r="269" spans="4:4" s="70" customFormat="1" ht="11.25" x14ac:dyDescent="0.25">
      <c r="D269" s="122"/>
    </row>
    <row r="270" spans="4:4" s="70" customFormat="1" ht="11.25" x14ac:dyDescent="0.25">
      <c r="D270" s="122"/>
    </row>
    <row r="271" spans="4:4" s="70" customFormat="1" ht="11.25" x14ac:dyDescent="0.25">
      <c r="D271" s="122"/>
    </row>
    <row r="272" spans="4:4" s="70" customFormat="1" ht="11.25" x14ac:dyDescent="0.25">
      <c r="D272" s="122"/>
    </row>
    <row r="273" spans="4:4" s="70" customFormat="1" ht="11.25" x14ac:dyDescent="0.25">
      <c r="D273" s="122"/>
    </row>
    <row r="274" spans="4:4" s="70" customFormat="1" ht="11.25" x14ac:dyDescent="0.25">
      <c r="D274" s="122"/>
    </row>
    <row r="275" spans="4:4" s="70" customFormat="1" ht="11.25" x14ac:dyDescent="0.25">
      <c r="D275" s="122"/>
    </row>
    <row r="276" spans="4:4" s="70" customFormat="1" ht="11.25" x14ac:dyDescent="0.25">
      <c r="D276" s="122"/>
    </row>
    <row r="277" spans="4:4" s="70" customFormat="1" ht="11.25" x14ac:dyDescent="0.25">
      <c r="D277" s="122"/>
    </row>
    <row r="278" spans="4:4" s="70" customFormat="1" ht="11.25" x14ac:dyDescent="0.25">
      <c r="D278" s="122"/>
    </row>
    <row r="279" spans="4:4" s="70" customFormat="1" ht="11.25" x14ac:dyDescent="0.25">
      <c r="D279" s="122"/>
    </row>
    <row r="280" spans="4:4" s="70" customFormat="1" ht="11.25" x14ac:dyDescent="0.25">
      <c r="D280" s="122"/>
    </row>
    <row r="281" spans="4:4" s="70" customFormat="1" ht="11.25" x14ac:dyDescent="0.25">
      <c r="D281" s="122"/>
    </row>
    <row r="282" spans="4:4" s="70" customFormat="1" ht="11.25" x14ac:dyDescent="0.25">
      <c r="D282" s="122"/>
    </row>
    <row r="283" spans="4:4" s="70" customFormat="1" ht="11.25" x14ac:dyDescent="0.25">
      <c r="D283" s="122"/>
    </row>
    <row r="284" spans="4:4" s="70" customFormat="1" ht="11.25" x14ac:dyDescent="0.25">
      <c r="D284" s="122"/>
    </row>
    <row r="285" spans="4:4" s="70" customFormat="1" ht="11.25" x14ac:dyDescent="0.25">
      <c r="D285" s="122"/>
    </row>
    <row r="286" spans="4:4" s="70" customFormat="1" ht="11.25" x14ac:dyDescent="0.25">
      <c r="D286" s="122"/>
    </row>
    <row r="287" spans="4:4" s="70" customFormat="1" ht="11.25" x14ac:dyDescent="0.25">
      <c r="D287" s="122"/>
    </row>
    <row r="288" spans="4:4" s="70" customFormat="1" ht="11.25" x14ac:dyDescent="0.25">
      <c r="D288" s="122"/>
    </row>
    <row r="289" spans="4:4" s="70" customFormat="1" ht="11.25" x14ac:dyDescent="0.25">
      <c r="D289" s="122"/>
    </row>
    <row r="290" spans="4:4" s="70" customFormat="1" ht="11.25" x14ac:dyDescent="0.25">
      <c r="D290" s="122"/>
    </row>
    <row r="291" spans="4:4" s="70" customFormat="1" ht="11.25" x14ac:dyDescent="0.25">
      <c r="D291" s="122"/>
    </row>
    <row r="292" spans="4:4" s="70" customFormat="1" ht="11.25" x14ac:dyDescent="0.25">
      <c r="D292" s="122"/>
    </row>
    <row r="293" spans="4:4" s="70" customFormat="1" ht="11.25" x14ac:dyDescent="0.25">
      <c r="D293" s="122"/>
    </row>
    <row r="294" spans="4:4" s="70" customFormat="1" ht="11.25" x14ac:dyDescent="0.25">
      <c r="D294" s="122"/>
    </row>
    <row r="295" spans="4:4" s="70" customFormat="1" ht="11.25" x14ac:dyDescent="0.25">
      <c r="D295" s="122"/>
    </row>
    <row r="296" spans="4:4" s="70" customFormat="1" ht="11.25" x14ac:dyDescent="0.25">
      <c r="D296" s="122"/>
    </row>
    <row r="297" spans="4:4" s="70" customFormat="1" ht="11.25" x14ac:dyDescent="0.25">
      <c r="D297" s="122"/>
    </row>
    <row r="298" spans="4:4" s="70" customFormat="1" ht="11.25" x14ac:dyDescent="0.25">
      <c r="D298" s="122"/>
    </row>
    <row r="299" spans="4:4" s="70" customFormat="1" ht="11.25" x14ac:dyDescent="0.25">
      <c r="D299" s="122"/>
    </row>
    <row r="300" spans="4:4" s="70" customFormat="1" ht="11.25" x14ac:dyDescent="0.25">
      <c r="D300" s="122"/>
    </row>
    <row r="301" spans="4:4" s="70" customFormat="1" ht="11.25" x14ac:dyDescent="0.25">
      <c r="D301" s="122"/>
    </row>
    <row r="302" spans="4:4" s="70" customFormat="1" ht="11.25" x14ac:dyDescent="0.25">
      <c r="D302" s="122"/>
    </row>
    <row r="303" spans="4:4" s="70" customFormat="1" ht="11.25" x14ac:dyDescent="0.25">
      <c r="D303" s="122"/>
    </row>
    <row r="304" spans="4:4" s="70" customFormat="1" ht="11.25" x14ac:dyDescent="0.25">
      <c r="D304" s="122"/>
    </row>
    <row r="305" spans="4:4" s="70" customFormat="1" ht="11.25" x14ac:dyDescent="0.25">
      <c r="D305" s="122"/>
    </row>
    <row r="306" spans="4:4" s="70" customFormat="1" ht="11.25" x14ac:dyDescent="0.25">
      <c r="D306" s="122"/>
    </row>
    <row r="307" spans="4:4" s="70" customFormat="1" ht="11.25" x14ac:dyDescent="0.25">
      <c r="D307" s="122"/>
    </row>
    <row r="308" spans="4:4" s="70" customFormat="1" ht="11.25" x14ac:dyDescent="0.25">
      <c r="D308" s="122"/>
    </row>
    <row r="309" spans="4:4" s="70" customFormat="1" ht="11.25" x14ac:dyDescent="0.25">
      <c r="D309" s="122"/>
    </row>
    <row r="310" spans="4:4" s="70" customFormat="1" ht="11.25" x14ac:dyDescent="0.25">
      <c r="D310" s="122"/>
    </row>
    <row r="311" spans="4:4" s="70" customFormat="1" ht="11.25" x14ac:dyDescent="0.25">
      <c r="D311" s="122"/>
    </row>
    <row r="312" spans="4:4" s="70" customFormat="1" ht="11.25" x14ac:dyDescent="0.25">
      <c r="D312" s="122"/>
    </row>
    <row r="313" spans="4:4" s="70" customFormat="1" ht="11.25" x14ac:dyDescent="0.25">
      <c r="D313" s="122"/>
    </row>
    <row r="314" spans="4:4" s="70" customFormat="1" ht="11.25" x14ac:dyDescent="0.25">
      <c r="D314" s="122"/>
    </row>
    <row r="315" spans="4:4" s="70" customFormat="1" ht="11.25" x14ac:dyDescent="0.25">
      <c r="D315" s="122"/>
    </row>
    <row r="316" spans="4:4" s="70" customFormat="1" ht="11.25" x14ac:dyDescent="0.25">
      <c r="D316" s="122"/>
    </row>
    <row r="317" spans="4:4" s="70" customFormat="1" ht="11.25" x14ac:dyDescent="0.25">
      <c r="D317" s="122"/>
    </row>
    <row r="318" spans="4:4" s="70" customFormat="1" ht="11.25" x14ac:dyDescent="0.25">
      <c r="D318" s="122"/>
    </row>
    <row r="319" spans="4:4" s="70" customFormat="1" ht="11.25" x14ac:dyDescent="0.25">
      <c r="D319" s="122"/>
    </row>
    <row r="320" spans="4:4" s="70" customFormat="1" ht="11.25" x14ac:dyDescent="0.25">
      <c r="D320" s="122"/>
    </row>
    <row r="321" spans="4:4" s="70" customFormat="1" ht="11.25" x14ac:dyDescent="0.25">
      <c r="D321" s="122"/>
    </row>
    <row r="322" spans="4:4" s="70" customFormat="1" ht="11.25" x14ac:dyDescent="0.25">
      <c r="D322" s="122"/>
    </row>
    <row r="323" spans="4:4" s="70" customFormat="1" ht="11.25" x14ac:dyDescent="0.25">
      <c r="D323" s="122"/>
    </row>
    <row r="324" spans="4:4" s="70" customFormat="1" ht="11.25" x14ac:dyDescent="0.25">
      <c r="D324" s="122"/>
    </row>
    <row r="325" spans="4:4" s="70" customFormat="1" ht="11.25" x14ac:dyDescent="0.25">
      <c r="D325" s="122"/>
    </row>
    <row r="326" spans="4:4" s="70" customFormat="1" ht="11.25" x14ac:dyDescent="0.25">
      <c r="D326" s="122"/>
    </row>
    <row r="327" spans="4:4" s="70" customFormat="1" ht="11.25" x14ac:dyDescent="0.25">
      <c r="D327" s="122"/>
    </row>
    <row r="328" spans="4:4" s="70" customFormat="1" ht="11.25" x14ac:dyDescent="0.25">
      <c r="D328" s="122"/>
    </row>
    <row r="329" spans="4:4" s="70" customFormat="1" ht="11.25" x14ac:dyDescent="0.25">
      <c r="D329" s="122"/>
    </row>
    <row r="330" spans="4:4" s="70" customFormat="1" ht="11.25" x14ac:dyDescent="0.25">
      <c r="D330" s="122"/>
    </row>
    <row r="331" spans="4:4" s="70" customFormat="1" ht="11.25" x14ac:dyDescent="0.25">
      <c r="D331" s="122"/>
    </row>
    <row r="332" spans="4:4" s="70" customFormat="1" ht="11.25" x14ac:dyDescent="0.25">
      <c r="D332" s="122"/>
    </row>
    <row r="333" spans="4:4" s="70" customFormat="1" ht="11.25" x14ac:dyDescent="0.25">
      <c r="D333" s="122"/>
    </row>
    <row r="334" spans="4:4" s="70" customFormat="1" ht="11.25" x14ac:dyDescent="0.25">
      <c r="D334" s="122"/>
    </row>
    <row r="335" spans="4:4" s="70" customFormat="1" ht="11.25" x14ac:dyDescent="0.25">
      <c r="D335" s="122"/>
    </row>
    <row r="336" spans="4:4" s="70" customFormat="1" ht="11.25" x14ac:dyDescent="0.25">
      <c r="D336" s="122"/>
    </row>
    <row r="337" spans="4:4" s="70" customFormat="1" ht="11.25" x14ac:dyDescent="0.25">
      <c r="D337" s="122"/>
    </row>
    <row r="338" spans="4:4" s="70" customFormat="1" ht="11.25" x14ac:dyDescent="0.25">
      <c r="D338" s="122"/>
    </row>
    <row r="339" spans="4:4" s="70" customFormat="1" ht="11.25" x14ac:dyDescent="0.25">
      <c r="D339" s="122"/>
    </row>
    <row r="340" spans="4:4" s="70" customFormat="1" ht="11.25" x14ac:dyDescent="0.25">
      <c r="D340" s="122"/>
    </row>
    <row r="341" spans="4:4" s="70" customFormat="1" ht="11.25" x14ac:dyDescent="0.25">
      <c r="D341" s="122"/>
    </row>
    <row r="342" spans="4:4" s="70" customFormat="1" ht="11.25" x14ac:dyDescent="0.25">
      <c r="D342" s="122"/>
    </row>
    <row r="343" spans="4:4" s="70" customFormat="1" ht="11.25" x14ac:dyDescent="0.25">
      <c r="D343" s="122"/>
    </row>
    <row r="344" spans="4:4" s="70" customFormat="1" ht="11.25" x14ac:dyDescent="0.25">
      <c r="D344" s="122"/>
    </row>
    <row r="345" spans="4:4" s="70" customFormat="1" ht="11.25" x14ac:dyDescent="0.25">
      <c r="D345" s="122"/>
    </row>
    <row r="346" spans="4:4" s="70" customFormat="1" ht="11.25" x14ac:dyDescent="0.25">
      <c r="D346" s="122"/>
    </row>
    <row r="347" spans="4:4" s="70" customFormat="1" ht="11.25" x14ac:dyDescent="0.25">
      <c r="D347" s="122"/>
    </row>
    <row r="348" spans="4:4" s="70" customFormat="1" ht="11.25" x14ac:dyDescent="0.25">
      <c r="D348" s="122"/>
    </row>
    <row r="349" spans="4:4" s="70" customFormat="1" ht="11.25" x14ac:dyDescent="0.25">
      <c r="D349" s="122"/>
    </row>
    <row r="350" spans="4:4" s="70" customFormat="1" ht="11.25" x14ac:dyDescent="0.25">
      <c r="D350" s="122"/>
    </row>
    <row r="351" spans="4:4" s="70" customFormat="1" ht="11.25" x14ac:dyDescent="0.25">
      <c r="D351" s="122"/>
    </row>
    <row r="352" spans="4:4" s="70" customFormat="1" ht="11.25" x14ac:dyDescent="0.25">
      <c r="D352" s="122"/>
    </row>
    <row r="353" spans="4:4" s="70" customFormat="1" ht="11.25" x14ac:dyDescent="0.25">
      <c r="D353" s="122"/>
    </row>
    <row r="354" spans="4:4" s="70" customFormat="1" ht="11.25" x14ac:dyDescent="0.25">
      <c r="D354" s="122"/>
    </row>
    <row r="355" spans="4:4" s="70" customFormat="1" ht="11.25" x14ac:dyDescent="0.25">
      <c r="D355" s="122"/>
    </row>
    <row r="356" spans="4:4" s="70" customFormat="1" ht="11.25" x14ac:dyDescent="0.25">
      <c r="D356" s="122"/>
    </row>
    <row r="357" spans="4:4" s="70" customFormat="1" ht="11.25" x14ac:dyDescent="0.25">
      <c r="D357" s="122"/>
    </row>
    <row r="358" spans="4:4" s="70" customFormat="1" ht="11.25" x14ac:dyDescent="0.25">
      <c r="D358" s="122"/>
    </row>
    <row r="359" spans="4:4" s="70" customFormat="1" ht="11.25" x14ac:dyDescent="0.25">
      <c r="D359" s="122"/>
    </row>
    <row r="360" spans="4:4" s="70" customFormat="1" ht="11.25" x14ac:dyDescent="0.25">
      <c r="D360" s="122"/>
    </row>
    <row r="361" spans="4:4" s="70" customFormat="1" ht="11.25" x14ac:dyDescent="0.25">
      <c r="D361" s="122"/>
    </row>
    <row r="362" spans="4:4" s="70" customFormat="1" ht="11.25" x14ac:dyDescent="0.25">
      <c r="D362" s="122"/>
    </row>
    <row r="363" spans="4:4" s="70" customFormat="1" ht="11.25" x14ac:dyDescent="0.25">
      <c r="D363" s="122"/>
    </row>
    <row r="364" spans="4:4" s="70" customFormat="1" ht="11.25" x14ac:dyDescent="0.25">
      <c r="D364" s="122"/>
    </row>
    <row r="365" spans="4:4" s="70" customFormat="1" ht="11.25" x14ac:dyDescent="0.25">
      <c r="D365" s="122"/>
    </row>
    <row r="366" spans="4:4" s="70" customFormat="1" ht="11.25" x14ac:dyDescent="0.25">
      <c r="D366" s="122"/>
    </row>
    <row r="367" spans="4:4" s="70" customFormat="1" ht="11.25" x14ac:dyDescent="0.25">
      <c r="D367" s="122"/>
    </row>
    <row r="368" spans="4:4" s="70" customFormat="1" ht="11.25" x14ac:dyDescent="0.25">
      <c r="D368" s="122"/>
    </row>
    <row r="369" spans="4:4" s="70" customFormat="1" ht="11.25" x14ac:dyDescent="0.25">
      <c r="D369" s="122"/>
    </row>
    <row r="370" spans="4:4" s="70" customFormat="1" ht="11.25" x14ac:dyDescent="0.25">
      <c r="D370" s="122"/>
    </row>
    <row r="371" spans="4:4" s="70" customFormat="1" ht="11.25" x14ac:dyDescent="0.25">
      <c r="D371" s="122"/>
    </row>
    <row r="372" spans="4:4" s="70" customFormat="1" ht="11.25" x14ac:dyDescent="0.25">
      <c r="D372" s="122"/>
    </row>
    <row r="373" spans="4:4" s="70" customFormat="1" ht="11.25" x14ac:dyDescent="0.25">
      <c r="D373" s="122"/>
    </row>
    <row r="374" spans="4:4" s="70" customFormat="1" ht="11.25" x14ac:dyDescent="0.25">
      <c r="D374" s="122"/>
    </row>
    <row r="375" spans="4:4" s="70" customFormat="1" ht="11.25" x14ac:dyDescent="0.25">
      <c r="D375" s="122"/>
    </row>
    <row r="376" spans="4:4" s="70" customFormat="1" ht="11.25" x14ac:dyDescent="0.25">
      <c r="D376" s="122"/>
    </row>
    <row r="377" spans="4:4" s="70" customFormat="1" ht="11.25" x14ac:dyDescent="0.25">
      <c r="D377" s="122"/>
    </row>
    <row r="378" spans="4:4" s="70" customFormat="1" ht="11.25" x14ac:dyDescent="0.25">
      <c r="D378" s="122"/>
    </row>
    <row r="379" spans="4:4" s="70" customFormat="1" ht="11.25" x14ac:dyDescent="0.25">
      <c r="D379" s="122"/>
    </row>
    <row r="380" spans="4:4" s="70" customFormat="1" ht="11.25" x14ac:dyDescent="0.25">
      <c r="D380" s="122"/>
    </row>
    <row r="381" spans="4:4" s="70" customFormat="1" ht="11.25" x14ac:dyDescent="0.25">
      <c r="D381" s="122"/>
    </row>
    <row r="382" spans="4:4" s="70" customFormat="1" ht="11.25" x14ac:dyDescent="0.25">
      <c r="D382" s="122"/>
    </row>
    <row r="383" spans="4:4" s="70" customFormat="1" ht="11.25" x14ac:dyDescent="0.25">
      <c r="D383" s="122"/>
    </row>
    <row r="384" spans="4:4" s="70" customFormat="1" ht="11.25" x14ac:dyDescent="0.25">
      <c r="D384" s="122"/>
    </row>
    <row r="385" spans="4:4" s="70" customFormat="1" ht="11.25" x14ac:dyDescent="0.25">
      <c r="D385" s="122"/>
    </row>
    <row r="386" spans="4:4" s="70" customFormat="1" ht="11.25" x14ac:dyDescent="0.25">
      <c r="D386" s="122"/>
    </row>
    <row r="387" spans="4:4" s="70" customFormat="1" ht="11.25" x14ac:dyDescent="0.25">
      <c r="D387" s="122"/>
    </row>
    <row r="388" spans="4:4" s="70" customFormat="1" ht="11.25" x14ac:dyDescent="0.25">
      <c r="D388" s="122"/>
    </row>
    <row r="389" spans="4:4" s="70" customFormat="1" ht="11.25" x14ac:dyDescent="0.25">
      <c r="D389" s="122"/>
    </row>
    <row r="390" spans="4:4" s="70" customFormat="1" ht="11.25" x14ac:dyDescent="0.25">
      <c r="D390" s="122"/>
    </row>
    <row r="391" spans="4:4" s="70" customFormat="1" ht="11.25" x14ac:dyDescent="0.25">
      <c r="D391" s="122"/>
    </row>
    <row r="392" spans="4:4" s="70" customFormat="1" ht="11.25" x14ac:dyDescent="0.25">
      <c r="D392" s="122"/>
    </row>
    <row r="393" spans="4:4" s="70" customFormat="1" ht="11.25" x14ac:dyDescent="0.25">
      <c r="D393" s="122"/>
    </row>
    <row r="394" spans="4:4" s="70" customFormat="1" ht="11.25" x14ac:dyDescent="0.25">
      <c r="D394" s="122"/>
    </row>
    <row r="395" spans="4:4" s="70" customFormat="1" ht="11.25" x14ac:dyDescent="0.25">
      <c r="D395" s="122"/>
    </row>
    <row r="396" spans="4:4" s="70" customFormat="1" ht="11.25" x14ac:dyDescent="0.25">
      <c r="D396" s="122"/>
    </row>
    <row r="397" spans="4:4" s="70" customFormat="1" ht="11.25" x14ac:dyDescent="0.25">
      <c r="D397" s="122"/>
    </row>
    <row r="398" spans="4:4" s="70" customFormat="1" ht="11.25" x14ac:dyDescent="0.25">
      <c r="D398" s="122"/>
    </row>
    <row r="399" spans="4:4" s="70" customFormat="1" ht="11.25" x14ac:dyDescent="0.25">
      <c r="D399" s="122"/>
    </row>
    <row r="400" spans="4:4" s="70" customFormat="1" ht="11.25" x14ac:dyDescent="0.25">
      <c r="D400" s="122"/>
    </row>
    <row r="401" spans="4:4" s="70" customFormat="1" ht="11.25" x14ac:dyDescent="0.25">
      <c r="D401" s="122"/>
    </row>
    <row r="402" spans="4:4" s="70" customFormat="1" ht="11.25" x14ac:dyDescent="0.25">
      <c r="D402" s="122"/>
    </row>
    <row r="403" spans="4:4" s="70" customFormat="1" ht="11.25" x14ac:dyDescent="0.25">
      <c r="D403" s="122"/>
    </row>
    <row r="404" spans="4:4" s="70" customFormat="1" ht="11.25" x14ac:dyDescent="0.25">
      <c r="D404" s="122"/>
    </row>
    <row r="405" spans="4:4" s="70" customFormat="1" ht="11.25" x14ac:dyDescent="0.25">
      <c r="D405" s="122"/>
    </row>
    <row r="406" spans="4:4" s="70" customFormat="1" ht="11.25" x14ac:dyDescent="0.25">
      <c r="D406" s="122"/>
    </row>
    <row r="407" spans="4:4" s="70" customFormat="1" ht="11.25" x14ac:dyDescent="0.25">
      <c r="D407" s="122"/>
    </row>
    <row r="408" spans="4:4" s="70" customFormat="1" ht="11.25" x14ac:dyDescent="0.25">
      <c r="D408" s="122"/>
    </row>
    <row r="409" spans="4:4" s="70" customFormat="1" ht="11.25" x14ac:dyDescent="0.25">
      <c r="D409" s="122"/>
    </row>
    <row r="410" spans="4:4" s="70" customFormat="1" ht="11.25" x14ac:dyDescent="0.25">
      <c r="D410" s="122"/>
    </row>
    <row r="411" spans="4:4" s="70" customFormat="1" ht="11.25" x14ac:dyDescent="0.25">
      <c r="D411" s="122"/>
    </row>
    <row r="412" spans="4:4" s="70" customFormat="1" ht="11.25" x14ac:dyDescent="0.25">
      <c r="D412" s="122"/>
    </row>
    <row r="413" spans="4:4" s="70" customFormat="1" ht="11.25" x14ac:dyDescent="0.25">
      <c r="D413" s="122"/>
    </row>
    <row r="414" spans="4:4" s="70" customFormat="1" ht="11.25" x14ac:dyDescent="0.25">
      <c r="D414" s="122"/>
    </row>
    <row r="415" spans="4:4" s="70" customFormat="1" ht="11.25" x14ac:dyDescent="0.25">
      <c r="D415" s="122"/>
    </row>
    <row r="416" spans="4:4" s="70" customFormat="1" ht="11.25" x14ac:dyDescent="0.25">
      <c r="D416" s="122"/>
    </row>
    <row r="417" spans="4:4" s="70" customFormat="1" ht="11.25" x14ac:dyDescent="0.25">
      <c r="D417" s="122"/>
    </row>
    <row r="418" spans="4:4" s="70" customFormat="1" ht="11.25" x14ac:dyDescent="0.25">
      <c r="D418" s="122"/>
    </row>
    <row r="419" spans="4:4" s="70" customFormat="1" ht="11.25" x14ac:dyDescent="0.25">
      <c r="D419" s="122"/>
    </row>
    <row r="420" spans="4:4" s="70" customFormat="1" ht="11.25" x14ac:dyDescent="0.25">
      <c r="D420" s="122"/>
    </row>
    <row r="421" spans="4:4" s="70" customFormat="1" ht="11.25" x14ac:dyDescent="0.25">
      <c r="D421" s="122"/>
    </row>
    <row r="422" spans="4:4" s="70" customFormat="1" ht="11.25" x14ac:dyDescent="0.25">
      <c r="D422" s="122"/>
    </row>
    <row r="423" spans="4:4" s="70" customFormat="1" ht="11.25" x14ac:dyDescent="0.25">
      <c r="D423" s="122"/>
    </row>
    <row r="424" spans="4:4" s="70" customFormat="1" ht="11.25" x14ac:dyDescent="0.25">
      <c r="D424" s="122"/>
    </row>
    <row r="425" spans="4:4" s="70" customFormat="1" ht="11.25" x14ac:dyDescent="0.25">
      <c r="D425" s="122"/>
    </row>
    <row r="426" spans="4:4" s="70" customFormat="1" ht="11.25" x14ac:dyDescent="0.25">
      <c r="D426" s="122"/>
    </row>
    <row r="427" spans="4:4" s="70" customFormat="1" ht="11.25" x14ac:dyDescent="0.25">
      <c r="D427" s="122"/>
    </row>
    <row r="428" spans="4:4" s="70" customFormat="1" ht="11.25" x14ac:dyDescent="0.25">
      <c r="D428" s="122"/>
    </row>
    <row r="429" spans="4:4" s="70" customFormat="1" ht="11.25" x14ac:dyDescent="0.25">
      <c r="D429" s="122"/>
    </row>
    <row r="430" spans="4:4" s="70" customFormat="1" ht="11.25" x14ac:dyDescent="0.25">
      <c r="D430" s="122"/>
    </row>
    <row r="431" spans="4:4" s="70" customFormat="1" ht="11.25" x14ac:dyDescent="0.25">
      <c r="D431" s="122"/>
    </row>
    <row r="432" spans="4:4" s="70" customFormat="1" ht="11.25" x14ac:dyDescent="0.25">
      <c r="D432" s="122"/>
    </row>
    <row r="433" spans="4:4" s="70" customFormat="1" ht="11.25" x14ac:dyDescent="0.25">
      <c r="D433" s="122"/>
    </row>
    <row r="434" spans="4:4" s="70" customFormat="1" ht="11.25" x14ac:dyDescent="0.25">
      <c r="D434" s="122"/>
    </row>
    <row r="435" spans="4:4" s="70" customFormat="1" ht="11.25" x14ac:dyDescent="0.25">
      <c r="D435" s="122"/>
    </row>
    <row r="436" spans="4:4" s="70" customFormat="1" ht="11.25" x14ac:dyDescent="0.25">
      <c r="D436" s="122"/>
    </row>
    <row r="437" spans="4:4" s="70" customFormat="1" ht="11.25" x14ac:dyDescent="0.25">
      <c r="D437" s="122"/>
    </row>
    <row r="438" spans="4:4" s="70" customFormat="1" ht="11.25" x14ac:dyDescent="0.25">
      <c r="D438" s="122"/>
    </row>
    <row r="439" spans="4:4" s="70" customFormat="1" ht="11.25" x14ac:dyDescent="0.25">
      <c r="D439" s="122"/>
    </row>
    <row r="440" spans="4:4" s="70" customFormat="1" ht="11.25" x14ac:dyDescent="0.25">
      <c r="D440" s="122"/>
    </row>
    <row r="441" spans="4:4" s="70" customFormat="1" ht="11.25" x14ac:dyDescent="0.25">
      <c r="D441" s="122"/>
    </row>
    <row r="442" spans="4:4" s="70" customFormat="1" ht="11.25" x14ac:dyDescent="0.25">
      <c r="D442" s="122"/>
    </row>
    <row r="443" spans="4:4" s="70" customFormat="1" ht="11.25" x14ac:dyDescent="0.25">
      <c r="D443" s="122"/>
    </row>
    <row r="444" spans="4:4" s="70" customFormat="1" ht="11.25" x14ac:dyDescent="0.25">
      <c r="D444" s="122"/>
    </row>
    <row r="445" spans="4:4" s="70" customFormat="1" ht="11.25" x14ac:dyDescent="0.25">
      <c r="D445" s="122"/>
    </row>
    <row r="446" spans="4:4" s="70" customFormat="1" ht="11.25" x14ac:dyDescent="0.25">
      <c r="D446" s="122"/>
    </row>
    <row r="447" spans="4:4" s="70" customFormat="1" ht="11.25" x14ac:dyDescent="0.25">
      <c r="D447" s="122"/>
    </row>
    <row r="448" spans="4:4" s="70" customFormat="1" ht="11.25" x14ac:dyDescent="0.25">
      <c r="D448" s="122"/>
    </row>
    <row r="449" spans="1:193" s="70" customFormat="1" ht="11.25" x14ac:dyDescent="0.25">
      <c r="D449" s="122"/>
    </row>
    <row r="450" spans="1:193" s="70" customFormat="1" ht="11.25" x14ac:dyDescent="0.25">
      <c r="D450" s="122"/>
    </row>
    <row r="451" spans="1:193" s="70" customFormat="1" ht="11.25" x14ac:dyDescent="0.25">
      <c r="D451" s="122"/>
    </row>
    <row r="452" spans="1:193" s="70" customFormat="1" ht="11.25" x14ac:dyDescent="0.25">
      <c r="D452" s="122"/>
    </row>
    <row r="453" spans="1:193" s="70" customFormat="1" ht="11.25" x14ac:dyDescent="0.25">
      <c r="D453" s="122"/>
    </row>
    <row r="454" spans="1:193" s="70" customFormat="1" ht="11.25" x14ac:dyDescent="0.25">
      <c r="D454" s="122"/>
    </row>
    <row r="455" spans="1:193" s="70" customFormat="1" ht="11.25" x14ac:dyDescent="0.25">
      <c r="D455" s="122"/>
    </row>
    <row r="456" spans="1:193" s="70" customFormat="1" ht="11.25" x14ac:dyDescent="0.25">
      <c r="D456" s="122"/>
    </row>
    <row r="457" spans="1:193" s="70" customFormat="1" ht="11.25" x14ac:dyDescent="0.25">
      <c r="D457" s="122"/>
    </row>
    <row r="458" spans="1:193" s="70" customFormat="1" ht="11.25" x14ac:dyDescent="0.25">
      <c r="D458" s="122"/>
    </row>
    <row r="459" spans="1:193" s="70" customFormat="1" ht="11.25" x14ac:dyDescent="0.25">
      <c r="D459" s="122"/>
    </row>
    <row r="460" spans="1:193" s="70" customFormat="1" ht="11.25" x14ac:dyDescent="0.25">
      <c r="D460" s="122"/>
    </row>
    <row r="461" spans="1:193" s="70" customFormat="1" ht="11.25" x14ac:dyDescent="0.25">
      <c r="D461" s="122"/>
    </row>
    <row r="462" spans="1:193" s="70" customFormat="1" ht="11.25" x14ac:dyDescent="0.25">
      <c r="D462" s="122"/>
    </row>
    <row r="463" spans="1:193" x14ac:dyDescent="0.25">
      <c r="A463" s="70"/>
      <c r="B463" s="70"/>
      <c r="C463" s="70"/>
      <c r="D463" s="122"/>
      <c r="E463" s="70"/>
      <c r="F463" s="70"/>
      <c r="G463" s="70"/>
      <c r="H463" s="70"/>
      <c r="I463" s="70"/>
      <c r="J463" s="70"/>
      <c r="K463" s="70"/>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c r="DV463"/>
      <c r="DW463"/>
      <c r="DX463"/>
      <c r="DY463"/>
      <c r="DZ463"/>
      <c r="EA463"/>
      <c r="EB463"/>
      <c r="EC463"/>
      <c r="ED463"/>
      <c r="EE463"/>
      <c r="EF463"/>
      <c r="EG463"/>
      <c r="EH463"/>
      <c r="EI463"/>
      <c r="EJ463"/>
      <c r="EK463"/>
      <c r="EL463"/>
      <c r="EM463"/>
      <c r="EN463"/>
      <c r="EO463"/>
      <c r="EP463"/>
      <c r="EQ463"/>
      <c r="ER463"/>
      <c r="ES463"/>
      <c r="ET463"/>
      <c r="EU463"/>
      <c r="EV463"/>
      <c r="EW463"/>
      <c r="EX463"/>
      <c r="EY463"/>
      <c r="EZ463"/>
      <c r="FA463"/>
      <c r="FB463"/>
      <c r="FC463"/>
      <c r="FD463"/>
      <c r="FE463"/>
      <c r="FF463"/>
      <c r="FG463"/>
      <c r="FH463"/>
      <c r="FI463"/>
      <c r="FJ463"/>
      <c r="FK463"/>
      <c r="FL463"/>
      <c r="FM463"/>
      <c r="FN463"/>
      <c r="FO463"/>
      <c r="FP463"/>
      <c r="FQ463"/>
      <c r="FR463"/>
      <c r="FS463"/>
      <c r="FT463"/>
      <c r="FU463"/>
      <c r="FV463"/>
      <c r="FW463"/>
      <c r="FX463"/>
      <c r="FY463"/>
      <c r="FZ463"/>
      <c r="GA463"/>
      <c r="GB463"/>
      <c r="GC463"/>
      <c r="GD463"/>
      <c r="GE463"/>
      <c r="GF463"/>
      <c r="GG463"/>
      <c r="GH463"/>
      <c r="GI463"/>
      <c r="GJ463"/>
      <c r="GK463"/>
    </row>
    <row r="464" spans="1:193" x14ac:dyDescent="0.25">
      <c r="A464" s="70"/>
      <c r="B464" s="70"/>
      <c r="C464" s="70"/>
      <c r="D464" s="122"/>
      <c r="E464" s="70"/>
      <c r="F464" s="70"/>
      <c r="G464" s="70"/>
      <c r="H464" s="70"/>
      <c r="I464" s="70"/>
      <c r="J464" s="70"/>
      <c r="K464" s="70"/>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c r="DV464"/>
      <c r="DW464"/>
      <c r="DX464"/>
      <c r="DY464"/>
      <c r="DZ464"/>
      <c r="EA464"/>
      <c r="EB464"/>
      <c r="EC464"/>
      <c r="ED464"/>
      <c r="EE464"/>
      <c r="EF464"/>
      <c r="EG464"/>
      <c r="EH464"/>
      <c r="EI464"/>
      <c r="EJ464"/>
      <c r="EK464"/>
      <c r="EL464"/>
      <c r="EM464"/>
      <c r="EN464"/>
      <c r="EO464"/>
      <c r="EP464"/>
      <c r="EQ464"/>
      <c r="ER464"/>
      <c r="ES464"/>
      <c r="ET464"/>
      <c r="EU464"/>
      <c r="EV464"/>
      <c r="EW464"/>
      <c r="EX464"/>
      <c r="EY464"/>
      <c r="EZ464"/>
      <c r="FA464"/>
      <c r="FB464"/>
      <c r="FC464"/>
      <c r="FD464"/>
      <c r="FE464"/>
      <c r="FF464"/>
      <c r="FG464"/>
      <c r="FH464"/>
      <c r="FI464"/>
      <c r="FJ464"/>
      <c r="FK464"/>
      <c r="FL464"/>
      <c r="FM464"/>
      <c r="FN464"/>
      <c r="FO464"/>
      <c r="FP464"/>
      <c r="FQ464"/>
      <c r="FR464"/>
      <c r="FS464"/>
      <c r="FT464"/>
      <c r="FU464"/>
      <c r="FV464"/>
      <c r="FW464"/>
      <c r="FX464"/>
      <c r="FY464"/>
      <c r="FZ464"/>
      <c r="GA464"/>
      <c r="GB464"/>
      <c r="GC464"/>
      <c r="GD464"/>
      <c r="GE464"/>
      <c r="GF464"/>
      <c r="GG464"/>
      <c r="GH464"/>
      <c r="GI464"/>
      <c r="GJ464"/>
      <c r="GK464"/>
    </row>
    <row r="465" spans="1:193" x14ac:dyDescent="0.25">
      <c r="A465" s="70"/>
      <c r="B465" s="70"/>
      <c r="C465" s="70"/>
      <c r="D465" s="122"/>
      <c r="E465" s="70"/>
      <c r="F465" s="70"/>
      <c r="G465" s="70"/>
      <c r="H465" s="70"/>
      <c r="I465" s="70"/>
      <c r="J465" s="70"/>
      <c r="K465" s="70"/>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c r="DV465"/>
      <c r="DW465"/>
      <c r="DX465"/>
      <c r="DY465"/>
      <c r="DZ465"/>
      <c r="EA465"/>
      <c r="EB465"/>
      <c r="EC465"/>
      <c r="ED465"/>
      <c r="EE465"/>
      <c r="EF465"/>
      <c r="EG465"/>
      <c r="EH465"/>
      <c r="EI465"/>
      <c r="EJ465"/>
      <c r="EK465"/>
      <c r="EL465"/>
      <c r="EM465"/>
      <c r="EN465"/>
      <c r="EO465"/>
      <c r="EP465"/>
      <c r="EQ465"/>
      <c r="ER465"/>
      <c r="ES465"/>
      <c r="ET465"/>
      <c r="EU465"/>
      <c r="EV465"/>
      <c r="EW465"/>
      <c r="EX465"/>
      <c r="EY465"/>
      <c r="EZ465"/>
      <c r="FA465"/>
      <c r="FB465"/>
      <c r="FC465"/>
      <c r="FD465"/>
      <c r="FE465"/>
      <c r="FF465"/>
      <c r="FG465"/>
      <c r="FH465"/>
      <c r="FI465"/>
      <c r="FJ465"/>
      <c r="FK465"/>
      <c r="FL465"/>
      <c r="FM465"/>
      <c r="FN465"/>
      <c r="FO465"/>
      <c r="FP465"/>
      <c r="FQ465"/>
      <c r="FR465"/>
      <c r="FS465"/>
      <c r="FT465"/>
      <c r="FU465"/>
      <c r="FV465"/>
      <c r="FW465"/>
      <c r="FX465"/>
      <c r="FY465"/>
      <c r="FZ465"/>
      <c r="GA465"/>
      <c r="GB465"/>
      <c r="GC465"/>
      <c r="GD465"/>
      <c r="GE465"/>
      <c r="GF465"/>
      <c r="GG465"/>
      <c r="GH465"/>
      <c r="GI465"/>
      <c r="GJ465"/>
      <c r="GK465"/>
    </row>
    <row r="466" spans="1:193" x14ac:dyDescent="0.25">
      <c r="A466" s="70"/>
      <c r="B466" s="70"/>
      <c r="C466" s="70"/>
      <c r="D466" s="122"/>
      <c r="E466" s="70"/>
      <c r="F466" s="70"/>
      <c r="G466" s="70"/>
      <c r="H466" s="70"/>
      <c r="I466" s="70"/>
      <c r="J466" s="70"/>
      <c r="K466" s="70"/>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c r="DV466"/>
      <c r="DW466"/>
      <c r="DX466"/>
      <c r="DY466"/>
      <c r="DZ466"/>
      <c r="EA466"/>
      <c r="EB466"/>
      <c r="EC466"/>
      <c r="ED466"/>
      <c r="EE466"/>
      <c r="EF466"/>
      <c r="EG466"/>
      <c r="EH466"/>
      <c r="EI466"/>
      <c r="EJ466"/>
      <c r="EK466"/>
      <c r="EL466"/>
      <c r="EM466"/>
      <c r="EN466"/>
      <c r="EO466"/>
      <c r="EP466"/>
      <c r="EQ466"/>
      <c r="ER466"/>
      <c r="ES466"/>
      <c r="ET466"/>
      <c r="EU466"/>
      <c r="EV466"/>
      <c r="EW466"/>
      <c r="EX466"/>
      <c r="EY466"/>
      <c r="EZ466"/>
      <c r="FA466"/>
      <c r="FB466"/>
      <c r="FC466"/>
      <c r="FD466"/>
      <c r="FE466"/>
      <c r="FF466"/>
      <c r="FG466"/>
      <c r="FH466"/>
      <c r="FI466"/>
      <c r="FJ466"/>
      <c r="FK466"/>
      <c r="FL466"/>
      <c r="FM466"/>
      <c r="FN466"/>
      <c r="FO466"/>
      <c r="FP466"/>
      <c r="FQ466"/>
      <c r="FR466"/>
      <c r="FS466"/>
      <c r="FT466"/>
      <c r="FU466"/>
      <c r="FV466"/>
      <c r="FW466"/>
      <c r="FX466"/>
      <c r="FY466"/>
      <c r="FZ466"/>
      <c r="GA466"/>
      <c r="GB466"/>
      <c r="GC466"/>
      <c r="GD466"/>
      <c r="GE466"/>
      <c r="GF466"/>
      <c r="GG466"/>
      <c r="GH466"/>
      <c r="GI466"/>
      <c r="GJ466"/>
      <c r="GK466"/>
    </row>
    <row r="467" spans="1:193" x14ac:dyDescent="0.25">
      <c r="A467" s="70"/>
      <c r="B467" s="70"/>
      <c r="C467" s="70"/>
      <c r="D467" s="122"/>
      <c r="E467" s="70"/>
      <c r="F467" s="70"/>
      <c r="G467" s="70"/>
      <c r="H467" s="70"/>
      <c r="I467" s="70"/>
      <c r="J467" s="70"/>
      <c r="K467" s="70"/>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c r="DV467"/>
      <c r="DW467"/>
      <c r="DX467"/>
      <c r="DY467"/>
      <c r="DZ467"/>
      <c r="EA467"/>
      <c r="EB467"/>
      <c r="EC467"/>
      <c r="ED467"/>
      <c r="EE467"/>
      <c r="EF467"/>
      <c r="EG467"/>
      <c r="EH467"/>
      <c r="EI467"/>
      <c r="EJ467"/>
      <c r="EK467"/>
      <c r="EL467"/>
      <c r="EM467"/>
      <c r="EN467"/>
      <c r="EO467"/>
      <c r="EP467"/>
      <c r="EQ467"/>
      <c r="ER467"/>
      <c r="ES467"/>
      <c r="ET467"/>
      <c r="EU467"/>
      <c r="EV467"/>
      <c r="EW467"/>
      <c r="EX467"/>
      <c r="EY467"/>
      <c r="EZ467"/>
      <c r="FA467"/>
      <c r="FB467"/>
      <c r="FC467"/>
      <c r="FD467"/>
      <c r="FE467"/>
      <c r="FF467"/>
      <c r="FG467"/>
      <c r="FH467"/>
      <c r="FI467"/>
      <c r="FJ467"/>
      <c r="FK467"/>
      <c r="FL467"/>
      <c r="FM467"/>
      <c r="FN467"/>
      <c r="FO467"/>
      <c r="FP467"/>
      <c r="FQ467"/>
      <c r="FR467"/>
      <c r="FS467"/>
      <c r="FT467"/>
      <c r="FU467"/>
      <c r="FV467"/>
      <c r="FW467"/>
      <c r="FX467"/>
      <c r="FY467"/>
      <c r="FZ467"/>
      <c r="GA467"/>
      <c r="GB467"/>
      <c r="GC467"/>
      <c r="GD467"/>
      <c r="GE467"/>
      <c r="GF467"/>
      <c r="GG467"/>
      <c r="GH467"/>
      <c r="GI467"/>
      <c r="GJ467"/>
      <c r="GK467"/>
    </row>
  </sheetData>
  <sheetProtection algorithmName="SHA-512" hashValue="PjTfIAWaPn/PatWI6O/v7K4U4409QjL/VvaMTHaY9nS2D7gLtyHNHj0h5GPBmMSYy9rz9bLnwfHEcWiRJ1NhKg==" saltValue="le5Uw6Ne0QkRtK3+7ppKJA==" spinCount="100000" sheet="1" objects="1" scenarios="1"/>
  <autoFilter ref="A4:K17" xr:uid="{00000000-0009-0000-0000-000004000000}">
    <filterColumn colId="1" showButton="0"/>
    <filterColumn colId="2" showButton="0"/>
    <filterColumn colId="3" showButton="0"/>
  </autoFilter>
  <mergeCells count="146">
    <mergeCell ref="J55:K55"/>
    <mergeCell ref="J56:K56"/>
    <mergeCell ref="J57:K57"/>
    <mergeCell ref="J58:K58"/>
    <mergeCell ref="J59:K59"/>
    <mergeCell ref="J48:K48"/>
    <mergeCell ref="J49:K49"/>
    <mergeCell ref="J50:K50"/>
    <mergeCell ref="J51:K51"/>
    <mergeCell ref="J52:K52"/>
    <mergeCell ref="J53:K53"/>
    <mergeCell ref="J46:K46"/>
    <mergeCell ref="J47:K47"/>
    <mergeCell ref="J36:K36"/>
    <mergeCell ref="J37:K37"/>
    <mergeCell ref="J38:K38"/>
    <mergeCell ref="J39:K39"/>
    <mergeCell ref="J40:K40"/>
    <mergeCell ref="J41:K41"/>
    <mergeCell ref="J54:K54"/>
    <mergeCell ref="H59:I59"/>
    <mergeCell ref="J31:K31"/>
    <mergeCell ref="J32:K32"/>
    <mergeCell ref="J33:K33"/>
    <mergeCell ref="J34:K34"/>
    <mergeCell ref="J35:K35"/>
    <mergeCell ref="H49:I49"/>
    <mergeCell ref="H50:I50"/>
    <mergeCell ref="H51:I51"/>
    <mergeCell ref="H52:I52"/>
    <mergeCell ref="H53:I53"/>
    <mergeCell ref="H54:I54"/>
    <mergeCell ref="H43:I43"/>
    <mergeCell ref="H44:I44"/>
    <mergeCell ref="H45:I45"/>
    <mergeCell ref="H46:I46"/>
    <mergeCell ref="H47:I47"/>
    <mergeCell ref="H48:I48"/>
    <mergeCell ref="H37:I37"/>
    <mergeCell ref="H38:I38"/>
    <mergeCell ref="J42:K42"/>
    <mergeCell ref="J43:K43"/>
    <mergeCell ref="J44:K44"/>
    <mergeCell ref="J45:K45"/>
    <mergeCell ref="C43:G43"/>
    <mergeCell ref="C44:G44"/>
    <mergeCell ref="C45:G45"/>
    <mergeCell ref="C46:G46"/>
    <mergeCell ref="C47:G47"/>
    <mergeCell ref="C60:G60"/>
    <mergeCell ref="H60:I60"/>
    <mergeCell ref="J60:K60"/>
    <mergeCell ref="C54:G54"/>
    <mergeCell ref="C55:G55"/>
    <mergeCell ref="C56:G56"/>
    <mergeCell ref="C57:G57"/>
    <mergeCell ref="C58:G58"/>
    <mergeCell ref="C59:G59"/>
    <mergeCell ref="C48:G48"/>
    <mergeCell ref="C49:G49"/>
    <mergeCell ref="C50:G50"/>
    <mergeCell ref="C51:G51"/>
    <mergeCell ref="C52:G52"/>
    <mergeCell ref="C53:G53"/>
    <mergeCell ref="H55:I55"/>
    <mergeCell ref="H56:I56"/>
    <mergeCell ref="H57:I57"/>
    <mergeCell ref="H58:I58"/>
    <mergeCell ref="C42:G42"/>
    <mergeCell ref="H39:I39"/>
    <mergeCell ref="H40:I40"/>
    <mergeCell ref="H41:I41"/>
    <mergeCell ref="H42:I42"/>
    <mergeCell ref="H31:I31"/>
    <mergeCell ref="H32:I32"/>
    <mergeCell ref="H33:I33"/>
    <mergeCell ref="H34:I34"/>
    <mergeCell ref="H35:I35"/>
    <mergeCell ref="H36:I36"/>
    <mergeCell ref="C41:G41"/>
    <mergeCell ref="C38:G38"/>
    <mergeCell ref="C39:G39"/>
    <mergeCell ref="C40:G40"/>
    <mergeCell ref="C34:G34"/>
    <mergeCell ref="C35:G35"/>
    <mergeCell ref="C36:G36"/>
    <mergeCell ref="C37:G37"/>
    <mergeCell ref="C31:G31"/>
    <mergeCell ref="C32:G32"/>
    <mergeCell ref="C33:G33"/>
    <mergeCell ref="A48:B48"/>
    <mergeCell ref="A49:B49"/>
    <mergeCell ref="A46:B46"/>
    <mergeCell ref="A47:B47"/>
    <mergeCell ref="A44:B44"/>
    <mergeCell ref="A45:B45"/>
    <mergeCell ref="A42:B42"/>
    <mergeCell ref="A43:B43"/>
    <mergeCell ref="A40:B40"/>
    <mergeCell ref="A41:B41"/>
    <mergeCell ref="A58:B58"/>
    <mergeCell ref="A59:B59"/>
    <mergeCell ref="A56:B56"/>
    <mergeCell ref="A57:B57"/>
    <mergeCell ref="A54:B54"/>
    <mergeCell ref="A55:B55"/>
    <mergeCell ref="A52:B52"/>
    <mergeCell ref="A53:B53"/>
    <mergeCell ref="A50:B50"/>
    <mergeCell ref="A51:B51"/>
    <mergeCell ref="A16:G16"/>
    <mergeCell ref="C30:G30"/>
    <mergeCell ref="B11:E11"/>
    <mergeCell ref="B12:E12"/>
    <mergeCell ref="B13:E13"/>
    <mergeCell ref="B14:E14"/>
    <mergeCell ref="B15:E15"/>
    <mergeCell ref="A18:K18"/>
    <mergeCell ref="K20:K24"/>
    <mergeCell ref="A25:I25"/>
    <mergeCell ref="A27:K27"/>
    <mergeCell ref="H30:I30"/>
    <mergeCell ref="J30:K30"/>
    <mergeCell ref="C28:G29"/>
    <mergeCell ref="H28:I29"/>
    <mergeCell ref="J28:K29"/>
    <mergeCell ref="A28:B29"/>
    <mergeCell ref="B8:E8"/>
    <mergeCell ref="B9:E9"/>
    <mergeCell ref="B10:E10"/>
    <mergeCell ref="C1:H1"/>
    <mergeCell ref="A3:K3"/>
    <mergeCell ref="B4:E4"/>
    <mergeCell ref="B5:E5"/>
    <mergeCell ref="B6:E6"/>
    <mergeCell ref="B7:E7"/>
    <mergeCell ref="A38:B38"/>
    <mergeCell ref="A39:B39"/>
    <mergeCell ref="A36:B36"/>
    <mergeCell ref="A37:B37"/>
    <mergeCell ref="A34:B34"/>
    <mergeCell ref="A35:B35"/>
    <mergeCell ref="A32:B32"/>
    <mergeCell ref="A33:B33"/>
    <mergeCell ref="A30:B30"/>
    <mergeCell ref="A31:B31"/>
  </mergeCells>
  <dataValidations count="1">
    <dataValidation type="decimal" operator="greaterThanOrEqual" allowBlank="1" showInputMessage="1" showErrorMessage="1" sqref="J23" xr:uid="{00000000-0002-0000-0400-000000000000}">
      <formula1>0</formula1>
    </dataValidation>
  </dataValidations>
  <printOptions horizontalCentered="1"/>
  <pageMargins left="0.39370078740157483" right="0.15748031496062992" top="0.59055118110236227" bottom="0.6692913385826772" header="0.19685039370078741" footer="0.35433070866141736"/>
  <pageSetup paperSize="9" scale="69" orientation="portrait" r:id="rId1"/>
  <headerFooter>
    <oddHeader>&amp;C&amp;"-,Negrito"PLANILHA DE COMPOSIÇÃO DE CUSTOS 
CUSTO RESUMIDO POR LOCALIDADE</oddHeader>
    <oddFooter>&amp;C&amp;P</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1000000}">
          <x14:formula1>
            <xm:f>'Indicadores Financeiros'!$B$114:$B$119</xm:f>
          </x14:formula1>
          <xm:sqref>C1:H1</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50"/>
  </sheetPr>
  <dimension ref="A1:BY190"/>
  <sheetViews>
    <sheetView showGridLines="0" zoomScaleNormal="100" workbookViewId="0">
      <selection activeCell="C5" sqref="C5:H5"/>
    </sheetView>
  </sheetViews>
  <sheetFormatPr defaultColWidth="9.140625" defaultRowHeight="15" x14ac:dyDescent="0.25"/>
  <cols>
    <col min="1" max="1" width="10.140625" customWidth="1"/>
    <col min="2" max="2" width="18" customWidth="1"/>
    <col min="3" max="3" width="19.140625" customWidth="1"/>
    <col min="4" max="4" width="20.85546875" customWidth="1"/>
    <col min="5" max="5" width="10.140625" customWidth="1"/>
    <col min="6" max="6" width="11.28515625" customWidth="1"/>
    <col min="7" max="7" width="7" bestFit="1" customWidth="1"/>
    <col min="8" max="8" width="11.42578125" customWidth="1"/>
    <col min="9" max="9" width="12.140625" style="137" bestFit="1" customWidth="1"/>
    <col min="10" max="10" width="22.85546875" style="137" customWidth="1"/>
    <col min="11" max="11" width="9.5703125" style="137" bestFit="1" customWidth="1"/>
    <col min="12" max="14" width="9.140625" style="137"/>
    <col min="15" max="15" width="9.140625" style="139"/>
    <col min="16" max="16" width="9.140625" style="138"/>
    <col min="17" max="16384" width="9.140625" style="137"/>
  </cols>
  <sheetData>
    <row r="1" spans="1:15" x14ac:dyDescent="0.25">
      <c r="A1" s="507" t="s">
        <v>24</v>
      </c>
      <c r="B1" s="507"/>
      <c r="C1" s="507"/>
      <c r="D1" s="507"/>
      <c r="E1" s="507"/>
      <c r="F1" s="507"/>
      <c r="G1" s="507"/>
      <c r="H1" s="507"/>
      <c r="O1" s="139">
        <v>690001</v>
      </c>
    </row>
    <row r="2" spans="1:15" x14ac:dyDescent="0.25">
      <c r="A2" s="515" t="s">
        <v>6</v>
      </c>
      <c r="B2" s="515"/>
      <c r="C2" s="449" t="str">
        <f>'Indicadores Financeiros'!$F$2</f>
        <v/>
      </c>
      <c r="D2" s="449"/>
      <c r="E2" s="449"/>
      <c r="F2" s="449"/>
      <c r="G2" s="449"/>
      <c r="H2" s="449"/>
      <c r="O2" s="139">
        <v>690002</v>
      </c>
    </row>
    <row r="3" spans="1:15" x14ac:dyDescent="0.25">
      <c r="A3" s="515" t="s">
        <v>7</v>
      </c>
      <c r="B3" s="515"/>
      <c r="C3" s="449" t="str">
        <f>'Indicadores Financeiros'!$F$3</f>
        <v/>
      </c>
      <c r="D3" s="449"/>
      <c r="E3" s="449"/>
      <c r="F3" s="449"/>
      <c r="G3" s="449"/>
      <c r="H3" s="449"/>
      <c r="O3" s="139">
        <v>690003</v>
      </c>
    </row>
    <row r="4" spans="1:15" x14ac:dyDescent="0.25">
      <c r="A4" s="515" t="s">
        <v>31</v>
      </c>
      <c r="B4" s="515"/>
      <c r="C4" s="470" t="str">
        <f>'Indicadores Financeiros'!$F$7</f>
        <v>Incidência cumulativa de PIS e de COFINS</v>
      </c>
      <c r="D4" s="471"/>
      <c r="E4" s="471"/>
      <c r="F4" s="471"/>
      <c r="G4" s="471"/>
      <c r="H4" s="472"/>
      <c r="O4" s="139">
        <v>690004</v>
      </c>
    </row>
    <row r="5" spans="1:15" x14ac:dyDescent="0.25">
      <c r="A5" s="515" t="s">
        <v>33</v>
      </c>
      <c r="B5" s="515"/>
      <c r="C5" s="504">
        <f>'Indicadores Financeiros'!$F$9</f>
        <v>0</v>
      </c>
      <c r="D5" s="505"/>
      <c r="E5" s="505"/>
      <c r="F5" s="505"/>
      <c r="G5" s="505"/>
      <c r="H5" s="506"/>
      <c r="O5" s="139">
        <v>690005</v>
      </c>
    </row>
    <row r="6" spans="1:15" x14ac:dyDescent="0.25">
      <c r="A6" s="515" t="s">
        <v>34</v>
      </c>
      <c r="B6" s="515"/>
      <c r="C6" s="504">
        <f>'Indicadores Financeiros'!$F$10</f>
        <v>0</v>
      </c>
      <c r="D6" s="505"/>
      <c r="E6" s="505"/>
      <c r="F6" s="505"/>
      <c r="G6" s="505"/>
      <c r="H6" s="506"/>
      <c r="O6" s="139">
        <v>690006</v>
      </c>
    </row>
    <row r="7" spans="1:15" x14ac:dyDescent="0.25">
      <c r="A7" s="515" t="s">
        <v>32</v>
      </c>
      <c r="B7" s="515"/>
      <c r="C7" s="504">
        <f>'Indicadores Financeiros'!$F$8</f>
        <v>0</v>
      </c>
      <c r="D7" s="505"/>
      <c r="E7" s="505"/>
      <c r="F7" s="505"/>
      <c r="G7" s="505"/>
      <c r="H7" s="506"/>
      <c r="O7" s="139">
        <v>690007</v>
      </c>
    </row>
    <row r="8" spans="1:15" x14ac:dyDescent="0.25">
      <c r="A8" s="497" t="s">
        <v>128</v>
      </c>
      <c r="B8" s="498"/>
      <c r="C8" s="499" t="s">
        <v>133</v>
      </c>
      <c r="D8" s="500"/>
      <c r="E8" s="171" t="s">
        <v>129</v>
      </c>
      <c r="F8" s="501">
        <f>VLOOKUP($C$8,'Indicadores Financeiros'!$B$114:$J$119,6,FALSE)</f>
        <v>0.05</v>
      </c>
      <c r="G8" s="502"/>
      <c r="H8" s="503"/>
      <c r="I8" s="142"/>
      <c r="J8" s="170"/>
      <c r="K8" s="162"/>
      <c r="O8" s="139">
        <v>690008</v>
      </c>
    </row>
    <row r="9" spans="1:15" x14ac:dyDescent="0.25">
      <c r="A9" s="497" t="str">
        <f>IF(OR($A$14=690004,$A$14=690025,$A$14=690030,$A$14=690031,$A$14=690033),"Nº de dias estimado p/ mês plantão","Nº de dias úteis estimado por mês")</f>
        <v>Nº de dias úteis estimado por mês</v>
      </c>
      <c r="B9" s="498"/>
      <c r="C9" s="516">
        <f>'Indicadores Financeiros'!$H$75</f>
        <v>20.75</v>
      </c>
      <c r="D9" s="517"/>
      <c r="E9" s="517"/>
      <c r="F9" s="517"/>
      <c r="G9" s="517"/>
      <c r="H9" s="518"/>
      <c r="I9" s="142"/>
      <c r="K9" s="162"/>
      <c r="O9" s="139">
        <v>690009</v>
      </c>
    </row>
    <row r="10" spans="1:15" x14ac:dyDescent="0.25">
      <c r="A10" s="497" t="s">
        <v>155</v>
      </c>
      <c r="B10" s="498"/>
      <c r="C10" s="504">
        <f>VLOOKUP($C$8,'Indicadores Financeiros'!$B$114:$J$119,7,FALSE)</f>
        <v>5.2600000000000001E-2</v>
      </c>
      <c r="D10" s="505"/>
      <c r="E10" s="505"/>
      <c r="F10" s="505"/>
      <c r="G10" s="505"/>
      <c r="H10" s="506"/>
      <c r="I10" s="142"/>
      <c r="K10" s="162"/>
      <c r="O10" s="139">
        <v>690010</v>
      </c>
    </row>
    <row r="11" spans="1:15" ht="9" customHeight="1" x14ac:dyDescent="0.25">
      <c r="A11" s="450"/>
      <c r="B11" s="450"/>
      <c r="C11" s="450"/>
      <c r="D11" s="450"/>
      <c r="E11" s="450"/>
      <c r="F11" s="450"/>
      <c r="G11" s="450"/>
      <c r="H11" s="450"/>
      <c r="O11" s="139">
        <v>690011</v>
      </c>
    </row>
    <row r="12" spans="1:15" x14ac:dyDescent="0.25">
      <c r="A12" s="507" t="s">
        <v>193</v>
      </c>
      <c r="B12" s="507"/>
      <c r="C12" s="507"/>
      <c r="D12" s="507"/>
      <c r="E12" s="507"/>
      <c r="F12" s="507"/>
      <c r="G12" s="507"/>
      <c r="H12" s="507"/>
      <c r="I12" s="142"/>
      <c r="K12" s="143"/>
      <c r="O12" s="139">
        <v>690012</v>
      </c>
    </row>
    <row r="13" spans="1:15" x14ac:dyDescent="0.25">
      <c r="A13" s="169" t="s">
        <v>141</v>
      </c>
      <c r="B13" s="511" t="s">
        <v>142</v>
      </c>
      <c r="C13" s="511"/>
      <c r="D13" s="511"/>
      <c r="E13" s="511"/>
      <c r="F13" s="169" t="s">
        <v>145</v>
      </c>
      <c r="G13" s="169" t="s">
        <v>143</v>
      </c>
      <c r="H13" s="169" t="s">
        <v>194</v>
      </c>
      <c r="I13" s="142"/>
      <c r="O13" s="139">
        <v>690013</v>
      </c>
    </row>
    <row r="14" spans="1:15" ht="36" customHeight="1" x14ac:dyDescent="0.25">
      <c r="A14" s="168">
        <v>551188</v>
      </c>
      <c r="B14" s="512" t="str">
        <f>IFERROR(VLOOKUP(A14,'Tabela de Códigos e Valores'!A:B,2,FALSE),"")</f>
        <v>Supervisor geral especializado em refrigeração, controle e administração</v>
      </c>
      <c r="C14" s="513"/>
      <c r="D14" s="513"/>
      <c r="E14" s="514"/>
      <c r="F14" s="167" t="str">
        <f>IFERROR(VLOOKUP($A$14,'Relatório Custo'!$C:$Z,5,FALSE),"")</f>
        <v>Mensal</v>
      </c>
      <c r="G14" s="167" t="str">
        <f>IFERROR(VLOOKUP($A$14,'Relatório Custo'!$C:$Z,3,FALSE),"")</f>
        <v>Posto</v>
      </c>
      <c r="H14" s="166">
        <f>SUMIFS('Relatório Custo'!$J$3:$J$399,'Relatório Custo'!$C$3:$C$399,$A$14,'Relatório Custo'!$B$3:$B$399,$C$8)</f>
        <v>1</v>
      </c>
      <c r="I14" s="142"/>
      <c r="J14" s="165">
        <f>SUMIFS('Relatório Custo'!R:R,'Relatório Custo'!B:B,'Custo por Função'!$C$8,'Relatório Custo'!C:C,'Custo por Função'!$A$14)-H102</f>
        <v>0</v>
      </c>
      <c r="K14" s="164"/>
      <c r="L14" s="143"/>
      <c r="O14" s="139">
        <v>690014</v>
      </c>
    </row>
    <row r="15" spans="1:15" ht="9" customHeight="1" x14ac:dyDescent="0.25">
      <c r="A15" s="450"/>
      <c r="B15" s="450"/>
      <c r="C15" s="450"/>
      <c r="D15" s="450"/>
      <c r="E15" s="450"/>
      <c r="F15" s="450"/>
      <c r="G15" s="450"/>
      <c r="H15" s="450"/>
      <c r="O15" s="139">
        <v>690015</v>
      </c>
    </row>
    <row r="16" spans="1:15" ht="15" customHeight="1" x14ac:dyDescent="0.25">
      <c r="A16" s="508" t="s">
        <v>195</v>
      </c>
      <c r="B16" s="509"/>
      <c r="C16" s="509"/>
      <c r="D16" s="509"/>
      <c r="E16" s="509"/>
      <c r="F16" s="509"/>
      <c r="G16" s="509"/>
      <c r="H16" s="510"/>
      <c r="I16" s="142"/>
      <c r="J16" s="147"/>
      <c r="K16" s="147"/>
      <c r="O16" s="139">
        <v>690016</v>
      </c>
    </row>
    <row r="17" spans="1:15" x14ac:dyDescent="0.25">
      <c r="A17" s="451" t="s">
        <v>196</v>
      </c>
      <c r="B17" s="451"/>
      <c r="C17" s="451"/>
      <c r="D17" s="451"/>
      <c r="E17" s="451"/>
      <c r="F17" s="451"/>
      <c r="G17" s="451"/>
      <c r="H17" s="163" t="s">
        <v>197</v>
      </c>
      <c r="I17" s="191"/>
      <c r="L17" s="193"/>
      <c r="M17" s="138"/>
      <c r="O17" s="139">
        <v>690017</v>
      </c>
    </row>
    <row r="18" spans="1:15" x14ac:dyDescent="0.25">
      <c r="A18" s="470" t="s">
        <v>198</v>
      </c>
      <c r="B18" s="471"/>
      <c r="C18" s="471"/>
      <c r="D18" s="471"/>
      <c r="E18" s="471"/>
      <c r="F18" s="471"/>
      <c r="G18" s="472"/>
      <c r="H18" s="149">
        <f>VLOOKUP($A14,'Tabela de Códigos e Valores'!$A:$I,9,FALSE)</f>
        <v>0</v>
      </c>
      <c r="I18" s="191"/>
      <c r="L18" s="193"/>
      <c r="M18" s="138"/>
      <c r="O18" s="139">
        <v>690018</v>
      </c>
    </row>
    <row r="19" spans="1:15" ht="15" customHeight="1" x14ac:dyDescent="0.25">
      <c r="A19" s="470" t="s">
        <v>199</v>
      </c>
      <c r="B19" s="471"/>
      <c r="C19" s="471"/>
      <c r="D19" s="471"/>
      <c r="E19" s="471"/>
      <c r="F19" s="471"/>
      <c r="G19" s="472"/>
      <c r="H19" s="149">
        <f>VLOOKUP($A14,'Tabela de Códigos e Valores'!$A:$J,10,FALSE)</f>
        <v>0</v>
      </c>
      <c r="I19" s="191"/>
      <c r="L19" s="193"/>
      <c r="M19" s="138"/>
      <c r="O19" s="139">
        <v>690019</v>
      </c>
    </row>
    <row r="20" spans="1:15" ht="15" customHeight="1" x14ac:dyDescent="0.25">
      <c r="A20" s="470" t="s">
        <v>200</v>
      </c>
      <c r="B20" s="471"/>
      <c r="C20" s="471"/>
      <c r="D20" s="471"/>
      <c r="E20" s="471"/>
      <c r="F20" s="471"/>
      <c r="G20" s="472"/>
      <c r="H20" s="149">
        <f>VLOOKUP(A14,'Tabela de Códigos e Valores'!A5:L15,11,FALSE)</f>
        <v>0</v>
      </c>
      <c r="I20" s="191"/>
      <c r="L20" s="193"/>
      <c r="M20" s="138"/>
    </row>
    <row r="21" spans="1:15" x14ac:dyDescent="0.25">
      <c r="A21" s="452" t="s">
        <v>201</v>
      </c>
      <c r="B21" s="453"/>
      <c r="C21" s="453"/>
      <c r="D21" s="453"/>
      <c r="E21" s="453"/>
      <c r="F21" s="453"/>
      <c r="G21" s="454"/>
      <c r="H21" s="151">
        <f>IF(G14="posto",ROUND(SUM(H18:H19),2),ROUND(SUM(H18:H20),2))</f>
        <v>0</v>
      </c>
      <c r="I21" s="191"/>
      <c r="L21" s="193"/>
      <c r="M21" s="138"/>
      <c r="O21" s="139">
        <v>690020</v>
      </c>
    </row>
    <row r="22" spans="1:15" ht="9" customHeight="1" x14ac:dyDescent="0.25">
      <c r="A22" s="450"/>
      <c r="B22" s="450"/>
      <c r="C22" s="450"/>
      <c r="D22" s="450"/>
      <c r="E22" s="450"/>
      <c r="F22" s="450"/>
      <c r="G22" s="450"/>
      <c r="H22" s="450"/>
      <c r="I22" s="192"/>
      <c r="L22" s="193"/>
      <c r="O22" s="139">
        <v>690021</v>
      </c>
    </row>
    <row r="23" spans="1:15" ht="15" customHeight="1" x14ac:dyDescent="0.25">
      <c r="A23" s="416" t="s">
        <v>202</v>
      </c>
      <c r="B23" s="417"/>
      <c r="C23" s="417"/>
      <c r="D23" s="417"/>
      <c r="E23" s="417"/>
      <c r="F23" s="417"/>
      <c r="G23" s="417"/>
      <c r="H23" s="418"/>
      <c r="I23" s="191"/>
      <c r="L23" s="193"/>
      <c r="O23" s="139">
        <v>690022</v>
      </c>
    </row>
    <row r="24" spans="1:15" x14ac:dyDescent="0.25">
      <c r="A24" s="451" t="s">
        <v>203</v>
      </c>
      <c r="B24" s="451"/>
      <c r="C24" s="451"/>
      <c r="D24" s="451"/>
      <c r="E24" s="451"/>
      <c r="F24" s="451"/>
      <c r="G24" s="451"/>
      <c r="H24" s="451"/>
      <c r="I24" s="142"/>
      <c r="L24" s="138"/>
      <c r="O24" s="139">
        <v>690023</v>
      </c>
    </row>
    <row r="25" spans="1:15" x14ac:dyDescent="0.25">
      <c r="A25" s="111">
        <v>1</v>
      </c>
      <c r="B25" s="479" t="s">
        <v>42</v>
      </c>
      <c r="C25" s="480"/>
      <c r="D25" s="480"/>
      <c r="E25" s="481"/>
      <c r="F25" s="482">
        <f>'Indicadores Financeiros'!$J$17</f>
        <v>0.2</v>
      </c>
      <c r="G25" s="483"/>
      <c r="H25" s="526"/>
      <c r="I25" s="142"/>
      <c r="L25" s="138"/>
      <c r="O25" s="139">
        <v>690024</v>
      </c>
    </row>
    <row r="26" spans="1:15" x14ac:dyDescent="0.25">
      <c r="A26" s="111">
        <v>2</v>
      </c>
      <c r="B26" s="479" t="s">
        <v>43</v>
      </c>
      <c r="C26" s="480"/>
      <c r="D26" s="480"/>
      <c r="E26" s="481"/>
      <c r="F26" s="482">
        <f>'Indicadores Financeiros'!$J$18</f>
        <v>1.4999999999999999E-2</v>
      </c>
      <c r="G26" s="483"/>
      <c r="H26" s="527"/>
      <c r="I26" s="142"/>
      <c r="J26" s="162"/>
      <c r="L26" s="138"/>
      <c r="O26" s="139">
        <v>690025</v>
      </c>
    </row>
    <row r="27" spans="1:15" x14ac:dyDescent="0.25">
      <c r="A27" s="111">
        <v>3</v>
      </c>
      <c r="B27" s="479" t="s">
        <v>44</v>
      </c>
      <c r="C27" s="480"/>
      <c r="D27" s="480"/>
      <c r="E27" s="481"/>
      <c r="F27" s="482">
        <f>'Indicadores Financeiros'!$J$19</f>
        <v>0.01</v>
      </c>
      <c r="G27" s="483"/>
      <c r="H27" s="527"/>
      <c r="I27" s="142"/>
      <c r="J27" s="162"/>
      <c r="L27" s="138"/>
      <c r="O27" s="139">
        <v>690026</v>
      </c>
    </row>
    <row r="28" spans="1:15" x14ac:dyDescent="0.25">
      <c r="A28" s="111">
        <v>4</v>
      </c>
      <c r="B28" s="479" t="s">
        <v>45</v>
      </c>
      <c r="C28" s="480"/>
      <c r="D28" s="480"/>
      <c r="E28" s="481"/>
      <c r="F28" s="482">
        <f>'Indicadores Financeiros'!$J$20</f>
        <v>2E-3</v>
      </c>
      <c r="G28" s="483"/>
      <c r="H28" s="527"/>
      <c r="I28" s="142"/>
      <c r="J28" s="162"/>
      <c r="L28" s="138"/>
      <c r="O28" s="139">
        <v>690028</v>
      </c>
    </row>
    <row r="29" spans="1:15" x14ac:dyDescent="0.25">
      <c r="A29" s="111">
        <v>5</v>
      </c>
      <c r="B29" s="479" t="s">
        <v>46</v>
      </c>
      <c r="C29" s="480"/>
      <c r="D29" s="480"/>
      <c r="E29" s="481"/>
      <c r="F29" s="482">
        <f>'Indicadores Financeiros'!$J$21</f>
        <v>2.5000000000000001E-2</v>
      </c>
      <c r="G29" s="483"/>
      <c r="H29" s="527"/>
      <c r="I29" s="142"/>
      <c r="J29" s="162"/>
      <c r="L29" s="138"/>
      <c r="O29" s="139">
        <v>690029</v>
      </c>
    </row>
    <row r="30" spans="1:15" x14ac:dyDescent="0.25">
      <c r="A30" s="111">
        <v>6</v>
      </c>
      <c r="B30" s="479" t="s">
        <v>47</v>
      </c>
      <c r="C30" s="480"/>
      <c r="D30" s="480"/>
      <c r="E30" s="481"/>
      <c r="F30" s="482">
        <f>'Indicadores Financeiros'!$J$22</f>
        <v>0.08</v>
      </c>
      <c r="G30" s="483"/>
      <c r="H30" s="527"/>
      <c r="I30" s="142"/>
      <c r="J30" s="162"/>
      <c r="O30" s="139">
        <v>690030</v>
      </c>
    </row>
    <row r="31" spans="1:15" x14ac:dyDescent="0.25">
      <c r="A31" s="111">
        <v>7</v>
      </c>
      <c r="B31" s="479" t="s">
        <v>48</v>
      </c>
      <c r="C31" s="480"/>
      <c r="D31" s="480"/>
      <c r="E31" s="481"/>
      <c r="F31" s="482" t="str">
        <f>'Indicadores Financeiros'!$J$23</f>
        <v>Informar SAT</v>
      </c>
      <c r="G31" s="483"/>
      <c r="H31" s="527"/>
      <c r="I31" s="142"/>
      <c r="J31" s="162"/>
      <c r="O31" s="139">
        <v>690031</v>
      </c>
    </row>
    <row r="32" spans="1:15" x14ac:dyDescent="0.25">
      <c r="A32" s="161">
        <v>8</v>
      </c>
      <c r="B32" s="479" t="s">
        <v>49</v>
      </c>
      <c r="C32" s="480"/>
      <c r="D32" s="480"/>
      <c r="E32" s="481"/>
      <c r="F32" s="482">
        <f>'Indicadores Financeiros'!$J$24</f>
        <v>6.0000000000000001E-3</v>
      </c>
      <c r="G32" s="483"/>
      <c r="H32" s="527"/>
      <c r="I32" s="142"/>
      <c r="J32" s="162"/>
      <c r="O32" s="139">
        <v>690032</v>
      </c>
    </row>
    <row r="33" spans="1:15" x14ac:dyDescent="0.25">
      <c r="A33" s="452" t="s">
        <v>55</v>
      </c>
      <c r="B33" s="453"/>
      <c r="C33" s="453"/>
      <c r="D33" s="453"/>
      <c r="E33" s="454"/>
      <c r="F33" s="489">
        <f>SUM(F25:G32)</f>
        <v>0.33800000000000008</v>
      </c>
      <c r="G33" s="490"/>
      <c r="H33" s="151"/>
      <c r="I33" s="142"/>
      <c r="J33" s="143"/>
      <c r="O33" s="139">
        <v>690033</v>
      </c>
    </row>
    <row r="34" spans="1:15" ht="9" customHeight="1" x14ac:dyDescent="0.25">
      <c r="A34" s="450"/>
      <c r="B34" s="450"/>
      <c r="C34" s="450"/>
      <c r="D34" s="450"/>
      <c r="E34" s="450"/>
      <c r="F34" s="450"/>
      <c r="G34" s="450"/>
      <c r="H34" s="450"/>
      <c r="O34" s="139">
        <v>690034</v>
      </c>
    </row>
    <row r="35" spans="1:15" x14ac:dyDescent="0.25">
      <c r="A35" s="451" t="s">
        <v>204</v>
      </c>
      <c r="B35" s="451"/>
      <c r="C35" s="451"/>
      <c r="D35" s="451"/>
      <c r="E35" s="451"/>
      <c r="F35" s="451"/>
      <c r="G35" s="451"/>
      <c r="H35" s="451"/>
      <c r="I35" s="142"/>
      <c r="O35" s="139">
        <v>690035</v>
      </c>
    </row>
    <row r="36" spans="1:15" x14ac:dyDescent="0.25">
      <c r="A36" s="111">
        <v>1</v>
      </c>
      <c r="B36" s="479" t="s">
        <v>52</v>
      </c>
      <c r="C36" s="480"/>
      <c r="D36" s="480"/>
      <c r="E36" s="481"/>
      <c r="F36" s="491">
        <f>'Indicadores Financeiros'!$J$28</f>
        <v>8.9300000000000004E-2</v>
      </c>
      <c r="G36" s="492"/>
      <c r="H36" s="493"/>
      <c r="I36" s="142"/>
      <c r="J36" s="143"/>
      <c r="O36" s="139">
        <v>690036</v>
      </c>
    </row>
    <row r="37" spans="1:15" x14ac:dyDescent="0.25">
      <c r="A37" s="111">
        <v>2</v>
      </c>
      <c r="B37" s="479" t="s">
        <v>53</v>
      </c>
      <c r="C37" s="480"/>
      <c r="D37" s="480"/>
      <c r="E37" s="481"/>
      <c r="F37" s="491">
        <f>'Indicadores Financeiros'!$J$29</f>
        <v>2.98E-2</v>
      </c>
      <c r="G37" s="492"/>
      <c r="H37" s="493"/>
      <c r="I37" s="142"/>
      <c r="J37" s="143"/>
      <c r="O37" s="139">
        <v>690037</v>
      </c>
    </row>
    <row r="38" spans="1:15" x14ac:dyDescent="0.25">
      <c r="A38" s="161">
        <v>3</v>
      </c>
      <c r="B38" s="479" t="s">
        <v>54</v>
      </c>
      <c r="C38" s="480"/>
      <c r="D38" s="480"/>
      <c r="E38" s="481"/>
      <c r="F38" s="491">
        <f>'Indicadores Financeiros'!$J$30</f>
        <v>4.0300000000000002E-2</v>
      </c>
      <c r="G38" s="492"/>
      <c r="H38" s="493"/>
      <c r="I38" s="142"/>
      <c r="J38" s="143"/>
      <c r="O38" s="139">
        <v>690038</v>
      </c>
    </row>
    <row r="39" spans="1:15" x14ac:dyDescent="0.25">
      <c r="A39" s="452" t="s">
        <v>58</v>
      </c>
      <c r="B39" s="453"/>
      <c r="C39" s="453"/>
      <c r="D39" s="453"/>
      <c r="E39" s="454"/>
      <c r="F39" s="519">
        <f>SUM(F36:G38)</f>
        <v>0.15940000000000001</v>
      </c>
      <c r="G39" s="520"/>
      <c r="H39" s="151"/>
      <c r="I39" s="142"/>
      <c r="J39" s="143"/>
      <c r="O39" s="139">
        <v>690039</v>
      </c>
    </row>
    <row r="40" spans="1:15" ht="9" customHeight="1" x14ac:dyDescent="0.25">
      <c r="A40" s="108"/>
      <c r="B40" s="108"/>
      <c r="C40" s="108"/>
      <c r="D40" s="108"/>
      <c r="E40" s="108"/>
      <c r="F40" s="108"/>
      <c r="G40" s="108"/>
      <c r="H40" s="108"/>
      <c r="O40" s="139">
        <v>690040</v>
      </c>
    </row>
    <row r="41" spans="1:15" x14ac:dyDescent="0.25">
      <c r="A41" s="451" t="s">
        <v>205</v>
      </c>
      <c r="B41" s="451"/>
      <c r="C41" s="451"/>
      <c r="D41" s="451"/>
      <c r="E41" s="451"/>
      <c r="F41" s="451"/>
      <c r="G41" s="451"/>
      <c r="H41" s="451"/>
      <c r="I41" s="142"/>
      <c r="O41" s="139">
        <v>690041</v>
      </c>
    </row>
    <row r="42" spans="1:15" x14ac:dyDescent="0.25">
      <c r="A42" s="111">
        <v>1</v>
      </c>
      <c r="B42" s="479" t="s">
        <v>206</v>
      </c>
      <c r="C42" s="480"/>
      <c r="D42" s="480"/>
      <c r="E42" s="481"/>
      <c r="F42" s="491">
        <f>'Indicadores Financeiros'!$J$34</f>
        <v>2.298103353994252E-3</v>
      </c>
      <c r="G42" s="492"/>
      <c r="H42" s="493"/>
      <c r="I42" s="142"/>
      <c r="J42" s="143"/>
      <c r="O42" s="139">
        <v>690042</v>
      </c>
    </row>
    <row r="43" spans="1:15" x14ac:dyDescent="0.25">
      <c r="A43" s="161">
        <v>2</v>
      </c>
      <c r="B43" s="479" t="s">
        <v>54</v>
      </c>
      <c r="C43" s="480"/>
      <c r="D43" s="480"/>
      <c r="E43" s="481"/>
      <c r="F43" s="491">
        <f>'Indicadores Financeiros'!$J$35</f>
        <v>2.0000000000000001E-4</v>
      </c>
      <c r="G43" s="492"/>
      <c r="H43" s="493"/>
      <c r="I43" s="142"/>
      <c r="J43" s="143"/>
      <c r="O43" s="139">
        <v>690043</v>
      </c>
    </row>
    <row r="44" spans="1:15" x14ac:dyDescent="0.25">
      <c r="A44" s="452" t="s">
        <v>68</v>
      </c>
      <c r="B44" s="453"/>
      <c r="C44" s="453"/>
      <c r="D44" s="453"/>
      <c r="E44" s="454"/>
      <c r="F44" s="519">
        <f>F43</f>
        <v>2.0000000000000001E-4</v>
      </c>
      <c r="G44" s="520"/>
      <c r="H44" s="151"/>
      <c r="I44" s="142"/>
      <c r="J44" s="143"/>
      <c r="O44" s="139">
        <v>690044</v>
      </c>
    </row>
    <row r="45" spans="1:15" ht="6" customHeight="1" x14ac:dyDescent="0.25">
      <c r="A45" s="108"/>
      <c r="B45" s="108"/>
      <c r="C45" s="108"/>
      <c r="D45" s="108"/>
      <c r="E45" s="108"/>
      <c r="F45" s="108"/>
      <c r="G45" s="108"/>
      <c r="H45" s="108"/>
      <c r="O45" s="139">
        <v>690045</v>
      </c>
    </row>
    <row r="46" spans="1:15" x14ac:dyDescent="0.25">
      <c r="A46" s="451" t="s">
        <v>207</v>
      </c>
      <c r="B46" s="451"/>
      <c r="C46" s="451"/>
      <c r="D46" s="451"/>
      <c r="E46" s="451"/>
      <c r="F46" s="451"/>
      <c r="G46" s="451"/>
      <c r="H46" s="451"/>
      <c r="I46" s="142"/>
      <c r="O46" s="139">
        <v>690046</v>
      </c>
    </row>
    <row r="47" spans="1:15" x14ac:dyDescent="0.25">
      <c r="A47" s="111">
        <v>1</v>
      </c>
      <c r="B47" s="479" t="s">
        <v>60</v>
      </c>
      <c r="C47" s="480"/>
      <c r="D47" s="480"/>
      <c r="E47" s="481"/>
      <c r="F47" s="491">
        <f>'Indicadores Financeiros'!$J$39</f>
        <v>6.3600000000000004E-2</v>
      </c>
      <c r="G47" s="492"/>
      <c r="H47" s="526"/>
      <c r="I47" s="142"/>
      <c r="J47" s="143"/>
      <c r="O47" s="139">
        <v>690047</v>
      </c>
    </row>
    <row r="48" spans="1:15" x14ac:dyDescent="0.25">
      <c r="A48" s="111">
        <v>2</v>
      </c>
      <c r="B48" s="479" t="s">
        <v>61</v>
      </c>
      <c r="C48" s="480"/>
      <c r="D48" s="480"/>
      <c r="E48" s="481"/>
      <c r="F48" s="491">
        <f>'Indicadores Financeiros'!$J$40</f>
        <v>5.1000000000000004E-3</v>
      </c>
      <c r="G48" s="492"/>
      <c r="H48" s="527"/>
      <c r="I48" s="142"/>
      <c r="J48" s="143"/>
      <c r="O48" s="139">
        <v>690048</v>
      </c>
    </row>
    <row r="49" spans="1:77" x14ac:dyDescent="0.25">
      <c r="A49" s="111">
        <v>3</v>
      </c>
      <c r="B49" s="479" t="s">
        <v>62</v>
      </c>
      <c r="C49" s="480"/>
      <c r="D49" s="480"/>
      <c r="E49" s="481"/>
      <c r="F49" s="491">
        <f>'Indicadores Financeiros'!$J$41</f>
        <v>2E-3</v>
      </c>
      <c r="G49" s="492"/>
      <c r="H49" s="527"/>
      <c r="I49" s="142"/>
      <c r="J49" s="143"/>
    </row>
    <row r="50" spans="1:77" x14ac:dyDescent="0.25">
      <c r="A50" s="111">
        <v>4</v>
      </c>
      <c r="B50" s="479" t="s">
        <v>63</v>
      </c>
      <c r="C50" s="480"/>
      <c r="D50" s="480"/>
      <c r="E50" s="481"/>
      <c r="F50" s="491">
        <f>'Indicadores Financeiros'!$J$42</f>
        <v>2.0000000000000001E-4</v>
      </c>
      <c r="G50" s="492"/>
      <c r="H50" s="527"/>
      <c r="I50" s="142"/>
      <c r="J50" s="143"/>
    </row>
    <row r="51" spans="1:77" x14ac:dyDescent="0.25">
      <c r="A51" s="111">
        <v>5</v>
      </c>
      <c r="B51" s="479" t="s">
        <v>64</v>
      </c>
      <c r="C51" s="480"/>
      <c r="D51" s="480"/>
      <c r="E51" s="481"/>
      <c r="F51" s="491">
        <f>'Indicadores Financeiros'!$J$43</f>
        <v>1E-4</v>
      </c>
      <c r="G51" s="492"/>
      <c r="H51" s="527"/>
      <c r="I51" s="142"/>
      <c r="J51" s="143"/>
    </row>
    <row r="52" spans="1:77" x14ac:dyDescent="0.25">
      <c r="A52" s="111">
        <v>6</v>
      </c>
      <c r="B52" s="479" t="s">
        <v>65</v>
      </c>
      <c r="C52" s="480"/>
      <c r="D52" s="480"/>
      <c r="E52" s="481"/>
      <c r="F52" s="491">
        <f>'Indicadores Financeiros'!$J$44</f>
        <v>0</v>
      </c>
      <c r="G52" s="492"/>
      <c r="H52" s="527"/>
      <c r="I52" s="142"/>
      <c r="J52" s="143"/>
    </row>
    <row r="53" spans="1:77" s="154" customFormat="1" ht="15" customHeight="1" x14ac:dyDescent="0.25">
      <c r="A53" s="161">
        <v>7</v>
      </c>
      <c r="B53" s="479" t="s">
        <v>66</v>
      </c>
      <c r="C53" s="480"/>
      <c r="D53" s="480"/>
      <c r="E53" s="481"/>
      <c r="F53" s="491">
        <f>'Indicadores Financeiros'!$J$45</f>
        <v>8.0000000000000004E-4</v>
      </c>
      <c r="G53" s="492"/>
      <c r="H53" s="527"/>
      <c r="I53" s="160"/>
      <c r="J53" s="155"/>
      <c r="K53" s="159"/>
      <c r="L53" s="158"/>
      <c r="M53" s="155"/>
      <c r="N53" s="155"/>
      <c r="O53" s="157"/>
      <c r="P53" s="156"/>
      <c r="Q53" s="155"/>
      <c r="R53" s="155"/>
      <c r="S53" s="155"/>
      <c r="T53" s="155"/>
      <c r="U53" s="155"/>
      <c r="V53" s="155"/>
      <c r="W53" s="155"/>
      <c r="X53" s="155"/>
      <c r="Y53" s="155"/>
      <c r="Z53" s="155"/>
      <c r="AA53" s="155"/>
      <c r="AB53" s="155"/>
      <c r="AC53" s="155"/>
      <c r="AD53" s="155"/>
      <c r="AE53" s="155"/>
      <c r="AF53" s="155"/>
      <c r="AG53" s="155"/>
      <c r="AH53" s="155"/>
      <c r="AI53" s="155"/>
      <c r="AJ53" s="155"/>
      <c r="AK53" s="155"/>
      <c r="AL53" s="155"/>
      <c r="AM53" s="155"/>
      <c r="AN53" s="155"/>
      <c r="AO53" s="155"/>
      <c r="AP53" s="155"/>
      <c r="AQ53" s="155"/>
      <c r="AR53" s="155"/>
      <c r="AS53" s="155"/>
      <c r="AT53" s="155"/>
      <c r="AU53" s="155"/>
      <c r="AV53" s="155"/>
      <c r="AW53" s="155"/>
      <c r="AX53" s="155"/>
      <c r="AY53" s="155"/>
      <c r="AZ53" s="155"/>
      <c r="BA53" s="155"/>
      <c r="BB53" s="155"/>
      <c r="BC53" s="155"/>
      <c r="BD53" s="155"/>
      <c r="BE53" s="155"/>
      <c r="BF53" s="155"/>
      <c r="BG53" s="155"/>
      <c r="BH53" s="155"/>
      <c r="BI53" s="155"/>
      <c r="BJ53" s="155"/>
      <c r="BK53" s="155"/>
      <c r="BL53" s="155"/>
      <c r="BM53" s="155"/>
      <c r="BN53" s="155"/>
      <c r="BO53" s="155"/>
      <c r="BP53" s="155"/>
      <c r="BQ53" s="155"/>
      <c r="BR53" s="155"/>
      <c r="BS53" s="155"/>
      <c r="BT53" s="155"/>
      <c r="BU53" s="155"/>
      <c r="BV53" s="155"/>
      <c r="BW53" s="155"/>
      <c r="BX53" s="155"/>
      <c r="BY53" s="155"/>
    </row>
    <row r="54" spans="1:77" s="154" customFormat="1" ht="15" customHeight="1" x14ac:dyDescent="0.25">
      <c r="A54" s="161">
        <v>8</v>
      </c>
      <c r="B54" s="479" t="s">
        <v>67</v>
      </c>
      <c r="C54" s="480"/>
      <c r="D54" s="480"/>
      <c r="E54" s="481"/>
      <c r="F54" s="528">
        <f>'Indicadores Financeiros'!J46</f>
        <v>1.7319999999999999E-2</v>
      </c>
      <c r="G54" s="529"/>
      <c r="H54" s="530"/>
      <c r="I54" s="160"/>
      <c r="J54" s="155"/>
      <c r="K54" s="159"/>
      <c r="L54" s="158"/>
      <c r="M54" s="155"/>
      <c r="N54" s="155"/>
      <c r="O54" s="157"/>
      <c r="P54" s="156"/>
      <c r="Q54" s="155"/>
      <c r="R54" s="155"/>
      <c r="S54" s="155"/>
      <c r="T54" s="155"/>
      <c r="U54" s="155"/>
      <c r="V54" s="155"/>
      <c r="W54" s="155"/>
      <c r="X54" s="155"/>
      <c r="Y54" s="155"/>
      <c r="Z54" s="155"/>
      <c r="AA54" s="155"/>
      <c r="AB54" s="155"/>
      <c r="AC54" s="155"/>
      <c r="AD54" s="155"/>
      <c r="AE54" s="155"/>
      <c r="AF54" s="155"/>
      <c r="AG54" s="155"/>
      <c r="AH54" s="155"/>
      <c r="AI54" s="155"/>
      <c r="AJ54" s="155"/>
      <c r="AK54" s="155"/>
      <c r="AL54" s="155"/>
      <c r="AM54" s="155"/>
      <c r="AN54" s="155"/>
      <c r="AO54" s="155"/>
      <c r="AP54" s="155"/>
      <c r="AQ54" s="155"/>
      <c r="AR54" s="155"/>
      <c r="AS54" s="155"/>
      <c r="AT54" s="155"/>
      <c r="AU54" s="155"/>
      <c r="AV54" s="155"/>
      <c r="AW54" s="155"/>
      <c r="AX54" s="155"/>
      <c r="AY54" s="155"/>
      <c r="AZ54" s="155"/>
      <c r="BA54" s="155"/>
      <c r="BB54" s="155"/>
      <c r="BC54" s="155"/>
      <c r="BD54" s="155"/>
      <c r="BE54" s="155"/>
      <c r="BF54" s="155"/>
      <c r="BG54" s="155"/>
      <c r="BH54" s="155"/>
      <c r="BI54" s="155"/>
      <c r="BJ54" s="155"/>
      <c r="BK54" s="155"/>
      <c r="BL54" s="155"/>
      <c r="BM54" s="155"/>
      <c r="BN54" s="155"/>
      <c r="BO54" s="155"/>
      <c r="BP54" s="155"/>
      <c r="BQ54" s="155"/>
      <c r="BR54" s="155"/>
      <c r="BS54" s="155"/>
      <c r="BT54" s="155"/>
      <c r="BU54" s="155"/>
      <c r="BV54" s="155"/>
      <c r="BW54" s="155"/>
      <c r="BX54" s="155"/>
      <c r="BY54" s="155"/>
    </row>
    <row r="55" spans="1:77" x14ac:dyDescent="0.25">
      <c r="A55" s="452" t="s">
        <v>73</v>
      </c>
      <c r="B55" s="453"/>
      <c r="C55" s="453"/>
      <c r="D55" s="453"/>
      <c r="E55" s="454"/>
      <c r="F55" s="519">
        <f>SUM(F47:G54)</f>
        <v>8.9120000000000019E-2</v>
      </c>
      <c r="G55" s="520"/>
      <c r="H55" s="151"/>
      <c r="I55" s="142"/>
      <c r="J55" s="143"/>
    </row>
    <row r="56" spans="1:77" ht="6.6" customHeight="1" x14ac:dyDescent="0.25">
      <c r="A56" s="108"/>
      <c r="B56" s="108"/>
      <c r="C56" s="108"/>
      <c r="D56" s="108"/>
      <c r="E56" s="108"/>
      <c r="F56" s="108"/>
      <c r="G56" s="108"/>
      <c r="H56" s="108"/>
    </row>
    <row r="57" spans="1:77" x14ac:dyDescent="0.25">
      <c r="A57" s="172" t="s">
        <v>208</v>
      </c>
      <c r="B57" s="173"/>
      <c r="C57" s="173"/>
      <c r="D57" s="173"/>
      <c r="E57" s="173"/>
      <c r="F57" s="173"/>
      <c r="G57" s="173"/>
      <c r="H57" s="174"/>
    </row>
    <row r="58" spans="1:77" x14ac:dyDescent="0.25">
      <c r="A58" s="111">
        <v>1</v>
      </c>
      <c r="B58" s="479" t="s">
        <v>70</v>
      </c>
      <c r="C58" s="480"/>
      <c r="D58" s="480"/>
      <c r="E58" s="481"/>
      <c r="F58" s="491">
        <f>'Indicadores Financeiros'!$J$50</f>
        <v>2.8799999999999999E-2</v>
      </c>
      <c r="G58" s="492"/>
      <c r="H58" s="526"/>
      <c r="I58" s="142"/>
      <c r="J58" s="143"/>
    </row>
    <row r="59" spans="1:77" x14ac:dyDescent="0.25">
      <c r="A59" s="111">
        <v>2</v>
      </c>
      <c r="B59" s="479" t="s">
        <v>71</v>
      </c>
      <c r="C59" s="480"/>
      <c r="D59" s="480"/>
      <c r="E59" s="481"/>
      <c r="F59" s="491">
        <f>'Indicadores Financeiros'!$J$51</f>
        <v>3.3999999999999998E-3</v>
      </c>
      <c r="G59" s="492"/>
      <c r="H59" s="527"/>
      <c r="I59" s="142"/>
      <c r="J59" s="143"/>
    </row>
    <row r="60" spans="1:77" x14ac:dyDescent="0.25">
      <c r="A60" s="153">
        <v>3</v>
      </c>
      <c r="B60" s="479" t="s">
        <v>72</v>
      </c>
      <c r="C60" s="480"/>
      <c r="D60" s="480"/>
      <c r="E60" s="481"/>
      <c r="F60" s="491">
        <f>'Indicadores Financeiros'!$J$52</f>
        <v>2.5999999999999999E-3</v>
      </c>
      <c r="G60" s="492"/>
      <c r="H60" s="530"/>
      <c r="I60" s="142"/>
      <c r="J60" s="143"/>
    </row>
    <row r="61" spans="1:77" x14ac:dyDescent="0.25">
      <c r="A61" s="452" t="s">
        <v>80</v>
      </c>
      <c r="B61" s="453"/>
      <c r="C61" s="453"/>
      <c r="D61" s="453"/>
      <c r="E61" s="454"/>
      <c r="F61" s="519">
        <f>SUM(F58:G60)</f>
        <v>3.4799999999999998E-2</v>
      </c>
      <c r="G61" s="520"/>
      <c r="H61" s="151"/>
      <c r="I61" s="142"/>
      <c r="J61" s="143"/>
    </row>
    <row r="62" spans="1:77" ht="9" customHeight="1" x14ac:dyDescent="0.25">
      <c r="A62" s="108"/>
      <c r="B62" s="108"/>
      <c r="C62" s="108"/>
      <c r="D62" s="108"/>
      <c r="E62" s="108"/>
      <c r="F62" s="108"/>
      <c r="G62" s="108"/>
      <c r="H62" s="108"/>
    </row>
    <row r="63" spans="1:77" x14ac:dyDescent="0.25">
      <c r="A63" s="172" t="s">
        <v>209</v>
      </c>
      <c r="B63" s="173"/>
      <c r="C63" s="173"/>
      <c r="D63" s="173"/>
      <c r="E63" s="173"/>
      <c r="F63" s="173"/>
      <c r="G63" s="173"/>
      <c r="H63" s="174"/>
    </row>
    <row r="64" spans="1:77" x14ac:dyDescent="0.25">
      <c r="A64" s="111">
        <v>1</v>
      </c>
      <c r="B64" s="479" t="s">
        <v>75</v>
      </c>
      <c r="C64" s="480"/>
      <c r="D64" s="480"/>
      <c r="E64" s="481"/>
      <c r="F64" s="491">
        <f>'Indicadores Financeiros'!$J$56</f>
        <v>8.9300000000000004E-2</v>
      </c>
      <c r="G64" s="492"/>
      <c r="H64" s="526"/>
      <c r="I64" s="142"/>
      <c r="J64" s="143"/>
    </row>
    <row r="65" spans="1:16" x14ac:dyDescent="0.25">
      <c r="A65" s="111">
        <v>2</v>
      </c>
      <c r="B65" s="479" t="s">
        <v>76</v>
      </c>
      <c r="C65" s="480"/>
      <c r="D65" s="480"/>
      <c r="E65" s="481"/>
      <c r="F65" s="491">
        <f>'Indicadores Financeiros'!$J$57</f>
        <v>1.5299999999999999E-2</v>
      </c>
      <c r="G65" s="492"/>
      <c r="H65" s="527"/>
      <c r="I65" s="142"/>
      <c r="J65" s="143"/>
    </row>
    <row r="66" spans="1:16" x14ac:dyDescent="0.25">
      <c r="A66" s="111">
        <v>3</v>
      </c>
      <c r="B66" s="479" t="s">
        <v>77</v>
      </c>
      <c r="C66" s="480"/>
      <c r="D66" s="480"/>
      <c r="E66" s="481"/>
      <c r="F66" s="491">
        <f>'Indicadores Financeiros'!$J$58</f>
        <v>5.0000000000000001E-4</v>
      </c>
      <c r="G66" s="492"/>
      <c r="H66" s="527"/>
      <c r="I66" s="142"/>
      <c r="J66" s="143"/>
    </row>
    <row r="67" spans="1:16" x14ac:dyDescent="0.25">
      <c r="A67" s="111">
        <v>4</v>
      </c>
      <c r="B67" s="479" t="s">
        <v>78</v>
      </c>
      <c r="C67" s="480"/>
      <c r="D67" s="480"/>
      <c r="E67" s="481"/>
      <c r="F67" s="491">
        <f>'Indicadores Financeiros'!$J$59</f>
        <v>9.1000000000000004E-3</v>
      </c>
      <c r="G67" s="492"/>
      <c r="H67" s="527"/>
      <c r="I67" s="142"/>
      <c r="J67" s="143"/>
      <c r="O67" s="137"/>
    </row>
    <row r="68" spans="1:16" x14ac:dyDescent="0.25">
      <c r="A68" s="111">
        <v>5</v>
      </c>
      <c r="B68" s="479" t="s">
        <v>79</v>
      </c>
      <c r="C68" s="480"/>
      <c r="D68" s="480"/>
      <c r="E68" s="481"/>
      <c r="F68" s="491">
        <f>'Indicadores Financeiros'!$J$60</f>
        <v>6.9999999999999999E-4</v>
      </c>
      <c r="G68" s="492"/>
      <c r="H68" s="527"/>
      <c r="I68" s="142"/>
      <c r="J68" s="143"/>
      <c r="O68" s="137"/>
    </row>
    <row r="69" spans="1:16" x14ac:dyDescent="0.25">
      <c r="A69" s="152">
        <v>6</v>
      </c>
      <c r="B69" s="479" t="s">
        <v>54</v>
      </c>
      <c r="C69" s="480"/>
      <c r="D69" s="480"/>
      <c r="E69" s="481"/>
      <c r="F69" s="491">
        <f>'Indicadores Financeiros'!$J$61</f>
        <v>3.8800000000000001E-2</v>
      </c>
      <c r="G69" s="492"/>
      <c r="H69" s="530"/>
      <c r="I69" s="142"/>
      <c r="J69" s="143"/>
      <c r="O69" s="137"/>
    </row>
    <row r="70" spans="1:16" x14ac:dyDescent="0.25">
      <c r="A70" s="452" t="s">
        <v>210</v>
      </c>
      <c r="B70" s="453"/>
      <c r="C70" s="453"/>
      <c r="D70" s="453"/>
      <c r="E70" s="454"/>
      <c r="F70" s="519">
        <f>SUM(F64:G69)</f>
        <v>0.1537</v>
      </c>
      <c r="G70" s="520"/>
      <c r="H70" s="151"/>
      <c r="I70" s="142"/>
      <c r="J70" s="143"/>
      <c r="L70" s="143"/>
      <c r="O70" s="137"/>
    </row>
    <row r="71" spans="1:16" ht="4.9000000000000004" customHeight="1" x14ac:dyDescent="0.25">
      <c r="A71" s="108"/>
      <c r="B71" s="108"/>
      <c r="C71" s="108"/>
      <c r="D71" s="108"/>
      <c r="E71" s="108"/>
      <c r="F71" s="108"/>
      <c r="G71" s="108"/>
      <c r="H71" s="108"/>
      <c r="O71" s="137"/>
    </row>
    <row r="72" spans="1:16" x14ac:dyDescent="0.25">
      <c r="A72" s="531" t="s">
        <v>81</v>
      </c>
      <c r="B72" s="532"/>
      <c r="C72" s="532"/>
      <c r="D72" s="532"/>
      <c r="E72" s="533"/>
      <c r="F72" s="534">
        <f>F70+F61+F55+F44+F39+F33</f>
        <v>0.77522000000000013</v>
      </c>
      <c r="G72" s="535"/>
      <c r="H72" s="150">
        <f>ROUND(H21*F72,2)</f>
        <v>0</v>
      </c>
      <c r="I72" s="142"/>
      <c r="J72" s="143"/>
      <c r="O72" s="137"/>
    </row>
    <row r="73" spans="1:16" ht="9" customHeight="1" x14ac:dyDescent="0.25">
      <c r="A73" s="108"/>
      <c r="B73" s="108"/>
      <c r="C73" s="108"/>
      <c r="D73" s="108"/>
      <c r="E73" s="108"/>
      <c r="F73" s="108"/>
      <c r="G73" s="108"/>
      <c r="H73" s="108"/>
      <c r="O73" s="137"/>
    </row>
    <row r="74" spans="1:16" x14ac:dyDescent="0.25">
      <c r="A74" s="522" t="s">
        <v>211</v>
      </c>
      <c r="B74" s="523"/>
      <c r="C74" s="523"/>
      <c r="D74" s="523"/>
      <c r="E74" s="523"/>
      <c r="F74" s="523"/>
      <c r="G74" s="524"/>
      <c r="H74" s="181" t="s">
        <v>197</v>
      </c>
      <c r="I74" s="142"/>
      <c r="O74" s="137"/>
    </row>
    <row r="75" spans="1:16" x14ac:dyDescent="0.25">
      <c r="A75" s="111"/>
      <c r="B75" s="493"/>
      <c r="C75" s="493"/>
      <c r="D75" s="493"/>
      <c r="E75" s="111" t="s">
        <v>212</v>
      </c>
      <c r="F75" s="111" t="s">
        <v>121</v>
      </c>
      <c r="G75" s="111" t="s">
        <v>213</v>
      </c>
      <c r="H75" s="111"/>
      <c r="I75" s="142"/>
      <c r="O75" s="137"/>
    </row>
    <row r="76" spans="1:16" x14ac:dyDescent="0.25">
      <c r="A76" s="111">
        <v>1</v>
      </c>
      <c r="B76" s="449" t="s">
        <v>214</v>
      </c>
      <c r="C76" s="449"/>
      <c r="D76" s="449"/>
      <c r="E76" s="521">
        <f>$C$9</f>
        <v>20.75</v>
      </c>
      <c r="F76" s="149">
        <f>'Indicadores Financeiros'!$H$101</f>
        <v>0</v>
      </c>
      <c r="G76" s="149">
        <f>'Indicadores Financeiros'!I101</f>
        <v>0</v>
      </c>
      <c r="H76" s="167">
        <f>IF(OR(A14=550884,A14=550885,A14=550891,A14=550895,A14=550896,A14=550899,A14=550900,A14=550903,A14=550904),ROUND((F76-G76)/6,2),IF(OR(A14=550882,A14=550883,A14=550893,A14=550894,A14=550897,A14=550898,A14=550901,A14=550902),0,ROUND(ROUND(F76-G76,2)*E76,2)))</f>
        <v>0</v>
      </c>
      <c r="I76" s="148"/>
      <c r="O76" s="137"/>
    </row>
    <row r="77" spans="1:16" x14ac:dyDescent="0.25">
      <c r="A77" s="111">
        <v>2</v>
      </c>
      <c r="B77" s="449" t="s">
        <v>152</v>
      </c>
      <c r="C77" s="449"/>
      <c r="D77" s="449"/>
      <c r="E77" s="521"/>
      <c r="F77" s="149">
        <f>VLOOKUP($C$8,'Indicadores Financeiros'!$B$114:$J$119,8,FALSE)</f>
        <v>0</v>
      </c>
      <c r="G77" s="149">
        <f>$H$18*6%</f>
        <v>0</v>
      </c>
      <c r="H77" s="167">
        <f>IF(OR(A14=550884,A14=550885,A14=550891,A14=550895,A14=550896,A14=550899,A14=550900,A14=550903,A14=550904),ROUND(F77/8,2),IF(OR(A14=550882,A14=550883,A14=550893,A14=550894,A14=550897,A14=550898,A14=550901,A14=550902),0,ROUND(IF(ROUND($F$77*$E$76,2)-$G$77&lt;0,0,ROUND($F$77*$E$76,2)-$G$77),2)))</f>
        <v>0</v>
      </c>
      <c r="I77" s="142"/>
      <c r="J77" s="143"/>
      <c r="O77" s="137"/>
    </row>
    <row r="78" spans="1:16" x14ac:dyDescent="0.25">
      <c r="A78" s="171">
        <v>3</v>
      </c>
      <c r="B78" s="449" t="s">
        <v>215</v>
      </c>
      <c r="C78" s="449"/>
      <c r="D78" s="449"/>
      <c r="E78" s="449"/>
      <c r="F78" s="449"/>
      <c r="G78" s="449"/>
      <c r="H78" s="182">
        <f>IF(G14&lt;&gt;"posto",0,VLOOKUP($A$14,'Tabela de Códigos e Valores'!$A$5:$AE$15,14,FALSE))</f>
        <v>0</v>
      </c>
      <c r="I78" s="203"/>
      <c r="J78" s="286"/>
      <c r="K78" s="287"/>
      <c r="L78" s="288"/>
      <c r="M78" s="147"/>
      <c r="N78" s="147"/>
      <c r="O78" s="147"/>
    </row>
    <row r="79" spans="1:16" x14ac:dyDescent="0.25">
      <c r="A79" s="111">
        <v>4</v>
      </c>
      <c r="B79" s="449" t="s">
        <v>112</v>
      </c>
      <c r="C79" s="449"/>
      <c r="D79" s="449"/>
      <c r="E79" s="449"/>
      <c r="F79" s="449"/>
      <c r="G79" s="449"/>
      <c r="H79" s="182">
        <f>IF(G14&lt;&gt;"posto",0,VLOOKUP($A$14,'Tabela de Códigos e Valores'!$A$5:$AE$15,15,FALSE))</f>
        <v>0</v>
      </c>
      <c r="I79" s="191"/>
      <c r="J79" s="134"/>
      <c r="K79" s="134"/>
      <c r="L79" s="134"/>
      <c r="M79" s="134"/>
      <c r="N79" s="289"/>
      <c r="O79"/>
      <c r="P79" s="193"/>
    </row>
    <row r="80" spans="1:16" x14ac:dyDescent="0.25">
      <c r="A80" s="171">
        <v>5</v>
      </c>
      <c r="B80" s="449" t="s">
        <v>113</v>
      </c>
      <c r="C80" s="449"/>
      <c r="D80" s="449"/>
      <c r="E80" s="449"/>
      <c r="F80" s="449"/>
      <c r="G80" s="449"/>
      <c r="H80" s="182">
        <f>IF(G14&lt;&gt;"posto",0,VLOOKUP($A$14,'Tabela de Códigos e Valores'!$A$5:$AE$15,16,FALSE))</f>
        <v>0</v>
      </c>
      <c r="I80" s="191"/>
      <c r="J80" s="134"/>
      <c r="K80" s="134"/>
      <c r="L80" s="134"/>
      <c r="M80" s="134"/>
      <c r="N80" s="289"/>
      <c r="O80"/>
      <c r="P80" s="193"/>
    </row>
    <row r="81" spans="1:16" x14ac:dyDescent="0.25">
      <c r="A81" s="111">
        <v>6</v>
      </c>
      <c r="B81" s="449" t="s">
        <v>216</v>
      </c>
      <c r="C81" s="449"/>
      <c r="D81" s="449"/>
      <c r="E81" s="449"/>
      <c r="F81" s="449"/>
      <c r="G81" s="449"/>
      <c r="H81" s="182">
        <f>IF(G14&lt;&gt;"posto",0,VLOOKUP($A$14,'Tabela de Códigos e Valores'!$A$5:$AE$15,17,FALSE))</f>
        <v>0</v>
      </c>
      <c r="I81" s="191"/>
      <c r="J81" s="134"/>
      <c r="K81" s="134"/>
      <c r="L81" s="134"/>
      <c r="M81" s="134"/>
      <c r="N81" s="289"/>
      <c r="O81"/>
      <c r="P81" s="193"/>
    </row>
    <row r="82" spans="1:16" x14ac:dyDescent="0.25">
      <c r="A82" s="171">
        <v>7</v>
      </c>
      <c r="B82" s="449" t="s">
        <v>217</v>
      </c>
      <c r="C82" s="449"/>
      <c r="D82" s="449"/>
      <c r="E82" s="449"/>
      <c r="F82" s="449"/>
      <c r="G82" s="449"/>
      <c r="H82" s="182">
        <f>IF(G14&lt;&gt;"posto",0,VLOOKUP($A$14,'Tabela de Códigos e Valores'!$A$5:$AE$15,18,FALSE))</f>
        <v>0</v>
      </c>
      <c r="I82" s="285"/>
      <c r="J82" s="134"/>
      <c r="K82" s="134"/>
      <c r="L82" s="134"/>
      <c r="M82" s="134"/>
      <c r="N82" s="289"/>
      <c r="O82"/>
      <c r="P82" s="193"/>
    </row>
    <row r="83" spans="1:16" x14ac:dyDescent="0.25">
      <c r="A83" s="111">
        <v>8</v>
      </c>
      <c r="B83" s="449" t="s">
        <v>116</v>
      </c>
      <c r="C83" s="449"/>
      <c r="D83" s="449"/>
      <c r="E83" s="449"/>
      <c r="F83" s="449"/>
      <c r="G83" s="449"/>
      <c r="H83" s="182">
        <f>IF(G14&lt;&gt;"posto",0,VLOOKUP($A$14,'Tabela de Códigos e Valores'!$A$5:$AE$15,19,FALSE))</f>
        <v>0</v>
      </c>
      <c r="I83" s="285"/>
      <c r="J83" s="134"/>
      <c r="K83" s="134"/>
      <c r="L83" s="134"/>
      <c r="M83" s="134"/>
      <c r="N83" s="289"/>
      <c r="O83"/>
      <c r="P83" s="193"/>
    </row>
    <row r="84" spans="1:16" x14ac:dyDescent="0.25">
      <c r="A84" s="171">
        <v>9</v>
      </c>
      <c r="B84" s="449" t="s">
        <v>218</v>
      </c>
      <c r="C84" s="449"/>
      <c r="D84" s="449"/>
      <c r="E84" s="449"/>
      <c r="F84" s="449"/>
      <c r="G84" s="449"/>
      <c r="H84" s="182">
        <f>IF(G14&lt;&gt;"posto",0,VLOOKUP($A$14,'Tabela de Códigos e Valores'!$A$5:$AE$15,20,FALSE))</f>
        <v>0</v>
      </c>
      <c r="I84" s="191"/>
      <c r="J84" s="134"/>
      <c r="K84" s="134"/>
      <c r="L84" s="134"/>
      <c r="M84" s="134"/>
      <c r="N84" s="289"/>
      <c r="O84"/>
      <c r="P84" s="193"/>
    </row>
    <row r="85" spans="1:16" x14ac:dyDescent="0.25">
      <c r="A85" s="111">
        <v>10</v>
      </c>
      <c r="B85" s="449" t="s">
        <v>219</v>
      </c>
      <c r="C85" s="449"/>
      <c r="D85" s="449"/>
      <c r="E85" s="449"/>
      <c r="F85" s="449"/>
      <c r="G85" s="449"/>
      <c r="H85" s="182">
        <f>IF(G14&lt;&gt;"posto",0,VLOOKUP($A$14,'Tabela de Códigos e Valores'!$A$5:$AE$15,21,FALSE))</f>
        <v>0</v>
      </c>
      <c r="I85" s="191"/>
      <c r="J85" s="134"/>
      <c r="K85" s="134"/>
      <c r="L85" s="134"/>
      <c r="M85" s="134"/>
      <c r="N85" s="289"/>
      <c r="O85"/>
      <c r="P85" s="193"/>
    </row>
    <row r="86" spans="1:16" x14ac:dyDescent="0.25">
      <c r="A86" s="111">
        <v>11</v>
      </c>
      <c r="B86" s="449" t="s">
        <v>119</v>
      </c>
      <c r="C86" s="449"/>
      <c r="D86" s="449"/>
      <c r="E86" s="449"/>
      <c r="F86" s="449"/>
      <c r="G86" s="449"/>
      <c r="H86" s="182">
        <f>IF(G14&lt;&gt;"posto",0,VLOOKUP($A$14,'Tabela de Códigos e Valores'!$A$5:$AE$15,22,FALSE))</f>
        <v>0</v>
      </c>
      <c r="I86" s="191"/>
      <c r="J86" s="134"/>
      <c r="K86" s="134"/>
      <c r="L86" s="134"/>
      <c r="M86" s="134"/>
      <c r="N86" s="289"/>
      <c r="O86"/>
      <c r="P86" s="193"/>
    </row>
    <row r="87" spans="1:16" x14ac:dyDescent="0.25">
      <c r="A87" s="111">
        <v>12</v>
      </c>
      <c r="B87" s="449" t="s">
        <v>220</v>
      </c>
      <c r="C87" s="449"/>
      <c r="D87" s="449"/>
      <c r="E87" s="449"/>
      <c r="F87" s="449"/>
      <c r="G87" s="449"/>
      <c r="H87" s="182">
        <f>IF(G14&lt;&gt;"posto",0,VLOOKUP($A$14,'Tabela de Códigos e Valores'!$A$5:$AE$15,27,FALSE))</f>
        <v>0</v>
      </c>
      <c r="I87" s="191"/>
      <c r="J87" s="134"/>
      <c r="K87" s="134"/>
      <c r="L87" s="134"/>
      <c r="M87" s="134"/>
      <c r="N87" s="289"/>
      <c r="O87"/>
      <c r="P87" s="193"/>
    </row>
    <row r="88" spans="1:16" x14ac:dyDescent="0.25">
      <c r="A88" s="111">
        <v>13</v>
      </c>
      <c r="B88" s="449" t="s">
        <v>221</v>
      </c>
      <c r="C88" s="449"/>
      <c r="D88" s="449"/>
      <c r="E88" s="449"/>
      <c r="F88" s="449"/>
      <c r="G88" s="449"/>
      <c r="H88" s="182">
        <f>IF(G14&lt;&gt;"posto",0,VLOOKUP($A$14,'Tabela de Códigos e Valores'!$A$5:$AE$15,24,FALSE))</f>
        <v>0</v>
      </c>
      <c r="I88" s="191"/>
      <c r="J88" s="134"/>
      <c r="K88" s="134"/>
      <c r="L88" s="134"/>
      <c r="M88" s="134"/>
      <c r="N88" s="289"/>
      <c r="O88"/>
      <c r="P88" s="193"/>
    </row>
    <row r="89" spans="1:16" x14ac:dyDescent="0.25">
      <c r="A89" s="452" t="s">
        <v>222</v>
      </c>
      <c r="B89" s="453"/>
      <c r="C89" s="453"/>
      <c r="D89" s="453"/>
      <c r="E89" s="454"/>
      <c r="F89" s="175"/>
      <c r="G89" s="176"/>
      <c r="H89" s="177">
        <f>ROUND(SUM(H75:H88),2)</f>
        <v>0</v>
      </c>
      <c r="I89" s="285"/>
      <c r="J89" s="525"/>
      <c r="K89" s="525"/>
      <c r="L89" s="525"/>
      <c r="M89" s="525"/>
      <c r="N89" s="289"/>
      <c r="O89"/>
      <c r="P89" s="193"/>
    </row>
    <row r="90" spans="1:16" ht="4.9000000000000004" customHeight="1" x14ac:dyDescent="0.25">
      <c r="A90" s="108"/>
      <c r="B90" s="108"/>
      <c r="C90" s="108"/>
      <c r="D90" s="108"/>
      <c r="E90" s="108"/>
      <c r="F90" s="108"/>
      <c r="G90" s="108"/>
      <c r="H90" s="108"/>
      <c r="J90" s="141"/>
      <c r="K90" s="141"/>
      <c r="L90" s="141"/>
      <c r="M90" s="141"/>
      <c r="N90" s="141"/>
      <c r="O90" s="141"/>
    </row>
    <row r="91" spans="1:16" ht="9" customHeight="1" x14ac:dyDescent="0.25">
      <c r="A91" s="185"/>
      <c r="B91" s="185"/>
      <c r="C91" s="185"/>
      <c r="D91" s="185"/>
      <c r="E91" s="186"/>
      <c r="F91" s="186"/>
      <c r="G91" s="185"/>
      <c r="H91" s="154"/>
      <c r="O91" s="137"/>
    </row>
    <row r="92" spans="1:16" x14ac:dyDescent="0.25">
      <c r="A92" s="485" t="s">
        <v>223</v>
      </c>
      <c r="B92" s="486"/>
      <c r="C92" s="486"/>
      <c r="D92" s="486"/>
      <c r="E92" s="486"/>
      <c r="F92" s="486"/>
      <c r="G92" s="487"/>
      <c r="H92" s="151">
        <f>H89+H72+H21</f>
        <v>0</v>
      </c>
      <c r="I92" s="142"/>
      <c r="O92" s="137"/>
    </row>
    <row r="93" spans="1:16" ht="4.9000000000000004" customHeight="1" x14ac:dyDescent="0.25">
      <c r="A93" s="154"/>
      <c r="B93" s="154"/>
      <c r="C93" s="154"/>
      <c r="D93" s="154"/>
      <c r="E93" s="186"/>
      <c r="F93" s="186"/>
      <c r="G93" s="154"/>
      <c r="H93" s="154"/>
      <c r="O93" s="137"/>
    </row>
    <row r="94" spans="1:16" x14ac:dyDescent="0.25">
      <c r="A94" s="488" t="s">
        <v>224</v>
      </c>
      <c r="B94" s="488"/>
      <c r="C94" s="488"/>
      <c r="D94" s="488"/>
      <c r="E94" s="488"/>
      <c r="F94" s="484" t="s">
        <v>41</v>
      </c>
      <c r="G94" s="484"/>
      <c r="H94" s="184" t="s">
        <v>225</v>
      </c>
      <c r="I94" s="142"/>
      <c r="O94" s="137"/>
    </row>
    <row r="95" spans="1:16" x14ac:dyDescent="0.25">
      <c r="A95" s="111">
        <v>1</v>
      </c>
      <c r="B95" s="449" t="s">
        <v>226</v>
      </c>
      <c r="C95" s="449"/>
      <c r="D95" s="449"/>
      <c r="E95" s="449"/>
      <c r="F95" s="473">
        <f>$C$5</f>
        <v>0</v>
      </c>
      <c r="G95" s="473"/>
      <c r="H95" s="458"/>
      <c r="I95" s="142"/>
      <c r="O95" s="137"/>
    </row>
    <row r="96" spans="1:16" x14ac:dyDescent="0.25">
      <c r="A96" s="111">
        <v>2</v>
      </c>
      <c r="B96" s="449" t="s">
        <v>227</v>
      </c>
      <c r="C96" s="449"/>
      <c r="D96" s="449"/>
      <c r="E96" s="449"/>
      <c r="F96" s="473">
        <f>$C$6</f>
        <v>0</v>
      </c>
      <c r="G96" s="473"/>
      <c r="H96" s="459"/>
      <c r="I96" s="142"/>
      <c r="O96" s="137"/>
    </row>
    <row r="97" spans="1:15" x14ac:dyDescent="0.25">
      <c r="A97" s="111">
        <v>3</v>
      </c>
      <c r="B97" s="449" t="s">
        <v>36</v>
      </c>
      <c r="C97" s="449"/>
      <c r="D97" s="449"/>
      <c r="E97" s="449"/>
      <c r="F97" s="473">
        <f>'Indicadores Financeiros'!$F$12</f>
        <v>0</v>
      </c>
      <c r="G97" s="473"/>
      <c r="H97" s="459"/>
      <c r="I97" s="142"/>
      <c r="O97" s="137"/>
    </row>
    <row r="98" spans="1:15" x14ac:dyDescent="0.25">
      <c r="A98" s="111">
        <v>4</v>
      </c>
      <c r="B98" s="449" t="s">
        <v>35</v>
      </c>
      <c r="C98" s="449"/>
      <c r="D98" s="449"/>
      <c r="E98" s="449"/>
      <c r="F98" s="473">
        <f>'Indicadores Financeiros'!$F$11</f>
        <v>0</v>
      </c>
      <c r="G98" s="473"/>
      <c r="H98" s="459"/>
      <c r="I98" s="142"/>
      <c r="O98" s="137"/>
    </row>
    <row r="99" spans="1:15" x14ac:dyDescent="0.25">
      <c r="A99" s="111">
        <v>5</v>
      </c>
      <c r="B99" s="449" t="s">
        <v>129</v>
      </c>
      <c r="C99" s="449"/>
      <c r="D99" s="449"/>
      <c r="E99" s="449"/>
      <c r="F99" s="473">
        <f>$F$8</f>
        <v>0.05</v>
      </c>
      <c r="G99" s="473"/>
      <c r="H99" s="460"/>
      <c r="I99" s="142"/>
      <c r="O99" s="137"/>
    </row>
    <row r="100" spans="1:15" x14ac:dyDescent="0.25">
      <c r="A100" s="452" t="s">
        <v>228</v>
      </c>
      <c r="B100" s="453"/>
      <c r="C100" s="453"/>
      <c r="D100" s="453"/>
      <c r="E100" s="454"/>
      <c r="F100" s="474">
        <f>ROUND((1+F95)*(1+F96)/(1-F99-F98-F97)-1,4)</f>
        <v>5.2600000000000001E-2</v>
      </c>
      <c r="G100" s="474"/>
      <c r="H100" s="181">
        <f>ROUND($F$100*$H$92,2)</f>
        <v>0</v>
      </c>
      <c r="I100" s="142"/>
      <c r="O100" s="137"/>
    </row>
    <row r="101" spans="1:15" x14ac:dyDescent="0.25">
      <c r="A101" s="108"/>
      <c r="B101" s="108"/>
      <c r="C101" s="108"/>
      <c r="D101" s="108"/>
      <c r="E101" s="108"/>
      <c r="F101" s="108"/>
      <c r="G101" s="108"/>
      <c r="H101" s="108"/>
      <c r="O101" s="137"/>
    </row>
    <row r="102" spans="1:15" x14ac:dyDescent="0.25">
      <c r="A102" s="475" t="str">
        <f>CONCATENATE("Preço total mensal")</f>
        <v>Preço total mensal</v>
      </c>
      <c r="B102" s="476"/>
      <c r="C102" s="476"/>
      <c r="D102" s="476"/>
      <c r="E102" s="476"/>
      <c r="F102" s="476"/>
      <c r="G102" s="477"/>
      <c r="H102" s="187">
        <f>IF(H14=0,0,ROUND(H100+H92,2))</f>
        <v>0</v>
      </c>
      <c r="I102" s="188"/>
      <c r="J102" s="146"/>
      <c r="K102" s="143"/>
      <c r="O102" s="137"/>
    </row>
    <row r="103" spans="1:15" x14ac:dyDescent="0.25">
      <c r="A103" s="261"/>
      <c r="B103" s="261"/>
      <c r="C103" s="261"/>
      <c r="D103" s="261"/>
      <c r="E103" s="261"/>
      <c r="F103" s="262"/>
      <c r="G103" s="261"/>
      <c r="H103" s="263"/>
      <c r="I103" s="188"/>
      <c r="J103" s="264"/>
      <c r="K103" s="143"/>
      <c r="O103" s="137"/>
    </row>
    <row r="104" spans="1:15" x14ac:dyDescent="0.25">
      <c r="A104" s="475" t="s">
        <v>229</v>
      </c>
      <c r="B104" s="476"/>
      <c r="C104" s="476"/>
      <c r="D104" s="476"/>
      <c r="E104" s="476"/>
      <c r="F104" s="476"/>
      <c r="G104" s="477"/>
      <c r="H104" s="187">
        <f>H102*H14</f>
        <v>0</v>
      </c>
      <c r="I104" s="290">
        <f>SUMIFS('Relatório Custo'!S:S,'Relatório Custo'!C:C,'Custo por Função'!A14,'Relatório Custo'!B:B,'Custo por Função'!C8)</f>
        <v>0</v>
      </c>
      <c r="J104" s="146"/>
      <c r="K104" s="143"/>
      <c r="O104" s="137"/>
    </row>
    <row r="105" spans="1:15" x14ac:dyDescent="0.25">
      <c r="A105" s="183"/>
      <c r="B105" s="183"/>
      <c r="C105" s="183"/>
      <c r="D105" s="183"/>
      <c r="E105" s="183"/>
      <c r="F105" s="266"/>
      <c r="G105" s="183"/>
      <c r="H105" s="108"/>
      <c r="O105" s="137"/>
    </row>
    <row r="106" spans="1:15" hidden="1" x14ac:dyDescent="0.25">
      <c r="A106" s="475" t="s">
        <v>230</v>
      </c>
      <c r="B106" s="476"/>
      <c r="C106" s="476"/>
      <c r="D106" s="476"/>
      <c r="E106" s="476"/>
      <c r="F106" s="478"/>
      <c r="G106" s="477"/>
      <c r="H106" s="187">
        <f>ROUND(H102/E76,2)</f>
        <v>0</v>
      </c>
      <c r="I106" s="142"/>
      <c r="O106" s="137"/>
    </row>
    <row r="107" spans="1:15" ht="9" customHeight="1" x14ac:dyDescent="0.25">
      <c r="A107" s="183"/>
      <c r="B107" s="183"/>
      <c r="C107" s="183"/>
      <c r="D107" s="183"/>
      <c r="E107" s="183"/>
      <c r="F107" s="265"/>
      <c r="G107" s="183"/>
      <c r="H107" s="108"/>
      <c r="O107" s="137"/>
    </row>
    <row r="108" spans="1:15" x14ac:dyDescent="0.25">
      <c r="A108" s="452" t="s">
        <v>231</v>
      </c>
      <c r="B108" s="453"/>
      <c r="C108" s="453"/>
      <c r="D108" s="453"/>
      <c r="E108" s="454"/>
      <c r="F108" s="175">
        <f>IF(OR($G$14="Hora",$G$14="M2"),0,ROUND($H$102/$C$9,2))</f>
        <v>0</v>
      </c>
      <c r="G108" s="176"/>
      <c r="H108" s="177"/>
      <c r="O108" s="137"/>
    </row>
    <row r="109" spans="1:15" x14ac:dyDescent="0.25">
      <c r="A109" s="461" t="s">
        <v>232</v>
      </c>
      <c r="B109" s="462"/>
      <c r="C109" s="462"/>
      <c r="D109" s="462"/>
      <c r="E109" s="462"/>
      <c r="F109" s="462"/>
      <c r="G109" s="463"/>
      <c r="H109" s="179"/>
      <c r="O109" s="137"/>
    </row>
    <row r="110" spans="1:15" x14ac:dyDescent="0.25">
      <c r="A110" s="145" t="s">
        <v>233</v>
      </c>
      <c r="B110" s="464" t="s">
        <v>96</v>
      </c>
      <c r="C110" s="465"/>
      <c r="D110" s="465"/>
      <c r="E110" s="465"/>
      <c r="F110" s="465"/>
      <c r="G110" s="466"/>
      <c r="H110" s="178" t="s">
        <v>234</v>
      </c>
      <c r="O110" s="137"/>
    </row>
    <row r="111" spans="1:15" x14ac:dyDescent="0.25">
      <c r="A111" s="111">
        <v>1</v>
      </c>
      <c r="B111" s="467" t="s">
        <v>235</v>
      </c>
      <c r="C111" s="468"/>
      <c r="D111" s="468"/>
      <c r="E111" s="468"/>
      <c r="F111" s="468"/>
      <c r="G111" s="469"/>
      <c r="H111" s="189">
        <f>F76-G76</f>
        <v>0</v>
      </c>
      <c r="I111" s="142"/>
      <c r="O111" s="137"/>
    </row>
    <row r="112" spans="1:15" x14ac:dyDescent="0.25">
      <c r="A112" s="111">
        <v>2</v>
      </c>
      <c r="B112" s="470" t="s">
        <v>236</v>
      </c>
      <c r="C112" s="471"/>
      <c r="D112" s="471"/>
      <c r="E112" s="471"/>
      <c r="F112" s="471"/>
      <c r="G112" s="472"/>
      <c r="H112" s="189">
        <f>ROUND(H77/E76,2)</f>
        <v>0</v>
      </c>
      <c r="I112" s="142"/>
      <c r="J112" s="143"/>
      <c r="O112" s="137"/>
    </row>
    <row r="113" spans="1:15" x14ac:dyDescent="0.25">
      <c r="A113" s="111">
        <v>3</v>
      </c>
      <c r="B113" s="470" t="s">
        <v>237</v>
      </c>
      <c r="C113" s="471"/>
      <c r="D113" s="471"/>
      <c r="E113" s="471"/>
      <c r="F113" s="471"/>
      <c r="G113" s="472"/>
      <c r="H113" s="189"/>
      <c r="I113" s="142"/>
      <c r="O113" s="137"/>
    </row>
    <row r="114" spans="1:15" x14ac:dyDescent="0.25">
      <c r="A114" s="111">
        <v>4</v>
      </c>
      <c r="B114" s="470" t="s">
        <v>238</v>
      </c>
      <c r="C114" s="471"/>
      <c r="D114" s="471"/>
      <c r="E114" s="471"/>
      <c r="F114" s="471"/>
      <c r="G114" s="472"/>
      <c r="H114" s="189">
        <f>ROUND($H$21*$F$70/$E$76,2)</f>
        <v>0</v>
      </c>
      <c r="I114" s="148"/>
      <c r="O114" s="137"/>
    </row>
    <row r="115" spans="1:15" x14ac:dyDescent="0.25">
      <c r="A115" s="494" t="s">
        <v>239</v>
      </c>
      <c r="B115" s="495"/>
      <c r="C115" s="495"/>
      <c r="D115" s="495"/>
      <c r="E115" s="495"/>
      <c r="F115" s="495"/>
      <c r="G115" s="496"/>
      <c r="H115" s="190">
        <f>SUM(G111:H114)</f>
        <v>0</v>
      </c>
      <c r="I115" s="142"/>
      <c r="O115" s="137"/>
    </row>
    <row r="116" spans="1:15" x14ac:dyDescent="0.25">
      <c r="A116" s="111">
        <v>5</v>
      </c>
      <c r="B116" s="455" t="s">
        <v>240</v>
      </c>
      <c r="C116" s="456"/>
      <c r="D116" s="456"/>
      <c r="E116" s="457"/>
      <c r="F116" s="81" t="s">
        <v>41</v>
      </c>
      <c r="G116" s="144">
        <f>$C$10</f>
        <v>5.2600000000000001E-2</v>
      </c>
      <c r="H116" s="189">
        <f>ROUND($G$116*$H$115,2)</f>
        <v>0</v>
      </c>
      <c r="I116" s="142"/>
      <c r="O116" s="137"/>
    </row>
    <row r="117" spans="1:15" x14ac:dyDescent="0.25">
      <c r="A117" s="452" t="s">
        <v>241</v>
      </c>
      <c r="B117" s="453"/>
      <c r="C117" s="453"/>
      <c r="D117" s="453"/>
      <c r="E117" s="453"/>
      <c r="F117" s="453"/>
      <c r="G117" s="454"/>
      <c r="H117" s="181">
        <f>H115+H116</f>
        <v>0</v>
      </c>
      <c r="I117" s="148"/>
      <c r="O117" s="137"/>
    </row>
    <row r="118" spans="1:15" ht="9" customHeight="1" x14ac:dyDescent="0.25">
      <c r="A118" s="180"/>
      <c r="B118" s="180"/>
      <c r="C118" s="180"/>
      <c r="D118" s="180"/>
      <c r="E118" s="180"/>
      <c r="F118" s="180"/>
      <c r="G118" s="180"/>
      <c r="H118" s="180"/>
      <c r="O118" s="137"/>
    </row>
    <row r="119" spans="1:15" x14ac:dyDescent="0.25">
      <c r="I119" s="142"/>
      <c r="O119" s="137"/>
    </row>
    <row r="120" spans="1:15" x14ac:dyDescent="0.25">
      <c r="A120" s="141"/>
      <c r="B120" s="141"/>
      <c r="C120" s="141"/>
      <c r="D120" s="141"/>
      <c r="E120" s="141"/>
      <c r="F120" s="141"/>
      <c r="G120" s="141"/>
      <c r="H120" s="140"/>
      <c r="O120" s="137"/>
    </row>
    <row r="121" spans="1:15" x14ac:dyDescent="0.25">
      <c r="A121" s="137"/>
      <c r="B121" s="137"/>
      <c r="C121" s="137"/>
      <c r="D121" s="137"/>
      <c r="E121" s="137"/>
      <c r="F121" s="137"/>
      <c r="G121" s="137"/>
      <c r="H121" s="137"/>
      <c r="O121" s="137"/>
    </row>
    <row r="122" spans="1:15" x14ac:dyDescent="0.25">
      <c r="A122" s="137"/>
      <c r="B122" s="137"/>
      <c r="C122" s="137"/>
      <c r="D122" s="137"/>
      <c r="E122" s="137"/>
      <c r="F122" s="137"/>
      <c r="G122" s="137"/>
      <c r="H122" s="137"/>
      <c r="O122" s="137"/>
    </row>
    <row r="123" spans="1:15" x14ac:dyDescent="0.25">
      <c r="A123" s="137"/>
      <c r="B123" s="137"/>
      <c r="C123" s="137"/>
      <c r="D123" s="137"/>
      <c r="E123" s="137"/>
      <c r="F123" s="137"/>
      <c r="G123" s="137"/>
      <c r="H123" s="137"/>
      <c r="O123" s="137"/>
    </row>
    <row r="124" spans="1:15" x14ac:dyDescent="0.25">
      <c r="A124" s="137"/>
      <c r="B124" s="137"/>
      <c r="C124" s="137"/>
      <c r="D124" s="137"/>
      <c r="E124" s="137"/>
      <c r="F124" s="137"/>
      <c r="G124" s="137"/>
      <c r="H124" s="137"/>
      <c r="O124" s="137"/>
    </row>
    <row r="125" spans="1:15" x14ac:dyDescent="0.25">
      <c r="A125" s="137"/>
      <c r="B125" s="137"/>
      <c r="C125" s="137"/>
      <c r="D125" s="137"/>
      <c r="E125" s="137"/>
      <c r="F125" s="137"/>
      <c r="G125" s="137"/>
      <c r="H125" s="137"/>
      <c r="O125" s="137"/>
    </row>
    <row r="126" spans="1:15" x14ac:dyDescent="0.25">
      <c r="A126" s="137"/>
      <c r="B126" s="137"/>
      <c r="C126" s="137"/>
      <c r="D126" s="137"/>
      <c r="E126" s="137"/>
      <c r="F126" s="137"/>
      <c r="G126" s="137"/>
      <c r="H126" s="137"/>
      <c r="O126" s="137"/>
    </row>
    <row r="127" spans="1:15" x14ac:dyDescent="0.25">
      <c r="A127" s="137"/>
      <c r="B127" s="137"/>
      <c r="C127" s="137"/>
      <c r="D127" s="137"/>
      <c r="E127" s="137"/>
      <c r="F127" s="137"/>
      <c r="G127" s="137"/>
      <c r="H127" s="137"/>
      <c r="O127" s="137"/>
    </row>
    <row r="128" spans="1:15" x14ac:dyDescent="0.25">
      <c r="A128" s="137"/>
      <c r="B128" s="137"/>
      <c r="C128" s="137"/>
      <c r="D128" s="137"/>
      <c r="E128" s="137"/>
      <c r="F128" s="137"/>
      <c r="G128" s="137"/>
      <c r="H128" s="137"/>
      <c r="O128" s="137"/>
    </row>
    <row r="129" spans="1:15" x14ac:dyDescent="0.25">
      <c r="A129" s="137"/>
      <c r="B129" s="137"/>
      <c r="C129" s="137"/>
      <c r="D129" s="137"/>
      <c r="E129" s="137"/>
      <c r="F129" s="137"/>
      <c r="G129" s="137"/>
      <c r="H129" s="137"/>
      <c r="O129" s="137"/>
    </row>
    <row r="130" spans="1:15" x14ac:dyDescent="0.25">
      <c r="A130" s="137"/>
      <c r="B130" s="137"/>
      <c r="C130" s="137"/>
      <c r="D130" s="137"/>
      <c r="E130" s="137"/>
      <c r="F130" s="137"/>
      <c r="G130" s="137"/>
      <c r="H130" s="137"/>
      <c r="O130" s="137"/>
    </row>
    <row r="131" spans="1:15" x14ac:dyDescent="0.25">
      <c r="A131" s="137"/>
      <c r="B131" s="137"/>
      <c r="C131" s="137"/>
      <c r="D131" s="137"/>
      <c r="E131" s="137"/>
      <c r="F131" s="137"/>
      <c r="G131" s="137"/>
      <c r="H131" s="137"/>
      <c r="O131" s="137"/>
    </row>
    <row r="132" spans="1:15" x14ac:dyDescent="0.25">
      <c r="A132" s="137"/>
      <c r="B132" s="137"/>
      <c r="C132" s="137"/>
      <c r="D132" s="137"/>
      <c r="E132" s="137"/>
      <c r="F132" s="137"/>
      <c r="G132" s="137"/>
      <c r="H132" s="137"/>
      <c r="O132" s="137"/>
    </row>
    <row r="133" spans="1:15" x14ac:dyDescent="0.25">
      <c r="A133" s="137"/>
      <c r="B133" s="137"/>
      <c r="C133" s="137"/>
      <c r="D133" s="137"/>
      <c r="E133" s="137"/>
      <c r="F133" s="137"/>
      <c r="G133" s="137"/>
      <c r="H133" s="137"/>
      <c r="O133" s="137"/>
    </row>
    <row r="134" spans="1:15" x14ac:dyDescent="0.25">
      <c r="A134" s="137"/>
      <c r="B134" s="137"/>
      <c r="C134" s="137"/>
      <c r="D134" s="137"/>
      <c r="E134" s="137"/>
      <c r="F134" s="137"/>
      <c r="G134" s="137"/>
      <c r="H134" s="137"/>
      <c r="O134" s="137"/>
    </row>
    <row r="135" spans="1:15" x14ac:dyDescent="0.25">
      <c r="A135" s="137"/>
      <c r="B135" s="137"/>
      <c r="C135" s="137"/>
      <c r="D135" s="137"/>
      <c r="E135" s="137"/>
      <c r="F135" s="137"/>
      <c r="G135" s="137"/>
      <c r="H135" s="137"/>
      <c r="O135" s="137"/>
    </row>
    <row r="136" spans="1:15" x14ac:dyDescent="0.25">
      <c r="A136" s="137"/>
      <c r="B136" s="137"/>
      <c r="C136" s="137"/>
      <c r="D136" s="137"/>
      <c r="E136" s="137"/>
      <c r="F136" s="137"/>
      <c r="G136" s="137"/>
      <c r="H136" s="137"/>
      <c r="O136" s="137"/>
    </row>
    <row r="137" spans="1:15" x14ac:dyDescent="0.25">
      <c r="A137" s="137"/>
      <c r="B137" s="137"/>
      <c r="C137" s="137"/>
      <c r="D137" s="137"/>
      <c r="E137" s="137"/>
      <c r="F137" s="137"/>
      <c r="G137" s="137"/>
      <c r="H137" s="137"/>
      <c r="O137" s="137"/>
    </row>
    <row r="138" spans="1:15" x14ac:dyDescent="0.25">
      <c r="A138" s="137"/>
      <c r="B138" s="137"/>
      <c r="C138" s="137"/>
      <c r="D138" s="137"/>
      <c r="E138" s="137"/>
      <c r="F138" s="137"/>
      <c r="G138" s="137"/>
      <c r="H138" s="137"/>
      <c r="O138" s="137"/>
    </row>
    <row r="139" spans="1:15" x14ac:dyDescent="0.25">
      <c r="A139" s="137"/>
      <c r="B139" s="137"/>
      <c r="C139" s="137"/>
      <c r="D139" s="137"/>
      <c r="E139" s="137"/>
      <c r="F139" s="137"/>
      <c r="G139" s="137"/>
      <c r="H139" s="137"/>
      <c r="O139" s="137"/>
    </row>
    <row r="140" spans="1:15" x14ac:dyDescent="0.25">
      <c r="A140" s="137"/>
      <c r="B140" s="137"/>
      <c r="C140" s="137"/>
      <c r="D140" s="137"/>
      <c r="E140" s="137"/>
      <c r="F140" s="137"/>
      <c r="G140" s="137"/>
      <c r="H140" s="137"/>
      <c r="O140" s="137"/>
    </row>
    <row r="141" spans="1:15" x14ac:dyDescent="0.25">
      <c r="A141" s="137"/>
      <c r="B141" s="137"/>
      <c r="C141" s="137"/>
      <c r="D141" s="137"/>
      <c r="E141" s="137"/>
      <c r="F141" s="137"/>
      <c r="G141" s="137"/>
      <c r="H141" s="137"/>
      <c r="O141" s="137"/>
    </row>
    <row r="142" spans="1:15" x14ac:dyDescent="0.25">
      <c r="A142" s="137"/>
      <c r="B142" s="137"/>
      <c r="C142" s="137"/>
      <c r="D142" s="137"/>
      <c r="E142" s="137"/>
      <c r="F142" s="137"/>
      <c r="G142" s="137"/>
      <c r="H142" s="137"/>
      <c r="O142" s="137"/>
    </row>
    <row r="143" spans="1:15" x14ac:dyDescent="0.25">
      <c r="A143" s="137"/>
      <c r="B143" s="137"/>
      <c r="C143" s="137"/>
      <c r="D143" s="137"/>
      <c r="E143" s="137"/>
      <c r="F143" s="137"/>
      <c r="G143" s="137"/>
      <c r="H143" s="137"/>
      <c r="O143" s="137"/>
    </row>
    <row r="144" spans="1:15" x14ac:dyDescent="0.25">
      <c r="A144" s="137"/>
      <c r="B144" s="137"/>
      <c r="C144" s="137"/>
      <c r="D144" s="137"/>
      <c r="E144" s="137"/>
      <c r="F144" s="137"/>
      <c r="G144" s="137"/>
      <c r="H144" s="137"/>
      <c r="O144" s="137"/>
    </row>
    <row r="145" spans="1:15" x14ac:dyDescent="0.25">
      <c r="A145" s="137"/>
      <c r="B145" s="137"/>
      <c r="C145" s="137"/>
      <c r="D145" s="137"/>
      <c r="E145" s="137"/>
      <c r="F145" s="137"/>
      <c r="G145" s="137"/>
      <c r="H145" s="137"/>
      <c r="O145" s="137"/>
    </row>
    <row r="146" spans="1:15" x14ac:dyDescent="0.25">
      <c r="A146" s="137"/>
      <c r="B146" s="137"/>
      <c r="C146" s="137"/>
      <c r="D146" s="137"/>
      <c r="E146" s="137"/>
      <c r="F146" s="137"/>
      <c r="G146" s="137"/>
      <c r="H146" s="137"/>
      <c r="O146" s="137"/>
    </row>
    <row r="147" spans="1:15" x14ac:dyDescent="0.25">
      <c r="A147" s="137"/>
      <c r="B147" s="137"/>
      <c r="C147" s="137"/>
      <c r="D147" s="137"/>
      <c r="E147" s="137"/>
      <c r="F147" s="137"/>
      <c r="G147" s="137"/>
      <c r="H147" s="137"/>
      <c r="O147" s="137"/>
    </row>
    <row r="148" spans="1:15" x14ac:dyDescent="0.25">
      <c r="A148" s="137"/>
      <c r="B148" s="137"/>
      <c r="C148" s="137"/>
      <c r="D148" s="137"/>
      <c r="E148" s="137"/>
      <c r="F148" s="137"/>
      <c r="G148" s="137"/>
      <c r="H148" s="137"/>
      <c r="O148" s="137"/>
    </row>
    <row r="149" spans="1:15" x14ac:dyDescent="0.25">
      <c r="A149" s="137"/>
      <c r="B149" s="137"/>
      <c r="C149" s="137"/>
      <c r="D149" s="137"/>
      <c r="E149" s="137"/>
      <c r="F149" s="137"/>
      <c r="G149" s="137"/>
      <c r="H149" s="137"/>
      <c r="O149" s="137"/>
    </row>
    <row r="150" spans="1:15" x14ac:dyDescent="0.25">
      <c r="A150" s="137"/>
      <c r="B150" s="137"/>
      <c r="C150" s="137"/>
      <c r="D150" s="137"/>
      <c r="E150" s="137"/>
      <c r="F150" s="137"/>
      <c r="G150" s="137"/>
      <c r="H150" s="137"/>
      <c r="O150" s="137"/>
    </row>
    <row r="151" spans="1:15" x14ac:dyDescent="0.25">
      <c r="A151" s="137"/>
      <c r="B151" s="137"/>
      <c r="C151" s="137"/>
      <c r="D151" s="137"/>
      <c r="E151" s="137"/>
      <c r="F151" s="137"/>
      <c r="G151" s="137"/>
      <c r="H151" s="137"/>
      <c r="O151" s="137"/>
    </row>
    <row r="152" spans="1:15" x14ac:dyDescent="0.25">
      <c r="A152" s="137"/>
      <c r="B152" s="137"/>
      <c r="C152" s="137"/>
      <c r="D152" s="137"/>
      <c r="E152" s="137"/>
      <c r="F152" s="137"/>
      <c r="G152" s="137"/>
      <c r="H152" s="137"/>
      <c r="O152" s="137"/>
    </row>
    <row r="153" spans="1:15" x14ac:dyDescent="0.25">
      <c r="A153" s="137"/>
      <c r="B153" s="137"/>
      <c r="C153" s="137"/>
      <c r="D153" s="137"/>
      <c r="E153" s="137"/>
      <c r="F153" s="137"/>
      <c r="G153" s="137"/>
      <c r="H153" s="137"/>
      <c r="O153" s="137"/>
    </row>
    <row r="154" spans="1:15" x14ac:dyDescent="0.25">
      <c r="A154" s="137"/>
      <c r="B154" s="137"/>
      <c r="C154" s="137"/>
      <c r="D154" s="137"/>
      <c r="E154" s="137"/>
      <c r="F154" s="137"/>
      <c r="G154" s="137"/>
      <c r="H154" s="137"/>
      <c r="O154" s="137"/>
    </row>
    <row r="155" spans="1:15" x14ac:dyDescent="0.25">
      <c r="A155" s="137"/>
      <c r="B155" s="137"/>
      <c r="C155" s="137"/>
      <c r="D155" s="137"/>
      <c r="E155" s="137"/>
      <c r="F155" s="137"/>
      <c r="G155" s="137"/>
      <c r="H155" s="137"/>
      <c r="O155" s="137"/>
    </row>
    <row r="156" spans="1:15" x14ac:dyDescent="0.25">
      <c r="A156" s="137"/>
      <c r="B156" s="137"/>
      <c r="C156" s="137"/>
      <c r="D156" s="137"/>
      <c r="E156" s="137"/>
      <c r="F156" s="137"/>
      <c r="G156" s="137"/>
      <c r="H156" s="137"/>
      <c r="O156" s="137"/>
    </row>
    <row r="157" spans="1:15" x14ac:dyDescent="0.25">
      <c r="A157" s="137"/>
      <c r="B157" s="137"/>
      <c r="C157" s="137"/>
      <c r="D157" s="137"/>
      <c r="E157" s="137"/>
      <c r="F157" s="137"/>
      <c r="G157" s="137"/>
      <c r="H157" s="137"/>
      <c r="O157" s="137"/>
    </row>
    <row r="158" spans="1:15" x14ac:dyDescent="0.25">
      <c r="A158" s="137"/>
      <c r="B158" s="137"/>
      <c r="C158" s="137"/>
      <c r="D158" s="137"/>
      <c r="E158" s="137"/>
      <c r="F158" s="137"/>
      <c r="G158" s="137"/>
      <c r="H158" s="137"/>
      <c r="O158" s="137"/>
    </row>
    <row r="159" spans="1:15" x14ac:dyDescent="0.25">
      <c r="A159" s="137"/>
      <c r="B159" s="137"/>
      <c r="C159" s="137"/>
      <c r="D159" s="137"/>
      <c r="E159" s="137"/>
      <c r="F159" s="137"/>
      <c r="G159" s="137"/>
      <c r="H159" s="137"/>
      <c r="O159" s="137"/>
    </row>
    <row r="160" spans="1:15" x14ac:dyDescent="0.25">
      <c r="A160" s="137"/>
      <c r="B160" s="137"/>
      <c r="C160" s="137"/>
      <c r="D160" s="137"/>
      <c r="E160" s="137"/>
      <c r="F160" s="137"/>
      <c r="G160" s="137"/>
      <c r="H160" s="137"/>
      <c r="O160" s="137"/>
    </row>
    <row r="161" spans="1:15" x14ac:dyDescent="0.25">
      <c r="A161" s="137"/>
      <c r="B161" s="137"/>
      <c r="C161" s="137"/>
      <c r="D161" s="137"/>
      <c r="E161" s="137"/>
      <c r="F161" s="137"/>
      <c r="G161" s="137"/>
      <c r="H161" s="137"/>
      <c r="O161" s="137"/>
    </row>
    <row r="162" spans="1:15" x14ac:dyDescent="0.25">
      <c r="A162" s="137"/>
      <c r="B162" s="137"/>
      <c r="C162" s="137"/>
      <c r="D162" s="137"/>
      <c r="E162" s="137"/>
      <c r="F162" s="137"/>
      <c r="G162" s="137"/>
      <c r="H162" s="137"/>
      <c r="O162" s="137"/>
    </row>
    <row r="163" spans="1:15" x14ac:dyDescent="0.25">
      <c r="A163" s="137"/>
      <c r="B163" s="137"/>
      <c r="C163" s="137"/>
      <c r="D163" s="137"/>
      <c r="E163" s="137"/>
      <c r="F163" s="137"/>
      <c r="G163" s="137"/>
      <c r="H163" s="137"/>
      <c r="O163" s="137"/>
    </row>
    <row r="164" spans="1:15" x14ac:dyDescent="0.25">
      <c r="A164" s="137"/>
      <c r="B164" s="137"/>
      <c r="C164" s="137"/>
      <c r="D164" s="137"/>
      <c r="E164" s="137"/>
      <c r="F164" s="137"/>
      <c r="G164" s="137"/>
      <c r="H164" s="137"/>
      <c r="O164" s="137"/>
    </row>
    <row r="165" spans="1:15" x14ac:dyDescent="0.25">
      <c r="A165" s="137"/>
      <c r="B165" s="137"/>
      <c r="C165" s="137"/>
      <c r="D165" s="137"/>
      <c r="E165" s="137"/>
      <c r="F165" s="137"/>
      <c r="G165" s="137"/>
      <c r="H165" s="137"/>
      <c r="O165" s="137"/>
    </row>
    <row r="166" spans="1:15" x14ac:dyDescent="0.25">
      <c r="A166" s="137"/>
      <c r="B166" s="137"/>
      <c r="C166" s="137"/>
      <c r="D166" s="137"/>
      <c r="E166" s="137"/>
      <c r="F166" s="137"/>
      <c r="G166" s="137"/>
      <c r="H166" s="137"/>
      <c r="O166" s="137"/>
    </row>
    <row r="167" spans="1:15" x14ac:dyDescent="0.25">
      <c r="A167" s="137"/>
      <c r="B167" s="137"/>
      <c r="C167" s="137"/>
      <c r="D167" s="137"/>
      <c r="E167" s="137"/>
      <c r="F167" s="137"/>
      <c r="G167" s="137"/>
      <c r="H167" s="137"/>
      <c r="O167" s="137"/>
    </row>
    <row r="168" spans="1:15" x14ac:dyDescent="0.25">
      <c r="A168" s="137"/>
      <c r="B168" s="137"/>
      <c r="C168" s="137"/>
      <c r="D168" s="137"/>
      <c r="E168" s="137"/>
      <c r="F168" s="137"/>
      <c r="G168" s="137"/>
      <c r="H168" s="137"/>
      <c r="O168" s="137"/>
    </row>
    <row r="169" spans="1:15" x14ac:dyDescent="0.25">
      <c r="A169" s="137"/>
      <c r="B169" s="137"/>
      <c r="C169" s="137"/>
      <c r="D169" s="137"/>
      <c r="E169" s="137"/>
      <c r="F169" s="137"/>
      <c r="G169" s="137"/>
      <c r="H169" s="137"/>
      <c r="O169" s="137"/>
    </row>
    <row r="170" spans="1:15" x14ac:dyDescent="0.25">
      <c r="A170" s="137"/>
      <c r="B170" s="137"/>
      <c r="C170" s="137"/>
      <c r="D170" s="137"/>
      <c r="E170" s="137"/>
      <c r="F170" s="137"/>
      <c r="G170" s="137"/>
      <c r="H170" s="137"/>
      <c r="O170" s="137"/>
    </row>
    <row r="171" spans="1:15" x14ac:dyDescent="0.25">
      <c r="A171" s="137"/>
      <c r="B171" s="137"/>
      <c r="C171" s="137"/>
      <c r="D171" s="137"/>
      <c r="E171" s="137"/>
      <c r="F171" s="137"/>
      <c r="G171" s="137"/>
      <c r="H171" s="137"/>
      <c r="O171" s="137"/>
    </row>
    <row r="172" spans="1:15" x14ac:dyDescent="0.25">
      <c r="A172" s="137"/>
      <c r="B172" s="137"/>
      <c r="C172" s="137"/>
      <c r="D172" s="137"/>
      <c r="E172" s="137"/>
      <c r="F172" s="137"/>
      <c r="G172" s="137"/>
      <c r="H172" s="137"/>
      <c r="O172" s="137"/>
    </row>
    <row r="173" spans="1:15" x14ac:dyDescent="0.25">
      <c r="A173" s="137"/>
      <c r="B173" s="137"/>
      <c r="C173" s="137"/>
      <c r="D173" s="137"/>
      <c r="E173" s="137"/>
      <c r="F173" s="137"/>
      <c r="G173" s="137"/>
      <c r="H173" s="137"/>
      <c r="O173" s="137"/>
    </row>
    <row r="174" spans="1:15" x14ac:dyDescent="0.25">
      <c r="A174" s="137"/>
      <c r="B174" s="137"/>
      <c r="C174" s="137"/>
      <c r="D174" s="137"/>
      <c r="E174" s="137"/>
      <c r="F174" s="137"/>
      <c r="G174" s="137"/>
      <c r="H174" s="137"/>
      <c r="O174" s="137"/>
    </row>
    <row r="175" spans="1:15" x14ac:dyDescent="0.25">
      <c r="A175" s="137"/>
      <c r="B175" s="137"/>
      <c r="C175" s="137"/>
      <c r="D175" s="137"/>
      <c r="E175" s="137"/>
      <c r="F175" s="137"/>
      <c r="G175" s="137"/>
      <c r="H175" s="137"/>
      <c r="O175" s="137"/>
    </row>
    <row r="176" spans="1:15" x14ac:dyDescent="0.25">
      <c r="A176" s="137"/>
      <c r="B176" s="137"/>
      <c r="C176" s="137"/>
      <c r="D176" s="137"/>
      <c r="E176" s="137"/>
      <c r="F176" s="137"/>
      <c r="G176" s="137"/>
      <c r="H176" s="137"/>
      <c r="O176" s="137"/>
    </row>
    <row r="177" spans="1:15" x14ac:dyDescent="0.25">
      <c r="A177" s="137"/>
      <c r="B177" s="137"/>
      <c r="C177" s="137"/>
      <c r="D177" s="137"/>
      <c r="E177" s="137"/>
      <c r="F177" s="137"/>
      <c r="G177" s="137"/>
      <c r="H177" s="137"/>
      <c r="O177" s="137"/>
    </row>
    <row r="178" spans="1:15" x14ac:dyDescent="0.25">
      <c r="A178" s="137"/>
      <c r="B178" s="137"/>
      <c r="C178" s="137"/>
      <c r="D178" s="137"/>
      <c r="E178" s="137"/>
      <c r="F178" s="137"/>
      <c r="G178" s="137"/>
      <c r="H178" s="137"/>
      <c r="O178" s="137"/>
    </row>
    <row r="179" spans="1:15" x14ac:dyDescent="0.25">
      <c r="A179" s="137"/>
      <c r="B179" s="137"/>
      <c r="C179" s="137"/>
      <c r="D179" s="137"/>
      <c r="E179" s="137"/>
      <c r="F179" s="137"/>
      <c r="G179" s="137"/>
      <c r="H179" s="137"/>
      <c r="O179" s="137"/>
    </row>
    <row r="180" spans="1:15" x14ac:dyDescent="0.25">
      <c r="A180" s="137"/>
      <c r="B180" s="137"/>
      <c r="C180" s="137"/>
      <c r="D180" s="137"/>
      <c r="E180" s="137"/>
      <c r="F180" s="137"/>
      <c r="G180" s="137"/>
      <c r="H180" s="137"/>
      <c r="O180" s="137"/>
    </row>
    <row r="181" spans="1:15" x14ac:dyDescent="0.25">
      <c r="A181" s="137"/>
      <c r="B181" s="137"/>
      <c r="C181" s="137"/>
      <c r="D181" s="137"/>
      <c r="E181" s="137"/>
      <c r="F181" s="137"/>
      <c r="G181" s="137"/>
      <c r="H181" s="137"/>
      <c r="O181" s="137"/>
    </row>
    <row r="182" spans="1:15" x14ac:dyDescent="0.25">
      <c r="A182" s="137"/>
      <c r="B182" s="137"/>
      <c r="C182" s="137"/>
      <c r="D182" s="137"/>
      <c r="E182" s="137"/>
      <c r="F182" s="137"/>
      <c r="G182" s="137"/>
      <c r="H182" s="137"/>
      <c r="O182" s="137"/>
    </row>
    <row r="183" spans="1:15" x14ac:dyDescent="0.25">
      <c r="A183" s="137"/>
      <c r="B183" s="137"/>
      <c r="C183" s="137"/>
      <c r="D183" s="137"/>
      <c r="E183" s="137"/>
      <c r="F183" s="137"/>
      <c r="G183" s="137"/>
      <c r="H183" s="137"/>
      <c r="O183" s="137"/>
    </row>
    <row r="184" spans="1:15" x14ac:dyDescent="0.25">
      <c r="A184" s="137"/>
      <c r="B184" s="137"/>
      <c r="C184" s="137"/>
      <c r="D184" s="137"/>
      <c r="E184" s="137"/>
      <c r="F184" s="137"/>
      <c r="G184" s="137"/>
      <c r="H184" s="137"/>
      <c r="O184" s="137"/>
    </row>
    <row r="185" spans="1:15" x14ac:dyDescent="0.25">
      <c r="A185" s="137"/>
      <c r="B185" s="137"/>
      <c r="C185" s="137"/>
      <c r="D185" s="137"/>
      <c r="E185" s="137"/>
      <c r="F185" s="137"/>
      <c r="G185" s="137"/>
      <c r="H185" s="137"/>
      <c r="O185" s="137"/>
    </row>
    <row r="186" spans="1:15" x14ac:dyDescent="0.25">
      <c r="A186" s="137"/>
      <c r="B186" s="137"/>
      <c r="C186" s="137"/>
      <c r="D186" s="137"/>
      <c r="E186" s="137"/>
      <c r="F186" s="137"/>
      <c r="G186" s="137"/>
      <c r="H186" s="137"/>
      <c r="O186" s="137"/>
    </row>
    <row r="187" spans="1:15" x14ac:dyDescent="0.25">
      <c r="A187" s="137"/>
      <c r="B187" s="137"/>
      <c r="C187" s="137"/>
      <c r="D187" s="137"/>
      <c r="E187" s="137"/>
      <c r="F187" s="137"/>
      <c r="G187" s="137"/>
      <c r="H187" s="137"/>
      <c r="O187" s="137"/>
    </row>
    <row r="188" spans="1:15" x14ac:dyDescent="0.25">
      <c r="A188" s="137"/>
      <c r="B188" s="137"/>
      <c r="C188" s="137"/>
      <c r="D188" s="137"/>
      <c r="E188" s="137"/>
      <c r="F188" s="137"/>
      <c r="G188" s="137"/>
      <c r="H188" s="137"/>
      <c r="O188" s="137"/>
    </row>
    <row r="189" spans="1:15" x14ac:dyDescent="0.25">
      <c r="A189" s="137"/>
      <c r="B189" s="137"/>
      <c r="C189" s="137"/>
      <c r="D189" s="137"/>
      <c r="E189" s="137"/>
      <c r="F189" s="137"/>
      <c r="G189" s="137"/>
      <c r="H189" s="137"/>
      <c r="O189" s="137"/>
    </row>
    <row r="190" spans="1:15" x14ac:dyDescent="0.25">
      <c r="A190" s="137"/>
      <c r="B190" s="137"/>
      <c r="C190" s="137"/>
      <c r="D190" s="137"/>
      <c r="E190" s="137"/>
      <c r="F190" s="137"/>
      <c r="G190" s="137"/>
      <c r="H190" s="137"/>
      <c r="O190" s="137"/>
    </row>
  </sheetData>
  <sheetProtection algorithmName="SHA-512" hashValue="FDNRoxHZFaTSdMrOGMH9xm2ImOqKQHce7AZHt80IxObN4RRvs3feILQGAVggbQVOzTb2P7pJTYPe+zBryK7hWw==" saltValue="2fmTjSy9KXfSuxF3aoW/Mg==" spinCount="100000" sheet="1" objects="1" scenarios="1"/>
  <dataConsolidate/>
  <mergeCells count="165">
    <mergeCell ref="J89:M89"/>
    <mergeCell ref="A104:G104"/>
    <mergeCell ref="H25:H32"/>
    <mergeCell ref="B54:E54"/>
    <mergeCell ref="F54:G54"/>
    <mergeCell ref="H47:H54"/>
    <mergeCell ref="A70:E70"/>
    <mergeCell ref="F70:G70"/>
    <mergeCell ref="A72:E72"/>
    <mergeCell ref="F72:G72"/>
    <mergeCell ref="H64:H69"/>
    <mergeCell ref="A55:E55"/>
    <mergeCell ref="F55:G55"/>
    <mergeCell ref="B58:E58"/>
    <mergeCell ref="F58:G58"/>
    <mergeCell ref="H58:H60"/>
    <mergeCell ref="B59:E59"/>
    <mergeCell ref="F59:G59"/>
    <mergeCell ref="B60:E60"/>
    <mergeCell ref="F60:G60"/>
    <mergeCell ref="A46:H46"/>
    <mergeCell ref="B47:E47"/>
    <mergeCell ref="F47:G47"/>
    <mergeCell ref="A61:E61"/>
    <mergeCell ref="F61:G61"/>
    <mergeCell ref="B82:G82"/>
    <mergeCell ref="B83:G83"/>
    <mergeCell ref="B84:G84"/>
    <mergeCell ref="B85:G85"/>
    <mergeCell ref="A89:E89"/>
    <mergeCell ref="B75:D75"/>
    <mergeCell ref="B76:D76"/>
    <mergeCell ref="B77:D77"/>
    <mergeCell ref="E76:E77"/>
    <mergeCell ref="B87:G87"/>
    <mergeCell ref="B88:G88"/>
    <mergeCell ref="B81:G81"/>
    <mergeCell ref="B79:G79"/>
    <mergeCell ref="B80:G80"/>
    <mergeCell ref="B69:E69"/>
    <mergeCell ref="F69:G69"/>
    <mergeCell ref="A74:G74"/>
    <mergeCell ref="B78:G78"/>
    <mergeCell ref="B64:E64"/>
    <mergeCell ref="F64:G64"/>
    <mergeCell ref="B65:E65"/>
    <mergeCell ref="B86:G86"/>
    <mergeCell ref="F65:G65"/>
    <mergeCell ref="B66:E66"/>
    <mergeCell ref="F66:G66"/>
    <mergeCell ref="B67:E67"/>
    <mergeCell ref="F67:G67"/>
    <mergeCell ref="B68:E68"/>
    <mergeCell ref="F68:G68"/>
    <mergeCell ref="B37:E37"/>
    <mergeCell ref="B38:E38"/>
    <mergeCell ref="F37:G37"/>
    <mergeCell ref="B53:E53"/>
    <mergeCell ref="F53:G53"/>
    <mergeCell ref="A39:E39"/>
    <mergeCell ref="F39:G39"/>
    <mergeCell ref="A41:H41"/>
    <mergeCell ref="B42:E42"/>
    <mergeCell ref="F42:G42"/>
    <mergeCell ref="H42:H43"/>
    <mergeCell ref="B43:E43"/>
    <mergeCell ref="F43:G43"/>
    <mergeCell ref="A44:E44"/>
    <mergeCell ref="F44:G44"/>
    <mergeCell ref="F48:G48"/>
    <mergeCell ref="B49:E49"/>
    <mergeCell ref="F49:G49"/>
    <mergeCell ref="B51:E51"/>
    <mergeCell ref="F51:G51"/>
    <mergeCell ref="B52:E52"/>
    <mergeCell ref="F52:G52"/>
    <mergeCell ref="A1:H1"/>
    <mergeCell ref="A2:B2"/>
    <mergeCell ref="C2:H2"/>
    <mergeCell ref="A3:B3"/>
    <mergeCell ref="C3:H3"/>
    <mergeCell ref="A4:B4"/>
    <mergeCell ref="C4:H4"/>
    <mergeCell ref="A9:B9"/>
    <mergeCell ref="C9:H9"/>
    <mergeCell ref="A5:B5"/>
    <mergeCell ref="C5:H5"/>
    <mergeCell ref="A6:B6"/>
    <mergeCell ref="C6:H6"/>
    <mergeCell ref="A7:B7"/>
    <mergeCell ref="C7:H7"/>
    <mergeCell ref="A20:G20"/>
    <mergeCell ref="B48:E48"/>
    <mergeCell ref="A115:G115"/>
    <mergeCell ref="A8:B8"/>
    <mergeCell ref="C8:D8"/>
    <mergeCell ref="F8:H8"/>
    <mergeCell ref="F38:G38"/>
    <mergeCell ref="A10:B10"/>
    <mergeCell ref="C10:H10"/>
    <mergeCell ref="A11:H11"/>
    <mergeCell ref="A12:H12"/>
    <mergeCell ref="A15:H15"/>
    <mergeCell ref="A16:H16"/>
    <mergeCell ref="B13:E13"/>
    <mergeCell ref="B14:E14"/>
    <mergeCell ref="A17:G17"/>
    <mergeCell ref="A18:G18"/>
    <mergeCell ref="A19:G19"/>
    <mergeCell ref="A21:G21"/>
    <mergeCell ref="F26:G26"/>
    <mergeCell ref="B27:E27"/>
    <mergeCell ref="F27:G27"/>
    <mergeCell ref="B28:E28"/>
    <mergeCell ref="F28:G28"/>
    <mergeCell ref="B29:E29"/>
    <mergeCell ref="F29:G29"/>
    <mergeCell ref="B95:E95"/>
    <mergeCell ref="B96:E96"/>
    <mergeCell ref="B25:E25"/>
    <mergeCell ref="F25:G25"/>
    <mergeCell ref="B26:E26"/>
    <mergeCell ref="F94:G94"/>
    <mergeCell ref="F95:G95"/>
    <mergeCell ref="A92:G92"/>
    <mergeCell ref="A94:E94"/>
    <mergeCell ref="A33:E33"/>
    <mergeCell ref="F33:G33"/>
    <mergeCell ref="B30:E30"/>
    <mergeCell ref="F30:G30"/>
    <mergeCell ref="B31:E31"/>
    <mergeCell ref="F31:G31"/>
    <mergeCell ref="B32:E32"/>
    <mergeCell ref="F32:G32"/>
    <mergeCell ref="A34:H34"/>
    <mergeCell ref="A35:H35"/>
    <mergeCell ref="B36:E36"/>
    <mergeCell ref="F36:G36"/>
    <mergeCell ref="H36:H38"/>
    <mergeCell ref="B50:E50"/>
    <mergeCell ref="F50:G50"/>
    <mergeCell ref="B97:E97"/>
    <mergeCell ref="B98:E98"/>
    <mergeCell ref="A22:H22"/>
    <mergeCell ref="A23:H23"/>
    <mergeCell ref="A24:H24"/>
    <mergeCell ref="A117:G117"/>
    <mergeCell ref="B116:E116"/>
    <mergeCell ref="H95:H99"/>
    <mergeCell ref="A109:G109"/>
    <mergeCell ref="B110:G110"/>
    <mergeCell ref="B111:G111"/>
    <mergeCell ref="B112:G112"/>
    <mergeCell ref="B113:G113"/>
    <mergeCell ref="F97:G97"/>
    <mergeCell ref="F98:G98"/>
    <mergeCell ref="F99:G99"/>
    <mergeCell ref="F96:G96"/>
    <mergeCell ref="F100:G100"/>
    <mergeCell ref="B99:E99"/>
    <mergeCell ref="A100:E100"/>
    <mergeCell ref="A102:G102"/>
    <mergeCell ref="A106:G106"/>
    <mergeCell ref="A108:E108"/>
    <mergeCell ref="B114:G114"/>
  </mergeCells>
  <conditionalFormatting sqref="J13">
    <cfRule type="notContainsBlanks" dxfId="1" priority="2">
      <formula>LEN(TRIM(J13))&gt;0</formula>
    </cfRule>
  </conditionalFormatting>
  <conditionalFormatting sqref="J89">
    <cfRule type="cellIs" dxfId="0" priority="1" operator="greaterThan">
      <formula>0</formula>
    </cfRule>
  </conditionalFormatting>
  <printOptions horizontalCentered="1"/>
  <pageMargins left="0.70866141732283472" right="0.15748031496062992" top="0.47244094488188981" bottom="0.55118110236220474" header="0.27559055118110237" footer="0.31496062992125984"/>
  <pageSetup paperSize="9" scale="85" orientation="portrait" r:id="rId1"/>
  <headerFooter>
    <oddHeader>&amp;C&amp;"-,Negrito"PLANILHA DE COMPOSIÇÃO DE CUSTOS - CUSTO POR FUNÇÃO</oddHeader>
    <oddFooter>&amp;C&amp;P</oddFooter>
  </headerFooter>
  <rowBreaks count="1" manualBreakCount="1">
    <brk id="62" max="7" man="1"/>
  </rowBreak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500-000001000000}">
          <x14:formula1>
            <xm:f>'Indicadores Financeiros'!$B$114:$B$119</xm:f>
          </x14:formula1>
          <xm:sqref>C8:D8</xm:sqref>
        </x14:dataValidation>
        <x14:dataValidation type="list" allowBlank="1" showInputMessage="1" showErrorMessage="1" xr:uid="{00000000-0002-0000-0500-000000000000}">
          <x14:formula1>
            <xm:f>'Tabela de Códigos e Valores'!$A$5:$A$9</xm:f>
          </x14:formula1>
          <xm:sqref>A14</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0000"/>
    <pageSetUpPr fitToPage="1"/>
  </sheetPr>
  <dimension ref="A1:AH21"/>
  <sheetViews>
    <sheetView showGridLines="0" zoomScaleNormal="100" workbookViewId="0">
      <pane xSplit="2" ySplit="4" topLeftCell="W5" activePane="bottomRight" state="frozen"/>
      <selection pane="topRight" activeCell="B23" sqref="B23:E23"/>
      <selection pane="bottomLeft" activeCell="B23" sqref="B23:E23"/>
      <selection pane="bottomRight" activeCell="B1" sqref="B1"/>
    </sheetView>
  </sheetViews>
  <sheetFormatPr defaultColWidth="8.85546875" defaultRowHeight="12.75" x14ac:dyDescent="0.25"/>
  <cols>
    <col min="1" max="1" width="10.7109375" style="222" customWidth="1"/>
    <col min="2" max="2" width="57.7109375" style="223" bestFit="1" customWidth="1"/>
    <col min="3" max="3" width="7" style="222" customWidth="1"/>
    <col min="4" max="4" width="53.140625" style="223" customWidth="1"/>
    <col min="5" max="5" width="10.7109375" style="223" customWidth="1"/>
    <col min="6" max="6" width="11.5703125" style="223" bestFit="1" customWidth="1"/>
    <col min="7" max="7" width="10.7109375" style="223" customWidth="1"/>
    <col min="8" max="8" width="12.28515625" style="223" customWidth="1"/>
    <col min="9" max="9" width="10.7109375" style="223" customWidth="1"/>
    <col min="10" max="11" width="12.5703125" style="222" customWidth="1"/>
    <col min="12" max="12" width="12.7109375" style="223" customWidth="1"/>
    <col min="13" max="13" width="10.5703125" style="223" customWidth="1"/>
    <col min="14" max="14" width="11.7109375" style="224" customWidth="1"/>
    <col min="15" max="15" width="10.140625" style="223" bestFit="1" customWidth="1"/>
    <col min="16" max="16" width="11.7109375" style="223" customWidth="1"/>
    <col min="17" max="17" width="11.5703125" style="223" customWidth="1"/>
    <col min="18" max="18" width="9.7109375" style="223" bestFit="1" customWidth="1"/>
    <col min="19" max="19" width="12.7109375" style="223" customWidth="1"/>
    <col min="20" max="20" width="13.28515625" style="223" bestFit="1" customWidth="1"/>
    <col min="21" max="22" width="10" style="223" customWidth="1"/>
    <col min="23" max="23" width="9.7109375" style="223" customWidth="1"/>
    <col min="24" max="24" width="8.7109375" style="223" customWidth="1"/>
    <col min="25" max="25" width="10.7109375" style="221" customWidth="1"/>
    <col min="26" max="26" width="10.28515625" style="223" customWidth="1"/>
    <col min="27" max="27" width="10.85546875" style="223" customWidth="1"/>
    <col min="28" max="28" width="12.85546875" style="221" bestFit="1" customWidth="1"/>
    <col min="29" max="29" width="9.7109375" style="223" customWidth="1"/>
    <col min="30" max="30" width="11.85546875" style="223" bestFit="1" customWidth="1"/>
    <col min="31" max="31" width="14.28515625" style="221" customWidth="1"/>
    <col min="32" max="32" width="10.85546875" style="223" bestFit="1" customWidth="1"/>
    <col min="33" max="16384" width="8.85546875" style="223"/>
  </cols>
  <sheetData>
    <row r="1" spans="1:34" ht="25.5" x14ac:dyDescent="0.25">
      <c r="A1" s="229" t="s">
        <v>140</v>
      </c>
      <c r="B1" s="230" t="s">
        <v>133</v>
      </c>
      <c r="AB1" s="225"/>
      <c r="AC1" s="226"/>
      <c r="AD1" s="226"/>
    </row>
    <row r="2" spans="1:34" s="227" customFormat="1" x14ac:dyDescent="0.25">
      <c r="A2" s="227">
        <v>1</v>
      </c>
      <c r="B2" s="227">
        <v>2</v>
      </c>
      <c r="C2" s="227">
        <v>3</v>
      </c>
      <c r="D2" s="227">
        <v>4</v>
      </c>
      <c r="E2" s="227">
        <v>5</v>
      </c>
      <c r="F2" s="227">
        <v>6</v>
      </c>
      <c r="G2" s="227">
        <v>7</v>
      </c>
      <c r="H2" s="227">
        <v>8</v>
      </c>
      <c r="I2" s="227">
        <v>9</v>
      </c>
      <c r="J2" s="227">
        <v>10</v>
      </c>
      <c r="K2" s="227">
        <v>11</v>
      </c>
      <c r="L2" s="227">
        <v>12</v>
      </c>
      <c r="M2" s="227">
        <v>13</v>
      </c>
      <c r="N2" s="227">
        <v>14</v>
      </c>
      <c r="O2" s="227">
        <v>15</v>
      </c>
      <c r="P2" s="227">
        <v>16</v>
      </c>
      <c r="Q2" s="227">
        <v>17</v>
      </c>
      <c r="R2" s="227">
        <v>18</v>
      </c>
      <c r="S2" s="227">
        <v>19</v>
      </c>
      <c r="T2" s="227">
        <v>20</v>
      </c>
      <c r="U2" s="227">
        <v>21</v>
      </c>
      <c r="V2" s="227">
        <v>22</v>
      </c>
      <c r="W2" s="227">
        <v>23</v>
      </c>
      <c r="X2" s="227">
        <v>24</v>
      </c>
      <c r="Y2" s="227">
        <v>25</v>
      </c>
      <c r="Z2" s="227">
        <v>26</v>
      </c>
      <c r="AA2" s="227">
        <v>27</v>
      </c>
      <c r="AB2" s="227">
        <v>28</v>
      </c>
      <c r="AC2" s="227">
        <v>29</v>
      </c>
      <c r="AD2" s="227">
        <v>30</v>
      </c>
      <c r="AE2" s="227">
        <v>31</v>
      </c>
    </row>
    <row r="3" spans="1:34" x14ac:dyDescent="0.25">
      <c r="A3" s="536" t="s">
        <v>141</v>
      </c>
      <c r="B3" s="536" t="s">
        <v>96</v>
      </c>
      <c r="C3" s="536" t="s">
        <v>95</v>
      </c>
      <c r="D3" s="536" t="s">
        <v>96</v>
      </c>
      <c r="E3" s="536" t="s">
        <v>143</v>
      </c>
      <c r="F3" s="536" t="s">
        <v>145</v>
      </c>
      <c r="G3" s="536" t="s">
        <v>146</v>
      </c>
      <c r="H3" s="536" t="s">
        <v>147</v>
      </c>
      <c r="I3" s="536" t="s">
        <v>242</v>
      </c>
      <c r="J3" s="536" t="s">
        <v>243</v>
      </c>
      <c r="K3" s="536" t="s">
        <v>164</v>
      </c>
      <c r="L3" s="536" t="s">
        <v>165</v>
      </c>
      <c r="M3" s="536" t="s">
        <v>244</v>
      </c>
      <c r="N3" s="536" t="s">
        <v>151</v>
      </c>
      <c r="O3" s="536"/>
      <c r="P3" s="536"/>
      <c r="Q3" s="536"/>
      <c r="R3" s="536"/>
      <c r="S3" s="536"/>
      <c r="T3" s="536"/>
      <c r="U3" s="536"/>
      <c r="V3" s="536"/>
      <c r="W3" s="536"/>
      <c r="X3" s="536"/>
      <c r="Y3" s="536"/>
      <c r="Z3" s="536" t="s">
        <v>152</v>
      </c>
      <c r="AA3" s="536" t="s">
        <v>245</v>
      </c>
      <c r="AB3" s="536" t="s">
        <v>246</v>
      </c>
      <c r="AC3" s="536" t="s">
        <v>155</v>
      </c>
      <c r="AD3" s="536"/>
      <c r="AE3" s="536" t="s">
        <v>247</v>
      </c>
    </row>
    <row r="4" spans="1:34" s="222" customFormat="1" ht="76.5" x14ac:dyDescent="0.25">
      <c r="A4" s="536"/>
      <c r="B4" s="536"/>
      <c r="C4" s="536"/>
      <c r="D4" s="536"/>
      <c r="E4" s="536"/>
      <c r="F4" s="536"/>
      <c r="G4" s="536"/>
      <c r="H4" s="536"/>
      <c r="I4" s="536"/>
      <c r="J4" s="536" t="s">
        <v>248</v>
      </c>
      <c r="K4" s="536"/>
      <c r="L4" s="536"/>
      <c r="M4" s="536"/>
      <c r="N4" s="228" t="s">
        <v>110</v>
      </c>
      <c r="O4" s="228" t="s">
        <v>112</v>
      </c>
      <c r="P4" s="228" t="s">
        <v>113</v>
      </c>
      <c r="Q4" s="228" t="s">
        <v>249</v>
      </c>
      <c r="R4" s="228" t="s">
        <v>217</v>
      </c>
      <c r="S4" s="228" t="s">
        <v>116</v>
      </c>
      <c r="T4" s="228" t="s">
        <v>117</v>
      </c>
      <c r="U4" s="228" t="s">
        <v>118</v>
      </c>
      <c r="V4" s="228" t="s">
        <v>119</v>
      </c>
      <c r="W4" s="228" t="s">
        <v>250</v>
      </c>
      <c r="X4" s="241" t="str">
        <f>'Indicadores Financeiros'!B102</f>
        <v>Outros (especificar e inserir valor mensal)</v>
      </c>
      <c r="Y4" s="228" t="s">
        <v>251</v>
      </c>
      <c r="Z4" s="536"/>
      <c r="AA4" s="536"/>
      <c r="AB4" s="536"/>
      <c r="AC4" s="228" t="s">
        <v>41</v>
      </c>
      <c r="AD4" s="228" t="s">
        <v>187</v>
      </c>
      <c r="AE4" s="536"/>
    </row>
    <row r="5" spans="1:34" ht="25.5" x14ac:dyDescent="0.25">
      <c r="A5" s="211">
        <v>551188</v>
      </c>
      <c r="B5" s="212" t="str">
        <f>'Indicadores Financeiros'!B84</f>
        <v>Supervisor geral especializado em refrigeração, controle e administração</v>
      </c>
      <c r="C5" s="213">
        <v>1</v>
      </c>
      <c r="D5" s="212" t="str">
        <f>VLOOKUP(C5,'Indicadores Financeiros'!$A$84:$G$88,2,FALSE)</f>
        <v>Supervisor geral especializado em refrigeração, controle e administração</v>
      </c>
      <c r="E5" s="212" t="s">
        <v>252</v>
      </c>
      <c r="F5" s="212" t="s">
        <v>192</v>
      </c>
      <c r="G5" s="212">
        <v>1</v>
      </c>
      <c r="H5" s="214">
        <f>'Indicadores Financeiros'!$H$75</f>
        <v>20.75</v>
      </c>
      <c r="I5" s="215">
        <f>VLOOKUP($C5,'Indicadores Financeiros'!$A$84:$I$88,8,FALSE)</f>
        <v>0</v>
      </c>
      <c r="J5" s="215">
        <f>VLOOKUP($C5,'Indicadores Financeiros'!$A$84:$I$88,9,FALSE)</f>
        <v>0</v>
      </c>
      <c r="K5" s="215">
        <v>0</v>
      </c>
      <c r="L5" s="216">
        <f t="shared" ref="L5:L9" si="0">ROUND(SUM(I5:J5),2)</f>
        <v>0</v>
      </c>
      <c r="M5" s="216">
        <f>ROUND('Indicadores Financeiros'!$J$64*L5,2)</f>
        <v>0</v>
      </c>
      <c r="N5" s="216">
        <f>'Indicadores Financeiros'!$J$92</f>
        <v>0</v>
      </c>
      <c r="O5" s="216">
        <f>'Indicadores Financeiros'!$J$93</f>
        <v>0</v>
      </c>
      <c r="P5" s="216">
        <f>'Indicadores Financeiros'!$J$94</f>
        <v>0</v>
      </c>
      <c r="Q5" s="216">
        <f>'Indicadores Financeiros'!$J$95</f>
        <v>0</v>
      </c>
      <c r="R5" s="216">
        <f>'Indicadores Financeiros'!$J$96</f>
        <v>0</v>
      </c>
      <c r="S5" s="216">
        <f>'Indicadores Financeiros'!$J$97</f>
        <v>0</v>
      </c>
      <c r="T5" s="216">
        <f>'Indicadores Financeiros'!$J$98</f>
        <v>0</v>
      </c>
      <c r="U5" s="216">
        <f>'Indicadores Financeiros'!$J$99</f>
        <v>0</v>
      </c>
      <c r="V5" s="216">
        <f>'Indicadores Financeiros'!$J$100</f>
        <v>0</v>
      </c>
      <c r="W5" s="216">
        <f>ROUND('Indicadores Financeiros'!$J$101*H5,2)</f>
        <v>0</v>
      </c>
      <c r="X5" s="216">
        <f>'Indicadores Financeiros'!$J$102</f>
        <v>0</v>
      </c>
      <c r="Y5" s="217">
        <f t="shared" ref="Y5:Y15" si="1">ROUND(SUM(N5:X5),2)</f>
        <v>0</v>
      </c>
      <c r="Z5" s="216">
        <f>IF(ROUND((VLOOKUP($B$1,'Indicadores Financeiros'!$B$114:$J$119,8,FALSE)*H5)-($I5*6%),2)&lt;0,0,ROUND((VLOOKUP($B$1,'Indicadores Financeiros'!$B$114:$J$119,8,FALSE)*H5)-($I5*6%),2))</f>
        <v>0</v>
      </c>
      <c r="AA5" s="216">
        <f>VLOOKUP('Tabela de Códigos e Valores'!C5,'Indicadores Financeiros'!$A$106:$J$110,8,FALSE)</f>
        <v>0</v>
      </c>
      <c r="AB5" s="218">
        <f t="shared" ref="AB5:AB15" si="2">ROUND(L5+M5+Y5+Z5+AA5,2)</f>
        <v>0</v>
      </c>
      <c r="AC5" s="219">
        <f>IFERROR(VLOOKUP($B$1,'Indicadores Financeiros'!$B$114:$J$119,7,FALSE),0)</f>
        <v>5.2600000000000001E-2</v>
      </c>
      <c r="AD5" s="214">
        <f>ROUND(AB5*AC5,2)</f>
        <v>0</v>
      </c>
      <c r="AE5" s="220">
        <f>ROUND(AB5+AD5,2)</f>
        <v>0</v>
      </c>
      <c r="AF5" s="226"/>
      <c r="AH5" s="226"/>
    </row>
    <row r="6" spans="1:34" x14ac:dyDescent="0.25">
      <c r="A6" s="211">
        <v>551189</v>
      </c>
      <c r="B6" s="212" t="str">
        <f>'Indicadores Financeiros'!B85</f>
        <v>Técnico mecânico especializado em Refrigeração</v>
      </c>
      <c r="C6" s="213">
        <v>2</v>
      </c>
      <c r="D6" s="212" t="str">
        <f>VLOOKUP(C6,'Indicadores Financeiros'!$A$84:$G$88,2,FALSE)</f>
        <v>Técnico mecânico especializado em Refrigeração</v>
      </c>
      <c r="E6" s="212" t="s">
        <v>252</v>
      </c>
      <c r="F6" s="212" t="s">
        <v>192</v>
      </c>
      <c r="G6" s="212">
        <v>1</v>
      </c>
      <c r="H6" s="214">
        <f>'Indicadores Financeiros'!$H$75</f>
        <v>20.75</v>
      </c>
      <c r="I6" s="215">
        <f>VLOOKUP($C6,'Indicadores Financeiros'!$A$84:$I$88,8,FALSE)</f>
        <v>0</v>
      </c>
      <c r="J6" s="215">
        <f>VLOOKUP($C6,'Indicadores Financeiros'!$A$84:$I$88,9,FALSE)</f>
        <v>0</v>
      </c>
      <c r="K6" s="215">
        <v>0</v>
      </c>
      <c r="L6" s="216">
        <f t="shared" si="0"/>
        <v>0</v>
      </c>
      <c r="M6" s="216">
        <f>ROUND('Indicadores Financeiros'!$J$64*L6,2)</f>
        <v>0</v>
      </c>
      <c r="N6" s="216">
        <f>'Indicadores Financeiros'!$J$92</f>
        <v>0</v>
      </c>
      <c r="O6" s="216">
        <f>'Indicadores Financeiros'!$J$93</f>
        <v>0</v>
      </c>
      <c r="P6" s="216">
        <f>'Indicadores Financeiros'!$J$94</f>
        <v>0</v>
      </c>
      <c r="Q6" s="216">
        <f>'Indicadores Financeiros'!$J$95</f>
        <v>0</v>
      </c>
      <c r="R6" s="216">
        <f>'Indicadores Financeiros'!$J$96</f>
        <v>0</v>
      </c>
      <c r="S6" s="216">
        <f>'Indicadores Financeiros'!$J$97</f>
        <v>0</v>
      </c>
      <c r="T6" s="216">
        <f>'Indicadores Financeiros'!$J$98</f>
        <v>0</v>
      </c>
      <c r="U6" s="216">
        <f>'Indicadores Financeiros'!$J$99</f>
        <v>0</v>
      </c>
      <c r="V6" s="216">
        <f>'Indicadores Financeiros'!$J$100</f>
        <v>0</v>
      </c>
      <c r="W6" s="216">
        <f>ROUND('Indicadores Financeiros'!$J$101*H6,2)</f>
        <v>0</v>
      </c>
      <c r="X6" s="216">
        <f>'Indicadores Financeiros'!$J$102</f>
        <v>0</v>
      </c>
      <c r="Y6" s="217">
        <f t="shared" si="1"/>
        <v>0</v>
      </c>
      <c r="Z6" s="216">
        <f>IF(ROUND((VLOOKUP($B$1,'Indicadores Financeiros'!$B$114:$J$119,8,FALSE)*H6)-($I6*6%),2)&lt;0,0,ROUND((VLOOKUP($B$1,'Indicadores Financeiros'!$B$114:$J$119,8,FALSE)*H6)-($I6*6%),2))</f>
        <v>0</v>
      </c>
      <c r="AA6" s="216">
        <f>VLOOKUP('Tabela de Códigos e Valores'!C6,'Indicadores Financeiros'!$A$106:$J$110,8,FALSE)</f>
        <v>0</v>
      </c>
      <c r="AB6" s="218">
        <f t="shared" si="2"/>
        <v>0</v>
      </c>
      <c r="AC6" s="219">
        <f>IFERROR(VLOOKUP($B$1,'Indicadores Financeiros'!$B$114:$J$119,7,FALSE),0)</f>
        <v>5.2600000000000001E-2</v>
      </c>
      <c r="AD6" s="214">
        <f t="shared" ref="AD6:AD9" si="3">ROUND(AB6*AC6,2)</f>
        <v>0</v>
      </c>
      <c r="AE6" s="220">
        <f t="shared" ref="AE6:AE15" si="4">ROUND(AB6+AD6,2)</f>
        <v>0</v>
      </c>
      <c r="AF6" s="226"/>
      <c r="AH6" s="226"/>
    </row>
    <row r="7" spans="1:34" x14ac:dyDescent="0.25">
      <c r="A7" s="211">
        <v>551190</v>
      </c>
      <c r="B7" s="212" t="str">
        <f>'Indicadores Financeiros'!B87</f>
        <v>Operador</v>
      </c>
      <c r="C7" s="213">
        <v>4</v>
      </c>
      <c r="D7" s="212" t="str">
        <f>VLOOKUP(C7,'Indicadores Financeiros'!$A$84:$G$88,2,FALSE)</f>
        <v>Operador</v>
      </c>
      <c r="E7" s="212" t="s">
        <v>252</v>
      </c>
      <c r="F7" s="212" t="s">
        <v>192</v>
      </c>
      <c r="G7" s="212">
        <v>1</v>
      </c>
      <c r="H7" s="214">
        <f>'Indicadores Financeiros'!$H$75</f>
        <v>20.75</v>
      </c>
      <c r="I7" s="215">
        <f>VLOOKUP($C7,'Indicadores Financeiros'!$A$84:$I$88,8,FALSE)</f>
        <v>0</v>
      </c>
      <c r="J7" s="215">
        <f>VLOOKUP($C7,'Indicadores Financeiros'!$A$84:$I$88,9,FALSE)</f>
        <v>0</v>
      </c>
      <c r="K7" s="215">
        <v>0</v>
      </c>
      <c r="L7" s="216">
        <f>ROUND(SUM(I7:J7),2)</f>
        <v>0</v>
      </c>
      <c r="M7" s="216">
        <f>ROUND('Indicadores Financeiros'!$J$64*L7,2)</f>
        <v>0</v>
      </c>
      <c r="N7" s="216">
        <f>'Indicadores Financeiros'!$J$92</f>
        <v>0</v>
      </c>
      <c r="O7" s="216">
        <f>'Indicadores Financeiros'!$J$93</f>
        <v>0</v>
      </c>
      <c r="P7" s="216">
        <f>'Indicadores Financeiros'!$J$94</f>
        <v>0</v>
      </c>
      <c r="Q7" s="216">
        <f>'Indicadores Financeiros'!$J$95</f>
        <v>0</v>
      </c>
      <c r="R7" s="216">
        <f>'Indicadores Financeiros'!$J$96</f>
        <v>0</v>
      </c>
      <c r="S7" s="216">
        <f>'Indicadores Financeiros'!$J$97</f>
        <v>0</v>
      </c>
      <c r="T7" s="216">
        <f>'Indicadores Financeiros'!$J$98</f>
        <v>0</v>
      </c>
      <c r="U7" s="216">
        <f>'Indicadores Financeiros'!$J$99</f>
        <v>0</v>
      </c>
      <c r="V7" s="216">
        <f>'Indicadores Financeiros'!$J$100</f>
        <v>0</v>
      </c>
      <c r="W7" s="216">
        <f>ROUND('Indicadores Financeiros'!$J$101*H7,2)</f>
        <v>0</v>
      </c>
      <c r="X7" s="216">
        <f>'Indicadores Financeiros'!$J$102</f>
        <v>0</v>
      </c>
      <c r="Y7" s="217">
        <f t="shared" si="1"/>
        <v>0</v>
      </c>
      <c r="Z7" s="216">
        <f>IF(ROUND((VLOOKUP($B$1,'Indicadores Financeiros'!$B$114:$J$119,8,FALSE)*H7)-($I7*6%),2)&lt;0,0,ROUND((VLOOKUP($B$1,'Indicadores Financeiros'!$B$114:$J$119,8,FALSE)*H7)-($I7*6%),2))</f>
        <v>0</v>
      </c>
      <c r="AA7" s="216">
        <f>VLOOKUP('Tabela de Códigos e Valores'!C7,'Indicadores Financeiros'!$A$106:$J$110,8,FALSE)</f>
        <v>0</v>
      </c>
      <c r="AB7" s="218">
        <f t="shared" si="2"/>
        <v>0</v>
      </c>
      <c r="AC7" s="219">
        <f>IFERROR(VLOOKUP($B$1,'Indicadores Financeiros'!$B$114:$J$119,7,FALSE),0)</f>
        <v>5.2600000000000001E-2</v>
      </c>
      <c r="AD7" s="214">
        <f>ROUND(AB7*AC7,2)</f>
        <v>0</v>
      </c>
      <c r="AE7" s="220">
        <f>ROUND(AB7+AD7,2)</f>
        <v>0</v>
      </c>
      <c r="AF7" s="226"/>
      <c r="AH7" s="226"/>
    </row>
    <row r="8" spans="1:34" x14ac:dyDescent="0.25">
      <c r="A8" s="211">
        <v>551191</v>
      </c>
      <c r="B8" s="212" t="str">
        <f>'Indicadores Financeiros'!B88</f>
        <v>Auxiliar Técnico especializado em Refrigeração</v>
      </c>
      <c r="C8" s="213">
        <v>5</v>
      </c>
      <c r="D8" s="212" t="str">
        <f>VLOOKUP(C8,'Indicadores Financeiros'!$A$84:$G$88,2,FALSE)</f>
        <v>Auxiliar Técnico especializado em Refrigeração</v>
      </c>
      <c r="E8" s="212" t="s">
        <v>252</v>
      </c>
      <c r="F8" s="212" t="s">
        <v>192</v>
      </c>
      <c r="G8" s="212">
        <v>1</v>
      </c>
      <c r="H8" s="214">
        <f>'Indicadores Financeiros'!$H$75</f>
        <v>20.75</v>
      </c>
      <c r="I8" s="215">
        <f>VLOOKUP($C8,'Indicadores Financeiros'!$A$84:$I$88,8,FALSE)</f>
        <v>0</v>
      </c>
      <c r="J8" s="215">
        <f>VLOOKUP($C8,'Indicadores Financeiros'!$A$84:$I$88,9,FALSE)</f>
        <v>0</v>
      </c>
      <c r="K8" s="215">
        <v>0</v>
      </c>
      <c r="L8" s="216">
        <f>ROUND(SUM(I8:J8),2)</f>
        <v>0</v>
      </c>
      <c r="M8" s="216">
        <f>ROUND('Indicadores Financeiros'!$J$64*L8,2)</f>
        <v>0</v>
      </c>
      <c r="N8" s="216">
        <f>'Indicadores Financeiros'!$J$92</f>
        <v>0</v>
      </c>
      <c r="O8" s="216">
        <f>'Indicadores Financeiros'!$J$93</f>
        <v>0</v>
      </c>
      <c r="P8" s="216">
        <f>'Indicadores Financeiros'!$J$94</f>
        <v>0</v>
      </c>
      <c r="Q8" s="216">
        <f>'Indicadores Financeiros'!$J$95</f>
        <v>0</v>
      </c>
      <c r="R8" s="216">
        <f>'Indicadores Financeiros'!$J$96</f>
        <v>0</v>
      </c>
      <c r="S8" s="216">
        <f>'Indicadores Financeiros'!$J$97</f>
        <v>0</v>
      </c>
      <c r="T8" s="216">
        <f>'Indicadores Financeiros'!$J$98</f>
        <v>0</v>
      </c>
      <c r="U8" s="216">
        <f>'Indicadores Financeiros'!$J$99</f>
        <v>0</v>
      </c>
      <c r="V8" s="216">
        <f>'Indicadores Financeiros'!$J$100</f>
        <v>0</v>
      </c>
      <c r="W8" s="216">
        <f>ROUND('Indicadores Financeiros'!$J$101*H8,2)</f>
        <v>0</v>
      </c>
      <c r="X8" s="216">
        <f>'Indicadores Financeiros'!$J$102</f>
        <v>0</v>
      </c>
      <c r="Y8" s="217">
        <f t="shared" si="1"/>
        <v>0</v>
      </c>
      <c r="Z8" s="216">
        <f>IF(ROUND((VLOOKUP($B$1,'Indicadores Financeiros'!$B$114:$J$119,8,FALSE)*H8)-($I8*6%),2)&lt;0,0,ROUND((VLOOKUP($B$1,'Indicadores Financeiros'!$B$114:$J$119,8,FALSE)*H8)-($I8*6%),2))</f>
        <v>0</v>
      </c>
      <c r="AA8" s="216">
        <f>VLOOKUP('Tabela de Códigos e Valores'!C8,'Indicadores Financeiros'!$A$106:$J$110,8,FALSE)</f>
        <v>0</v>
      </c>
      <c r="AB8" s="218">
        <f t="shared" si="2"/>
        <v>0</v>
      </c>
      <c r="AC8" s="219">
        <f>IFERROR(VLOOKUP($B$1,'Indicadores Financeiros'!$B$114:$J$119,7,FALSE),0)</f>
        <v>5.2600000000000001E-2</v>
      </c>
      <c r="AD8" s="214">
        <f>ROUND(AB8*AC8,2)</f>
        <v>0</v>
      </c>
      <c r="AE8" s="220">
        <f>ROUND(AB8+AD8,2)</f>
        <v>0</v>
      </c>
      <c r="AF8" s="226"/>
      <c r="AH8" s="226"/>
    </row>
    <row r="9" spans="1:34" ht="25.5" x14ac:dyDescent="0.25">
      <c r="A9" s="211">
        <v>551192</v>
      </c>
      <c r="B9" s="212" t="str">
        <f>'Indicadores Financeiros'!B86</f>
        <v xml:space="preserve">Técnico Elétrico/ Eletrônico/ Eletrotécnico, especializado em refrigeração </v>
      </c>
      <c r="C9" s="213">
        <v>3</v>
      </c>
      <c r="D9" s="212" t="str">
        <f>VLOOKUP(C9,'Indicadores Financeiros'!$A$84:$G$88,2,FALSE)</f>
        <v xml:space="preserve">Técnico Elétrico/ Eletrônico/ Eletrotécnico, especializado em refrigeração </v>
      </c>
      <c r="E9" s="212" t="s">
        <v>252</v>
      </c>
      <c r="F9" s="212" t="s">
        <v>192</v>
      </c>
      <c r="G9" s="212">
        <v>1</v>
      </c>
      <c r="H9" s="214">
        <f>'Indicadores Financeiros'!$H$75</f>
        <v>20.75</v>
      </c>
      <c r="I9" s="215">
        <f>VLOOKUP($C9,'Indicadores Financeiros'!$A$84:$I$88,8,FALSE)</f>
        <v>0</v>
      </c>
      <c r="J9" s="215">
        <f>VLOOKUP($C9,'Indicadores Financeiros'!$A$84:$I$88,9,FALSE)</f>
        <v>0</v>
      </c>
      <c r="K9" s="215">
        <v>0</v>
      </c>
      <c r="L9" s="216">
        <f t="shared" si="0"/>
        <v>0</v>
      </c>
      <c r="M9" s="216">
        <f>ROUND('Indicadores Financeiros'!$J$64*L9,2)</f>
        <v>0</v>
      </c>
      <c r="N9" s="216">
        <f>'Indicadores Financeiros'!$J$92</f>
        <v>0</v>
      </c>
      <c r="O9" s="216">
        <f>'Indicadores Financeiros'!$J$93</f>
        <v>0</v>
      </c>
      <c r="P9" s="216">
        <f>'Indicadores Financeiros'!$J$94</f>
        <v>0</v>
      </c>
      <c r="Q9" s="216">
        <f>'Indicadores Financeiros'!$J$95</f>
        <v>0</v>
      </c>
      <c r="R9" s="216">
        <f>'Indicadores Financeiros'!$J$96</f>
        <v>0</v>
      </c>
      <c r="S9" s="216">
        <f>'Indicadores Financeiros'!$J$97</f>
        <v>0</v>
      </c>
      <c r="T9" s="216">
        <f>'Indicadores Financeiros'!$J$98</f>
        <v>0</v>
      </c>
      <c r="U9" s="216">
        <f>'Indicadores Financeiros'!$J$99</f>
        <v>0</v>
      </c>
      <c r="V9" s="216">
        <f>'Indicadores Financeiros'!$J$100</f>
        <v>0</v>
      </c>
      <c r="W9" s="216">
        <f>ROUND('Indicadores Financeiros'!$J$101*H9,2)</f>
        <v>0</v>
      </c>
      <c r="X9" s="216">
        <f>'Indicadores Financeiros'!$J$102</f>
        <v>0</v>
      </c>
      <c r="Y9" s="217">
        <f t="shared" si="1"/>
        <v>0</v>
      </c>
      <c r="Z9" s="216">
        <f>IF(ROUND((VLOOKUP($B$1,'Indicadores Financeiros'!$B$114:$J$119,8,FALSE)*H9)-($I9*6%),2)&lt;0,0,ROUND((VLOOKUP($B$1,'Indicadores Financeiros'!$B$114:$J$119,8,FALSE)*H9)-($I9*6%),2))</f>
        <v>0</v>
      </c>
      <c r="AA9" s="216">
        <f>VLOOKUP('Tabela de Códigos e Valores'!C9,'Indicadores Financeiros'!$A$106:$J$110,8,FALSE)</f>
        <v>0</v>
      </c>
      <c r="AB9" s="218">
        <f t="shared" si="2"/>
        <v>0</v>
      </c>
      <c r="AC9" s="219">
        <f>IFERROR(VLOOKUP($B$1,'Indicadores Financeiros'!$B$114:$J$119,7,FALSE),0)</f>
        <v>5.2600000000000001E-2</v>
      </c>
      <c r="AD9" s="214">
        <f t="shared" si="3"/>
        <v>0</v>
      </c>
      <c r="AE9" s="220">
        <f t="shared" si="4"/>
        <v>0</v>
      </c>
      <c r="AF9" s="226"/>
      <c r="AH9" s="226"/>
    </row>
    <row r="10" spans="1:34" x14ac:dyDescent="0.25">
      <c r="A10" s="211">
        <v>551195</v>
      </c>
      <c r="B10" s="212" t="s">
        <v>253</v>
      </c>
      <c r="C10" s="213">
        <v>2</v>
      </c>
      <c r="D10" s="212" t="str">
        <f>B10</f>
        <v>Técnico em Refrigeração Mecânico - Hora Extra Noturna</v>
      </c>
      <c r="E10" s="212" t="s">
        <v>200</v>
      </c>
      <c r="F10" s="212" t="s">
        <v>192</v>
      </c>
      <c r="G10" s="212">
        <v>1</v>
      </c>
      <c r="H10" s="214">
        <f>'Indicadores Financeiros'!$H$75</f>
        <v>20.75</v>
      </c>
      <c r="I10" s="267">
        <f>ROUND(VLOOKUP(C10,'Indicadores Financeiros'!$A$84:$J$88,8,FALSE)/220,2)</f>
        <v>0</v>
      </c>
      <c r="J10" s="267">
        <f>ROUND($J$6/220,2)</f>
        <v>0</v>
      </c>
      <c r="K10" s="267">
        <f>ROUND(SUM(I10:J10)*(1+'Indicadores Financeiros'!$H$77)*(1+'Indicadores Financeiros'!$H$78)-SUM(I10:J10),2)</f>
        <v>0</v>
      </c>
      <c r="L10" s="268">
        <f t="shared" ref="L10:L15" si="5">ROUND(SUM(I10:K10),2)</f>
        <v>0</v>
      </c>
      <c r="M10" s="268">
        <f>ROUND('Indicadores Financeiros'!$J$64*L10,2)</f>
        <v>0</v>
      </c>
      <c r="N10" s="268"/>
      <c r="O10" s="268"/>
      <c r="P10" s="268"/>
      <c r="Q10" s="268"/>
      <c r="R10" s="268"/>
      <c r="S10" s="268"/>
      <c r="T10" s="268"/>
      <c r="U10" s="268"/>
      <c r="V10" s="268"/>
      <c r="W10" s="268"/>
      <c r="X10" s="268"/>
      <c r="Y10" s="269">
        <f t="shared" si="1"/>
        <v>0</v>
      </c>
      <c r="Z10" s="268"/>
      <c r="AA10" s="268"/>
      <c r="AB10" s="218">
        <f t="shared" si="2"/>
        <v>0</v>
      </c>
      <c r="AC10" s="270">
        <f>IFERROR(VLOOKUP($B$1,'Indicadores Financeiros'!$B$114:$J$119,7,FALSE),0)</f>
        <v>5.2600000000000001E-2</v>
      </c>
      <c r="AD10" s="214">
        <f t="shared" ref="AD10:AD15" si="6">ROUND(AB10*AC10,2)</f>
        <v>0</v>
      </c>
      <c r="AE10" s="220">
        <f t="shared" si="4"/>
        <v>0</v>
      </c>
      <c r="AF10" s="226"/>
      <c r="AH10" s="226"/>
    </row>
    <row r="11" spans="1:34" x14ac:dyDescent="0.25">
      <c r="A11" s="211">
        <v>551196</v>
      </c>
      <c r="B11" s="212" t="s">
        <v>254</v>
      </c>
      <c r="C11" s="213">
        <v>2</v>
      </c>
      <c r="D11" s="212" t="str">
        <f t="shared" ref="D11:D15" si="7">B11</f>
        <v>Técnico em Refrigeração Mecânico - Hora Extra Sábado</v>
      </c>
      <c r="E11" s="212" t="s">
        <v>200</v>
      </c>
      <c r="F11" s="212" t="s">
        <v>192</v>
      </c>
      <c r="G11" s="212">
        <v>1</v>
      </c>
      <c r="H11" s="214">
        <f>'Indicadores Financeiros'!$H$75</f>
        <v>20.75</v>
      </c>
      <c r="I11" s="267">
        <f>ROUND(VLOOKUP(C11,'Indicadores Financeiros'!$A$84:$J$88,8,FALSE)/220,2)</f>
        <v>0</v>
      </c>
      <c r="J11" s="267">
        <f t="shared" ref="J11:J12" si="8">ROUND($J$6/220,2)</f>
        <v>0</v>
      </c>
      <c r="K11" s="267">
        <f>ROUND('Indicadores Financeiros'!$H$79*SUM('Tabela de Códigos e Valores'!I11:J11),2)</f>
        <v>0</v>
      </c>
      <c r="L11" s="268">
        <f t="shared" si="5"/>
        <v>0</v>
      </c>
      <c r="M11" s="268">
        <f>ROUND('Indicadores Financeiros'!$J$64*L11,2)</f>
        <v>0</v>
      </c>
      <c r="N11" s="268"/>
      <c r="O11" s="268"/>
      <c r="P11" s="268"/>
      <c r="Q11" s="268"/>
      <c r="R11" s="268"/>
      <c r="S11" s="268"/>
      <c r="T11" s="268"/>
      <c r="U11" s="268"/>
      <c r="V11" s="268"/>
      <c r="W11" s="268">
        <f>ROUND('Indicadores Financeiros'!$J$101/6,2)</f>
        <v>0</v>
      </c>
      <c r="X11" s="268"/>
      <c r="Y11" s="269">
        <f t="shared" si="1"/>
        <v>0</v>
      </c>
      <c r="Z11" s="268">
        <f>VLOOKUP($B$1,'Indicadores Financeiros'!$B$114:$J$119,8,FALSE)/8</f>
        <v>0</v>
      </c>
      <c r="AA11" s="268"/>
      <c r="AB11" s="218">
        <f t="shared" si="2"/>
        <v>0</v>
      </c>
      <c r="AC11" s="270">
        <f>IFERROR(VLOOKUP($B$1,'Indicadores Financeiros'!$B$114:$J$119,7,FALSE),0)</f>
        <v>5.2600000000000001E-2</v>
      </c>
      <c r="AD11" s="214">
        <f t="shared" si="6"/>
        <v>0</v>
      </c>
      <c r="AE11" s="220">
        <f t="shared" si="4"/>
        <v>0</v>
      </c>
      <c r="AF11" s="226"/>
      <c r="AH11" s="226"/>
    </row>
    <row r="12" spans="1:34" ht="25.5" x14ac:dyDescent="0.25">
      <c r="A12" s="211">
        <v>551197</v>
      </c>
      <c r="B12" s="212" t="s">
        <v>255</v>
      </c>
      <c r="C12" s="213">
        <v>2</v>
      </c>
      <c r="D12" s="212" t="str">
        <f t="shared" si="7"/>
        <v>Técnico em Refrigeração Mecânico - Hora Extra Domingo e Feriado</v>
      </c>
      <c r="E12" s="212" t="s">
        <v>200</v>
      </c>
      <c r="F12" s="212" t="s">
        <v>192</v>
      </c>
      <c r="G12" s="212">
        <v>1</v>
      </c>
      <c r="H12" s="214">
        <f>'Indicadores Financeiros'!$H$75</f>
        <v>20.75</v>
      </c>
      <c r="I12" s="267">
        <f>ROUND(VLOOKUP(C12,'Indicadores Financeiros'!$A$84:$J$88,8,FALSE)/220,2)</f>
        <v>0</v>
      </c>
      <c r="J12" s="267">
        <f t="shared" si="8"/>
        <v>0</v>
      </c>
      <c r="K12" s="267">
        <f>ROUND('Indicadores Financeiros'!$H$80*SUM('Tabela de Códigos e Valores'!I12:J12),2)</f>
        <v>0</v>
      </c>
      <c r="L12" s="268">
        <f t="shared" si="5"/>
        <v>0</v>
      </c>
      <c r="M12" s="268">
        <f>ROUND('Indicadores Financeiros'!$J$64*L12,2)</f>
        <v>0</v>
      </c>
      <c r="N12" s="268"/>
      <c r="O12" s="268"/>
      <c r="P12" s="268"/>
      <c r="Q12" s="268"/>
      <c r="R12" s="268"/>
      <c r="S12" s="268"/>
      <c r="T12" s="268"/>
      <c r="U12" s="268"/>
      <c r="V12" s="268"/>
      <c r="W12" s="268">
        <f>ROUND('Indicadores Financeiros'!$J$101/6,2)</f>
        <v>0</v>
      </c>
      <c r="X12" s="268"/>
      <c r="Y12" s="269">
        <f t="shared" si="1"/>
        <v>0</v>
      </c>
      <c r="Z12" s="268">
        <f>VLOOKUP($B$1,'Indicadores Financeiros'!$B$114:$J$119,8,FALSE)/8</f>
        <v>0</v>
      </c>
      <c r="AA12" s="268"/>
      <c r="AB12" s="218">
        <f t="shared" si="2"/>
        <v>0</v>
      </c>
      <c r="AC12" s="270">
        <f>IFERROR(VLOOKUP($B$1,'Indicadores Financeiros'!$B$114:$J$119,7,FALSE),0)</f>
        <v>5.2600000000000001E-2</v>
      </c>
      <c r="AD12" s="214">
        <f t="shared" si="6"/>
        <v>0</v>
      </c>
      <c r="AE12" s="220">
        <f t="shared" si="4"/>
        <v>0</v>
      </c>
      <c r="AF12" s="226"/>
      <c r="AH12" s="226"/>
    </row>
    <row r="13" spans="1:34" x14ac:dyDescent="0.25">
      <c r="A13" s="211">
        <v>551198</v>
      </c>
      <c r="B13" s="212" t="s">
        <v>256</v>
      </c>
      <c r="C13" s="213">
        <v>5</v>
      </c>
      <c r="D13" s="212" t="str">
        <f t="shared" si="7"/>
        <v>Auxiliar Técnico em Refrigeração - Hora Extra Noturna</v>
      </c>
      <c r="E13" s="212" t="s">
        <v>200</v>
      </c>
      <c r="F13" s="212" t="s">
        <v>192</v>
      </c>
      <c r="G13" s="212">
        <v>1</v>
      </c>
      <c r="H13" s="214">
        <f>'Indicadores Financeiros'!$H$75</f>
        <v>20.75</v>
      </c>
      <c r="I13" s="267">
        <f>ROUND(VLOOKUP(C13,'Indicadores Financeiros'!$A$84:$J$88,8,FALSE)/220,2)</f>
        <v>0</v>
      </c>
      <c r="J13" s="267">
        <f>ROUND($J$8/220,2)</f>
        <v>0</v>
      </c>
      <c r="K13" s="267">
        <f>ROUND((SUM('Tabela de Códigos e Valores'!I13:J13)*(1+'Indicadores Financeiros'!$H$77)*(1+'Indicadores Financeiros'!$H$78)-SUM('Tabela de Códigos e Valores'!I13:J13)),2)</f>
        <v>0</v>
      </c>
      <c r="L13" s="268">
        <f t="shared" si="5"/>
        <v>0</v>
      </c>
      <c r="M13" s="268">
        <f>ROUND('Indicadores Financeiros'!$J$64*L13,2)</f>
        <v>0</v>
      </c>
      <c r="N13" s="268"/>
      <c r="O13" s="268"/>
      <c r="P13" s="268"/>
      <c r="Q13" s="268"/>
      <c r="R13" s="268"/>
      <c r="S13" s="268"/>
      <c r="T13" s="268"/>
      <c r="U13" s="268"/>
      <c r="V13" s="268"/>
      <c r="W13" s="268"/>
      <c r="X13" s="268"/>
      <c r="Y13" s="269">
        <f t="shared" si="1"/>
        <v>0</v>
      </c>
      <c r="Z13" s="268"/>
      <c r="AA13" s="268"/>
      <c r="AB13" s="218">
        <f t="shared" si="2"/>
        <v>0</v>
      </c>
      <c r="AC13" s="270">
        <f>IFERROR(VLOOKUP($B$1,'Indicadores Financeiros'!$B$114:$J$119,7,FALSE),0)</f>
        <v>5.2600000000000001E-2</v>
      </c>
      <c r="AD13" s="214">
        <f t="shared" si="6"/>
        <v>0</v>
      </c>
      <c r="AE13" s="220">
        <f t="shared" si="4"/>
        <v>0</v>
      </c>
      <c r="AF13" s="226"/>
      <c r="AH13" s="226"/>
    </row>
    <row r="14" spans="1:34" x14ac:dyDescent="0.25">
      <c r="A14" s="211">
        <v>551199</v>
      </c>
      <c r="B14" s="212" t="s">
        <v>257</v>
      </c>
      <c r="C14" s="213">
        <v>5</v>
      </c>
      <c r="D14" s="212" t="str">
        <f t="shared" si="7"/>
        <v>Auxiliar Técnico em Refrigeração - Hora Extra Sábado</v>
      </c>
      <c r="E14" s="212" t="s">
        <v>200</v>
      </c>
      <c r="F14" s="212" t="s">
        <v>192</v>
      </c>
      <c r="G14" s="212">
        <v>1</v>
      </c>
      <c r="H14" s="214">
        <f>'Indicadores Financeiros'!$H$75</f>
        <v>20.75</v>
      </c>
      <c r="I14" s="267">
        <f>ROUND(VLOOKUP(C14,'Indicadores Financeiros'!$A$84:$J$88,8,FALSE)/220,2)</f>
        <v>0</v>
      </c>
      <c r="J14" s="267">
        <f t="shared" ref="J14:J15" si="9">ROUND($J$8/220,2)</f>
        <v>0</v>
      </c>
      <c r="K14" s="267">
        <f>ROUND('Indicadores Financeiros'!$H$79*SUM('Tabela de Códigos e Valores'!I14:J14),2)</f>
        <v>0</v>
      </c>
      <c r="L14" s="268">
        <f t="shared" si="5"/>
        <v>0</v>
      </c>
      <c r="M14" s="268">
        <f>ROUND('Indicadores Financeiros'!$J$64*L14,2)</f>
        <v>0</v>
      </c>
      <c r="N14" s="268"/>
      <c r="O14" s="268"/>
      <c r="P14" s="268"/>
      <c r="Q14" s="268"/>
      <c r="R14" s="268"/>
      <c r="S14" s="268"/>
      <c r="T14" s="268"/>
      <c r="U14" s="268"/>
      <c r="V14" s="268"/>
      <c r="W14" s="268">
        <f>ROUND('Indicadores Financeiros'!$J$101/6,2)</f>
        <v>0</v>
      </c>
      <c r="X14" s="268"/>
      <c r="Y14" s="269">
        <f t="shared" si="1"/>
        <v>0</v>
      </c>
      <c r="Z14" s="268">
        <f>VLOOKUP($B$1,'Indicadores Financeiros'!$B$114:$J$119,8,FALSE)/8</f>
        <v>0</v>
      </c>
      <c r="AA14" s="268"/>
      <c r="AB14" s="218">
        <f t="shared" si="2"/>
        <v>0</v>
      </c>
      <c r="AC14" s="270">
        <f>IFERROR(VLOOKUP($B$1,'Indicadores Financeiros'!$B$114:$J$119,7,FALSE),0)</f>
        <v>5.2600000000000001E-2</v>
      </c>
      <c r="AD14" s="214">
        <f t="shared" si="6"/>
        <v>0</v>
      </c>
      <c r="AE14" s="220">
        <f t="shared" si="4"/>
        <v>0</v>
      </c>
      <c r="AF14" s="226"/>
      <c r="AH14" s="226"/>
    </row>
    <row r="15" spans="1:34" ht="25.5" x14ac:dyDescent="0.25">
      <c r="A15" s="211">
        <v>551200</v>
      </c>
      <c r="B15" s="212" t="s">
        <v>258</v>
      </c>
      <c r="C15" s="213">
        <v>5</v>
      </c>
      <c r="D15" s="212" t="str">
        <f t="shared" si="7"/>
        <v>Auxiliar Técnico em Refrigeração - Hora Extra Domingos e Feriados</v>
      </c>
      <c r="E15" s="212" t="s">
        <v>200</v>
      </c>
      <c r="F15" s="212" t="s">
        <v>192</v>
      </c>
      <c r="G15" s="212">
        <v>1</v>
      </c>
      <c r="H15" s="214">
        <f>'Indicadores Financeiros'!$H$75</f>
        <v>20.75</v>
      </c>
      <c r="I15" s="267">
        <f>ROUND(VLOOKUP(C15,'Indicadores Financeiros'!$A$84:$J$88,8,FALSE)/220,2)</f>
        <v>0</v>
      </c>
      <c r="J15" s="267">
        <f t="shared" si="9"/>
        <v>0</v>
      </c>
      <c r="K15" s="267">
        <f>ROUND(SUM(I15:J15)*'Indicadores Financeiros'!$H$80,2)</f>
        <v>0</v>
      </c>
      <c r="L15" s="268">
        <f t="shared" si="5"/>
        <v>0</v>
      </c>
      <c r="M15" s="268">
        <f>ROUND('Indicadores Financeiros'!$J$64*L15,2)</f>
        <v>0</v>
      </c>
      <c r="N15" s="268"/>
      <c r="O15" s="268"/>
      <c r="P15" s="268"/>
      <c r="Q15" s="268"/>
      <c r="R15" s="268"/>
      <c r="S15" s="268"/>
      <c r="T15" s="268"/>
      <c r="U15" s="268"/>
      <c r="V15" s="268"/>
      <c r="W15" s="268">
        <f>ROUND('Indicadores Financeiros'!$J$101/6,2)</f>
        <v>0</v>
      </c>
      <c r="X15" s="268"/>
      <c r="Y15" s="269">
        <f t="shared" si="1"/>
        <v>0</v>
      </c>
      <c r="Z15" s="268">
        <f>VLOOKUP($B$1,'Indicadores Financeiros'!$B$114:$J$119,8,FALSE)/8</f>
        <v>0</v>
      </c>
      <c r="AA15" s="268"/>
      <c r="AB15" s="218">
        <f t="shared" si="2"/>
        <v>0</v>
      </c>
      <c r="AC15" s="270">
        <f>IFERROR(VLOOKUP($B$1,'Indicadores Financeiros'!$B$114:$J$119,7,FALSE),0)</f>
        <v>5.2600000000000001E-2</v>
      </c>
      <c r="AD15" s="214">
        <f t="shared" si="6"/>
        <v>0</v>
      </c>
      <c r="AE15" s="220">
        <f t="shared" si="4"/>
        <v>0</v>
      </c>
      <c r="AF15" s="226"/>
      <c r="AH15" s="226"/>
    </row>
    <row r="16" spans="1:34" x14ac:dyDescent="0.25">
      <c r="I16" s="226"/>
    </row>
    <row r="17" spans="9:23" x14ac:dyDescent="0.25">
      <c r="I17" s="226"/>
      <c r="J17" s="234"/>
      <c r="K17" s="234"/>
      <c r="L17" s="226"/>
    </row>
    <row r="18" spans="9:23" x14ac:dyDescent="0.25">
      <c r="I18" s="226"/>
      <c r="J18" s="234"/>
      <c r="K18" s="234"/>
      <c r="L18" s="226"/>
      <c r="W18" s="226"/>
    </row>
    <row r="19" spans="9:23" x14ac:dyDescent="0.25">
      <c r="I19" s="226"/>
      <c r="J19" s="234"/>
      <c r="K19" s="234"/>
    </row>
    <row r="20" spans="9:23" x14ac:dyDescent="0.25">
      <c r="I20" s="226"/>
      <c r="J20" s="234"/>
      <c r="K20" s="234"/>
    </row>
    <row r="21" spans="9:23" x14ac:dyDescent="0.25">
      <c r="I21" s="226"/>
      <c r="J21" s="234"/>
    </row>
  </sheetData>
  <sheetProtection algorithmName="SHA-512" hashValue="3CfTiPv+UMLtl6sZo/u9ewtKKQQ/k6OkETzTEuCrhSG2uFawsefnPX6pxYgl6T8Lo2cxgtfz0ZWdRJ+rMlAeRA==" saltValue="taY+IKsuJ4/Ciaykc2GE7A==" spinCount="100000" sheet="1" objects="1" scenarios="1"/>
  <autoFilter ref="A4:AE15" xr:uid="{00000000-0009-0000-0000-000006000000}"/>
  <mergeCells count="19">
    <mergeCell ref="A3:A4"/>
    <mergeCell ref="B3:B4"/>
    <mergeCell ref="D3:D4"/>
    <mergeCell ref="C3:C4"/>
    <mergeCell ref="E3:E4"/>
    <mergeCell ref="F3:F4"/>
    <mergeCell ref="AE3:AE4"/>
    <mergeCell ref="L3:L4"/>
    <mergeCell ref="Z3:Z4"/>
    <mergeCell ref="AA3:AA4"/>
    <mergeCell ref="N3:Y3"/>
    <mergeCell ref="AB3:AB4"/>
    <mergeCell ref="AC3:AD3"/>
    <mergeCell ref="J3:J4"/>
    <mergeCell ref="I3:I4"/>
    <mergeCell ref="H3:H4"/>
    <mergeCell ref="M3:M4"/>
    <mergeCell ref="G3:G4"/>
    <mergeCell ref="K3:K4"/>
  </mergeCells>
  <printOptions horizontalCentered="1"/>
  <pageMargins left="0.31496062992125984" right="0.15748031496062992" top="0.47244094488188981" bottom="0.62992125984251968" header="0.23622047244094491" footer="0.31496062992125984"/>
  <pageSetup paperSize="9" scale="28" orientation="landscape" r:id="rId1"/>
  <headerFooter>
    <oddHeader>&amp;C&amp;"-,Negrito"Planilha de Composição de Custos</oddHeader>
    <oddFooter>&amp;C&amp;P</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0000000}">
          <x14:formula1>
            <xm:f>'Indicadores Financeiros'!$B$114:$B$119</xm:f>
          </x14:formula1>
          <xm:sqref>B1</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9B8495ABF8FC67488CC8C4A064F30999" ma:contentTypeVersion="19" ma:contentTypeDescription="Crie um novo documento." ma:contentTypeScope="" ma:versionID="1ea6aefbd99065ca85499217826da319">
  <xsd:schema xmlns:xsd="http://www.w3.org/2001/XMLSchema" xmlns:xs="http://www.w3.org/2001/XMLSchema" xmlns:p="http://schemas.microsoft.com/office/2006/metadata/properties" xmlns:ns2="2394a398-d666-4b03-95e5-f25ddeadb0ce" xmlns:ns3="61d53272-842b-45d3-bf59-100e224a2800" targetNamespace="http://schemas.microsoft.com/office/2006/metadata/properties" ma:root="true" ma:fieldsID="ed84dc550403759ee52e3507da10a0aa" ns2:_="" ns3:_="">
    <xsd:import namespace="2394a398-d666-4b03-95e5-f25ddeadb0ce"/>
    <xsd:import namespace="61d53272-842b-45d3-bf59-100e224a2800"/>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DataeHor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394a398-d666-4b03-95e5-f25ddeadb0c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DataeHora" ma:index="14" nillable="true" ma:displayName="Data e Hora" ma:format="DateTime" ma:internalName="DataeHora">
      <xsd:simpleType>
        <xsd:restriction base="dms:DateTime"/>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lcf76f155ced4ddcb4097134ff3c332f" ma:index="23" nillable="true" ma:taxonomy="true" ma:internalName="lcf76f155ced4ddcb4097134ff3c332f" ma:taxonomyFieldName="MediaServiceImageTags" ma:displayName="Marcações de imagem" ma:readOnly="false" ma:fieldId="{5cf76f15-5ced-4ddc-b409-7134ff3c332f}" ma:taxonomyMulti="true" ma:sspId="09e0922a-a576-4ac9-82f5-36725c33d7e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1d53272-842b-45d3-bf59-100e224a2800" elementFormDefault="qualified">
    <xsd:import namespace="http://schemas.microsoft.com/office/2006/documentManagement/types"/>
    <xsd:import namespace="http://schemas.microsoft.com/office/infopath/2007/PartnerControls"/>
    <xsd:element name="SharedWithUsers" ma:index="12" nillable="true" ma:displayName="Com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hes de Compartilhado Com" ma:internalName="SharedWithDetails" ma:readOnly="true">
      <xsd:simpleType>
        <xsd:restriction base="dms:Note">
          <xsd:maxLength value="255"/>
        </xsd:restriction>
      </xsd:simpleType>
    </xsd:element>
    <xsd:element name="TaxCatchAll" ma:index="24" nillable="true" ma:displayName="Taxonomy Catch All Column" ma:hidden="true" ma:list="{e37ed312-3026-41f5-9a15-4b0c3ccb9f70}" ma:internalName="TaxCatchAll" ma:showField="CatchAllData" ma:web="61d53272-842b-45d3-bf59-100e224a280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394a398-d666-4b03-95e5-f25ddeadb0ce">
      <Terms xmlns="http://schemas.microsoft.com/office/infopath/2007/PartnerControls"/>
    </lcf76f155ced4ddcb4097134ff3c332f>
    <TaxCatchAll xmlns="61d53272-842b-45d3-bf59-100e224a2800" xsi:nil="true"/>
    <DataeHora xmlns="2394a398-d666-4b03-95e5-f25ddeadb0ce" xsi:nil="true"/>
  </documentManagement>
</p:properties>
</file>

<file path=customXml/itemProps1.xml><?xml version="1.0" encoding="utf-8"?>
<ds:datastoreItem xmlns:ds="http://schemas.openxmlformats.org/officeDocument/2006/customXml" ds:itemID="{E7BB24C4-9B22-4F96-9A6D-EDE529FBF50A}">
  <ds:schemaRefs>
    <ds:schemaRef ds:uri="http://schemas.microsoft.com/sharepoint/v3/contenttype/forms"/>
  </ds:schemaRefs>
</ds:datastoreItem>
</file>

<file path=customXml/itemProps2.xml><?xml version="1.0" encoding="utf-8"?>
<ds:datastoreItem xmlns:ds="http://schemas.openxmlformats.org/officeDocument/2006/customXml" ds:itemID="{2E923B21-54E1-4A3F-8363-101AB8EF24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394a398-d666-4b03-95e5-f25ddeadb0ce"/>
    <ds:schemaRef ds:uri="61d53272-842b-45d3-bf59-100e224a280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41877D3-443A-44B7-9455-6EFE234A84FF}">
  <ds:schemaRefs>
    <ds:schemaRef ds:uri="6b7c8730-a88d-4646-adae-a7acf4fe76de"/>
    <ds:schemaRef ds:uri="http://schemas.microsoft.com/office/2006/documentManagement/types"/>
    <ds:schemaRef ds:uri="http://purl.org/dc/dcmitype/"/>
    <ds:schemaRef ds:uri="http://purl.org/dc/elements/1.1/"/>
    <ds:schemaRef ds:uri="http://schemas.microsoft.com/office/2006/metadata/properties"/>
    <ds:schemaRef ds:uri="http://purl.org/dc/terms/"/>
    <ds:schemaRef ds:uri="http://schemas.microsoft.com/office/infopath/2007/PartnerControls"/>
    <ds:schemaRef ds:uri="http://www.w3.org/XML/1998/namespace"/>
    <ds:schemaRef ds:uri="25a0eb21-4c73-484f-900e-07f062c08868"/>
    <ds:schemaRef ds:uri="http://schemas.openxmlformats.org/package/2006/metadata/core-properties"/>
    <ds:schemaRef ds:uri="2394a398-d666-4b03-95e5-f25ddeadb0ce"/>
    <ds:schemaRef ds:uri="61d53272-842b-45d3-bf59-100e224a280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11</vt:i4>
      </vt:variant>
    </vt:vector>
  </HeadingPairs>
  <TitlesOfParts>
    <vt:vector size="20" baseType="lpstr">
      <vt:lpstr>Home</vt:lpstr>
      <vt:lpstr>Dados Cadastrais</vt:lpstr>
      <vt:lpstr>Indicadores Financeiros</vt:lpstr>
      <vt:lpstr>Relatório Custo</vt:lpstr>
      <vt:lpstr>Horas Extras</vt:lpstr>
      <vt:lpstr>Custo  Resumido</vt:lpstr>
      <vt:lpstr>Custo  Resumido por local</vt:lpstr>
      <vt:lpstr>Custo por Função</vt:lpstr>
      <vt:lpstr>Tabela de Códigos e Valores</vt:lpstr>
      <vt:lpstr>'Custo  Resumido'!Area_de_impressao</vt:lpstr>
      <vt:lpstr>'Custo  Resumido por local'!Area_de_impressao</vt:lpstr>
      <vt:lpstr>'Custo por Função'!Area_de_impressao</vt:lpstr>
      <vt:lpstr>'Dados Cadastrais'!Area_de_impressao</vt:lpstr>
      <vt:lpstr>Home!Area_de_impressao</vt:lpstr>
      <vt:lpstr>'Horas Extras'!Area_de_impressao</vt:lpstr>
      <vt:lpstr>'Indicadores Financeiros'!Area_de_impressao</vt:lpstr>
      <vt:lpstr>'Relatório Custo'!Area_de_impressao</vt:lpstr>
      <vt:lpstr>'Tabela de Códigos e Valores'!Area_de_impressao</vt:lpstr>
      <vt:lpstr>'Relatório Custo'!Titulos_de_impressao</vt:lpstr>
      <vt:lpstr>'Tabela de Códigos e Valores'!Titulos_de_impressao</vt:lpstr>
    </vt:vector>
  </TitlesOfParts>
  <Manager/>
  <Company>Tribunal de Justiça do Estado de São Paulo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imgaem</dc:creator>
  <cp:keywords/>
  <dc:description/>
  <cp:lastModifiedBy>MARCELLO YOSHIKAZU YOKOMISO</cp:lastModifiedBy>
  <cp:revision/>
  <cp:lastPrinted>2026-08-15T18:31:20Z</cp:lastPrinted>
  <dcterms:created xsi:type="dcterms:W3CDTF">2016-04-25T14:08:48Z</dcterms:created>
  <dcterms:modified xsi:type="dcterms:W3CDTF">2026-08-17T12:40:52Z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0x0101009B8495ABF8FC67488CC8C4A064F30999</vt:lpwstr>
  </property>
  <property fmtid="{D5CDD505-2E9C-101B-9397-08002B2CF9AE}" pid="3" name="WorkbookGuid">
    <vt:lpwstr>2271443d-021a-4059-a5f4-c381df56440e</vt:lpwstr>
  </property>
  <property fmtid="{D5CDD505-2E9C-101B-9397-08002B2CF9AE}" pid="4" name="MediaServiceImageTags">
    <vt:lpwstr/>
  </property>
</Properties>
</file>

<file path=userCustomization/customUI.xml><?xml version="1.0" encoding="utf-8"?>
<mso:customUI xmlns:mso="http://schemas.microsoft.com/office/2006/01/customui">
  <mso:ribbon>
    <mso:qat>
      <mso:documentControls>
        <mso:control idQ="mso:FileLinksToFiles" visible="true"/>
      </mso:documentControls>
    </mso:qat>
  </mso:ribbon>
</mso:customUI>
</file>