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8_{A2AFB72A-B144-499E-9353-E4C22BCBC346}" xr6:coauthVersionLast="47" xr6:coauthVersionMax="47" xr10:uidLastSave="{00000000-0000-0000-0000-000000000000}"/>
  <bookViews>
    <workbookView xWindow="2295" yWindow="2295" windowWidth="15375" windowHeight="7875" xr2:uid="{00000000-000D-0000-FFFF-FFFF00000000}"/>
  </bookViews>
  <sheets>
    <sheet name="PLANILHA DE CUSTO" sheetId="4" r:id="rId1"/>
    <sheet name="METODOLOGIA" sheetId="6" r:id="rId2"/>
    <sheet name="VEÍCULOS" sheetId="3" r:id="rId3"/>
  </sheets>
  <definedNames>
    <definedName name="_xlnm.Print_Area" localSheetId="0">'PLANILHA DE CUSTO'!$A$1:$F$55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3" l="1"/>
  <c r="G4" i="3"/>
  <c r="G3" i="3"/>
  <c r="B47" i="4" l="1"/>
  <c r="A41" i="4" l="1"/>
  <c r="A51" i="4"/>
  <c r="D45" i="4" s="1"/>
  <c r="A47" i="4"/>
  <c r="B45" i="4" s="1"/>
  <c r="D23" i="4"/>
  <c r="A49" i="4"/>
  <c r="C45" i="4" s="1"/>
  <c r="B37" i="4"/>
  <c r="A37" i="4" s="1"/>
  <c r="B27" i="4" s="1"/>
  <c r="C11" i="4"/>
  <c r="C23" i="4"/>
  <c r="C33" i="4"/>
  <c r="A33" i="4" s="1"/>
  <c r="D21" i="4" s="1"/>
  <c r="C29" i="4"/>
  <c r="A29" i="4" s="1"/>
  <c r="B31" i="4" s="1"/>
  <c r="A31" i="4" s="1"/>
  <c r="C21" i="4" s="1"/>
  <c r="A11" i="4"/>
  <c r="C27" i="4" s="1"/>
  <c r="F6" i="4"/>
  <c r="D6" i="4"/>
  <c r="B21" i="4" l="1"/>
  <c r="A35" i="4"/>
  <c r="B25" i="4" s="1"/>
  <c r="A21" i="4"/>
  <c r="B19" i="4" s="1"/>
  <c r="C53" i="4"/>
  <c r="A53" i="4" s="1"/>
  <c r="E45" i="4" s="1"/>
  <c r="A45" i="4" s="1"/>
  <c r="C15" i="4" s="1"/>
  <c r="C25" i="4"/>
  <c r="D11" i="4"/>
  <c r="B23" i="4" s="1"/>
  <c r="A23" i="4" s="1"/>
  <c r="C19" i="4" s="1"/>
  <c r="A27" i="4"/>
  <c r="E19" i="4" s="1"/>
  <c r="A25" i="4" l="1"/>
  <c r="D19" i="4" s="1"/>
  <c r="A19" i="4" s="1"/>
  <c r="B15" i="4" s="1"/>
  <c r="E37" i="4" l="1"/>
  <c r="A15" i="4"/>
  <c r="D15" i="4" s="1"/>
  <c r="E15" i="4"/>
  <c r="F15" i="4" s="1"/>
</calcChain>
</file>

<file path=xl/sharedStrings.xml><?xml version="1.0" encoding="utf-8"?>
<sst xmlns="http://schemas.openxmlformats.org/spreadsheetml/2006/main" count="152" uniqueCount="104">
  <si>
    <t>DPVAT</t>
  </si>
  <si>
    <t>IPVA</t>
  </si>
  <si>
    <t>Linha</t>
  </si>
  <si>
    <t>Marca</t>
  </si>
  <si>
    <t>Modelo</t>
  </si>
  <si>
    <t>Ano Modelo</t>
  </si>
  <si>
    <t>Ano Fabricação</t>
  </si>
  <si>
    <t>Valor Fipe</t>
  </si>
  <si>
    <t>Depreciação</t>
  </si>
  <si>
    <t>Km/mês</t>
  </si>
  <si>
    <t>IPVA/mês</t>
  </si>
  <si>
    <t>DPVAT/mês</t>
  </si>
  <si>
    <t>Custos Fixos</t>
  </si>
  <si>
    <t>Custos Variáveis</t>
  </si>
  <si>
    <t>Renuberação do Capital</t>
  </si>
  <si>
    <t>Custo com Pessoal</t>
  </si>
  <si>
    <t>Custos Administrativos</t>
  </si>
  <si>
    <t>Combustível</t>
  </si>
  <si>
    <t>Lubrificantes</t>
  </si>
  <si>
    <t>Rodagem</t>
  </si>
  <si>
    <t>Peças e Acessórios</t>
  </si>
  <si>
    <t>Custo Total</t>
  </si>
  <si>
    <t>10 x Custos Váriáveis</t>
  </si>
  <si>
    <t>12 x Custos Fixos</t>
  </si>
  <si>
    <t>Seguros</t>
  </si>
  <si>
    <t>Ano Letivo</t>
  </si>
  <si>
    <t>Km/dia</t>
  </si>
  <si>
    <t>Dias/mês</t>
  </si>
  <si>
    <t>Dias Letivos</t>
  </si>
  <si>
    <t>Km/ano</t>
  </si>
  <si>
    <t>Mês de referência:</t>
  </si>
  <si>
    <t>Código Fipe:</t>
  </si>
  <si>
    <t>Marca:</t>
  </si>
  <si>
    <t>Modelo:</t>
  </si>
  <si>
    <t>Ano Modelo:</t>
  </si>
  <si>
    <t>Autenticação</t>
  </si>
  <si>
    <t>Data da consulta</t>
  </si>
  <si>
    <t>Preço Médio</t>
  </si>
  <si>
    <t>Mercedes-Benz</t>
  </si>
  <si>
    <t>Salário/mês</t>
  </si>
  <si>
    <t>Custo Total/ano</t>
  </si>
  <si>
    <t>Custo Fixo/mês</t>
  </si>
  <si>
    <t>Custo Variável/mês</t>
  </si>
  <si>
    <t>Custo Total/Km</t>
  </si>
  <si>
    <t>Custo Total/dia</t>
  </si>
  <si>
    <t>Pessoal/mês</t>
  </si>
  <si>
    <t>Adminstrativo/mês</t>
  </si>
  <si>
    <t>Depreciação/mês</t>
  </si>
  <si>
    <t>Motorista/mês</t>
  </si>
  <si>
    <t>Pessoal Manutenção/mês</t>
  </si>
  <si>
    <t>Monitor/mês</t>
  </si>
  <si>
    <t>Administrativo/mês</t>
  </si>
  <si>
    <t>Coeficicente</t>
  </si>
  <si>
    <t>Idade Média</t>
  </si>
  <si>
    <t>Encargos/mês</t>
  </si>
  <si>
    <t>Remuneração do Capital/mês</t>
  </si>
  <si>
    <t>Coeficiente</t>
  </si>
  <si>
    <t>SRC</t>
  </si>
  <si>
    <t>SRC/mês</t>
  </si>
  <si>
    <t>Vida Útil</t>
  </si>
  <si>
    <t>Valor Residual</t>
  </si>
  <si>
    <t>Coeficiente Idade Média</t>
  </si>
  <si>
    <t>Coeficiente Depreciação</t>
  </si>
  <si>
    <t>Coeficiente de Remuneração</t>
  </si>
  <si>
    <t>TRC (Taxa de Remunração)</t>
  </si>
  <si>
    <t>Custo Fixo/Km</t>
  </si>
  <si>
    <t>Custo Variável/Km</t>
  </si>
  <si>
    <t>Combustível/Km</t>
  </si>
  <si>
    <t>Óleos e Lubricações/Km</t>
  </si>
  <si>
    <t>Rodagem/Km</t>
  </si>
  <si>
    <t>Peças e Acessórios/Km</t>
  </si>
  <si>
    <t>Preço Médio ($/L)</t>
  </si>
  <si>
    <t>Coeficiente de Consumo (L/Km)</t>
  </si>
  <si>
    <t>Óleos e Lubrificações/Km</t>
  </si>
  <si>
    <t>Coeficiente de Consumo(L/Km)</t>
  </si>
  <si>
    <t>Preço Pneu Novo</t>
  </si>
  <si>
    <t>Número de Penus</t>
  </si>
  <si>
    <t>Preço Recapagem</t>
  </si>
  <si>
    <t>Número de Recapagens</t>
  </si>
  <si>
    <t>ESPECIFICAÇÕES GERAIS</t>
  </si>
  <si>
    <t>VEÍCULO-TIPO</t>
  </si>
  <si>
    <t>RESUMO DE CUSTOS</t>
  </si>
  <si>
    <t>Custo Total/mês</t>
  </si>
  <si>
    <t>Capacidade Mínima</t>
  </si>
  <si>
    <t>Vida Útil Pneu (Km)</t>
  </si>
  <si>
    <t>CUSTOS VARIÁVEIS</t>
  </si>
  <si>
    <t>CUSTOS FIXOS</t>
  </si>
  <si>
    <t>Preço Médio Veículo</t>
  </si>
  <si>
    <t>Pág. 2/2</t>
  </si>
  <si>
    <t>Pág. 1/2</t>
  </si>
  <si>
    <t>021437-0</t>
  </si>
  <si>
    <t>Sprinter 516 VAN E.L. T.A. 18L 2.2 Dies.</t>
  </si>
  <si>
    <t>Jumper 2.0 Minibus 16L Turbo Diesel</t>
  </si>
  <si>
    <t>2021 Diesel</t>
  </si>
  <si>
    <t>2022 Diesel</t>
  </si>
  <si>
    <t>011209-7</t>
  </si>
  <si>
    <t>Citroën</t>
  </si>
  <si>
    <t>outubro de 2023</t>
  </si>
  <si>
    <t>k41br29fyldm9</t>
  </si>
  <si>
    <t>quarta-feira, 18 de outubro de 2023 07:10</t>
  </si>
  <si>
    <t>pwx36qmrs4dm9</t>
  </si>
  <si>
    <t>quarta-feira, 18 de outubro de 2023 07:29</t>
  </si>
  <si>
    <t>nzfm40crzldj2</t>
  </si>
  <si>
    <t>SECRETARIA MUNICIPAL DE EDUCAÇÃO - CÁLCULO DE CUSTO DE TRANSPORTE ESCOLAR - LINHAS - URBANAS - 120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</si>
</sst>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5"/>
        <bgColor theme="5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</fills>
  <borders count="13">
    <border>
      <left/>
      <right/>
      <top/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  <border>
      <left/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2" fillId="3" borderId="1" xfId="0" applyFont="1" applyFill="1" applyBorder="1"/>
    <xf numFmtId="8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4" fontId="5" fillId="0" borderId="0" xfId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4" fontId="4" fillId="0" borderId="0" xfId="1" applyFont="1" applyAlignment="1">
      <alignment horizontal="center" vertical="center"/>
    </xf>
    <xf numFmtId="44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10" fontId="4" fillId="0" borderId="0" xfId="2" applyNumberFormat="1" applyFont="1" applyAlignment="1">
      <alignment horizontal="center" vertical="center"/>
    </xf>
    <xf numFmtId="44" fontId="6" fillId="6" borderId="5" xfId="0" applyNumberFormat="1" applyFont="1" applyFill="1" applyBorder="1" applyAlignment="1">
      <alignment horizontal="center" vertical="center"/>
    </xf>
    <xf numFmtId="2" fontId="4" fillId="0" borderId="0" xfId="1" applyNumberFormat="1" applyFont="1" applyAlignment="1">
      <alignment horizontal="center" vertical="center"/>
    </xf>
    <xf numFmtId="16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4" fontId="7" fillId="0" borderId="10" xfId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4" fontId="4" fillId="0" borderId="10" xfId="1" applyFont="1" applyBorder="1" applyAlignment="1">
      <alignment horizontal="center" vertical="center"/>
    </xf>
    <xf numFmtId="44" fontId="4" fillId="0" borderId="10" xfId="0" applyNumberFormat="1" applyFont="1" applyBorder="1" applyAlignment="1">
      <alignment horizontal="center" vertical="center"/>
    </xf>
    <xf numFmtId="44" fontId="4" fillId="0" borderId="0" xfId="1" applyFont="1" applyBorder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9" fontId="4" fillId="0" borderId="0" xfId="2" applyFont="1" applyBorder="1" applyAlignment="1">
      <alignment horizontal="center" vertical="center"/>
    </xf>
    <xf numFmtId="10" fontId="4" fillId="0" borderId="0" xfId="2" applyNumberFormat="1" applyFont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44" fontId="4" fillId="9" borderId="12" xfId="1" applyFont="1" applyFill="1" applyBorder="1" applyAlignment="1">
      <alignment horizontal="center" vertical="center"/>
    </xf>
    <xf numFmtId="44" fontId="5" fillId="6" borderId="5" xfId="0" applyNumberFormat="1" applyFont="1" applyFill="1" applyBorder="1" applyAlignment="1">
      <alignment horizontal="center" vertical="center"/>
    </xf>
    <xf numFmtId="44" fontId="7" fillId="8" borderId="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4" fontId="6" fillId="7" borderId="5" xfId="0" applyNumberFormat="1" applyFont="1" applyFill="1" applyBorder="1" applyAlignment="1">
      <alignment horizontal="center" vertical="center"/>
    </xf>
    <xf numFmtId="44" fontId="6" fillId="7" borderId="7" xfId="0" applyNumberFormat="1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112"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4" formatCode="_-&quot;R$&quot;\ * #,##0.00_-;\-&quot;R$&quot;\ * #,##0.00_-;_-&quot;R$&quot;\ * &quot;-&quot;??_-;_-@_-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4" formatCode="_-&quot;R$&quot;\ * #,##0.00_-;\-&quot;R$&quot;\ * #,##0.00_-;_-&quot;R$&quot;\ * &quot;-&quot;??_-;_-@_-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4" formatCode="_-&quot;R$&quot;\ * #,##0.00_-;\-&quot;R$&quot;\ * #,##0.00_-;_-&quot;R$&quot;\ * &quot;-&quot;??_-;_-@_-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ela7" displayName="Tabela7" ref="A5:F6" totalsRowShown="0" headerRowDxfId="111" dataDxfId="110">
  <autoFilter ref="A5:F6" xr:uid="{00000000-0009-0000-0100-000007000000}"/>
  <tableColumns count="6">
    <tableColumn id="1" xr3:uid="{00000000-0010-0000-0000-000001000000}" name="Ano Letivo" dataDxfId="109"/>
    <tableColumn id="2" xr3:uid="{00000000-0010-0000-0000-000002000000}" name="Km/dia" dataDxfId="108"/>
    <tableColumn id="3" xr3:uid="{00000000-0010-0000-0000-000003000000}" name="Dias/mês" dataDxfId="107"/>
    <tableColumn id="4" xr3:uid="{00000000-0010-0000-0000-000004000000}" name="Km/mês" dataDxfId="106">
      <calculatedColumnFormula>B6*C6</calculatedColumnFormula>
    </tableColumn>
    <tableColumn id="5" xr3:uid="{00000000-0010-0000-0000-000005000000}" name="Dias Letivos" dataDxfId="105"/>
    <tableColumn id="6" xr3:uid="{00000000-0010-0000-0000-000006000000}" name="Km/ano" dataDxfId="104">
      <calculatedColumnFormula>B6*E6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abela8" displayName="Tabela8" ref="A10:F11" totalsRowShown="0" headerRowDxfId="103" dataDxfId="102">
  <autoFilter ref="A10:F11" xr:uid="{00000000-0009-0000-0100-000008000000}"/>
  <tableColumns count="6">
    <tableColumn id="1" xr3:uid="{00000000-0010-0000-0100-000001000000}" name="Preço Médio" dataDxfId="101" dataCellStyle="Moeda">
      <calculatedColumnFormula>AVERAGE(Tabela3[Valor Fipe])</calculatedColumnFormula>
    </tableColumn>
    <tableColumn id="2" xr3:uid="{00000000-0010-0000-0100-000002000000}" name="Capacidade Mínima" dataDxfId="100"/>
    <tableColumn id="3" xr3:uid="{00000000-0010-0000-0100-000003000000}" name="Idade Média" dataDxfId="99">
      <calculatedColumnFormula>ROUNDDOWN(AVERAGE(Tabela3[Ano Fabricação]),0)</calculatedColumnFormula>
    </tableColumn>
    <tableColumn id="4" xr3:uid="{00000000-0010-0000-0100-000004000000}" name="IPVA" dataDxfId="98">
      <calculatedColumnFormula>0.02*Tabela8[[#This Row],[Preço Médio]]</calculatedColumnFormula>
    </tableColumn>
    <tableColumn id="5" xr3:uid="{00000000-0010-0000-0100-000005000000}" name="SRC" dataDxfId="97" dataCellStyle="Moeda"/>
    <tableColumn id="6" xr3:uid="{00000000-0010-0000-0100-000006000000}" name="DPVAT" dataDxfId="96" dataCellStyle="Moeda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abela9" displayName="Tabela9" ref="A14:F15" totalsRowShown="0" headerRowDxfId="95" dataDxfId="94">
  <autoFilter ref="A14:F15" xr:uid="{00000000-0009-0000-0100-000009000000}"/>
  <tableColumns count="6">
    <tableColumn id="1" xr3:uid="{00000000-0010-0000-0200-000001000000}" name="Custo Total/ano" dataDxfId="93">
      <calculatedColumnFormula>Tabela9[[#This Row],[Custo Fixo/mês]]*10+Tabela9[[#This Row],[Custo Variável/mês]]*10</calculatedColumnFormula>
    </tableColumn>
    <tableColumn id="2" xr3:uid="{00000000-0010-0000-0200-000002000000}" name="Custo Fixo/mês" dataDxfId="92">
      <calculatedColumnFormula>Tabela11[Custo Fixo/mês]</calculatedColumnFormula>
    </tableColumn>
    <tableColumn id="3" xr3:uid="{00000000-0010-0000-0200-000003000000}" name="Custo Variável/mês" dataDxfId="91">
      <calculatedColumnFormula>Tabela1122[Custo Variável/Km]*Tabela7[Km/mês]</calculatedColumnFormula>
    </tableColumn>
    <tableColumn id="4" xr3:uid="{00000000-0010-0000-0200-000004000000}" name="Custo Total/Km" dataDxfId="90">
      <calculatedColumnFormula>Tabela9[[#This Row],[Custo Total/ano]]/Tabela7[Km/ano]</calculatedColumnFormula>
    </tableColumn>
    <tableColumn id="5" xr3:uid="{00000000-0010-0000-0200-000005000000}" name="Custo Total/mês" dataDxfId="89">
      <calculatedColumnFormula>Tabela9[[#This Row],[Custo Fixo/mês]]+Tabela9[[#This Row],[Custo Variável/mês]]</calculatedColumnFormula>
    </tableColumn>
    <tableColumn id="6" xr3:uid="{00000000-0010-0000-0200-000006000000}" name="Custo Total/dia" dataDxfId="88">
      <calculatedColumnFormula>Tabela9[[#This Row],[Custo Total/mês]]/Tabela7[Dias/mês]</calculatedColumnFormula>
    </tableColumn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3000000}" name="Tabela11" displayName="Tabela11" ref="A18:E19" totalsRowShown="0" headerRowDxfId="87" dataDxfId="86">
  <autoFilter ref="A18:E19" xr:uid="{00000000-0009-0000-0100-00000B000000}"/>
  <tableColumns count="5">
    <tableColumn id="1" xr3:uid="{00000000-0010-0000-0300-000001000000}" name="Custo Fixo/mês" dataDxfId="85" dataCellStyle="Moeda">
      <calculatedColumnFormula>SUM(Tabela11[[#This Row],[Pessoal/mês]:[Remuneração do Capital/mês]])</calculatedColumnFormula>
    </tableColumn>
    <tableColumn id="2" xr3:uid="{00000000-0010-0000-0300-000002000000}" name="Pessoal/mês" dataDxfId="84">
      <calculatedColumnFormula>Tabela12[Pessoal/mês]</calculatedColumnFormula>
    </tableColumn>
    <tableColumn id="3" xr3:uid="{00000000-0010-0000-0300-000003000000}" name="Adminstrativo/mês" dataDxfId="83">
      <calculatedColumnFormula>Tabela16[Administrativo/mês]</calculatedColumnFormula>
    </tableColumn>
    <tableColumn id="4" xr3:uid="{00000000-0010-0000-0300-000004000000}" name="Depreciação/mês" dataDxfId="82">
      <calculatedColumnFormula>Tabela17[Depreciação/mês]</calculatedColumnFormula>
    </tableColumn>
    <tableColumn id="5" xr3:uid="{00000000-0010-0000-0300-000005000000}" name="Remuneração do Capital/mês" dataDxfId="81">
      <calculatedColumnFormula>Tabela19[Remuneração do Capital/mês]</calculatedColumnFormula>
    </tableColumn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4000000}" name="Tabela12" displayName="Tabela12" ref="A20:D21" totalsRowShown="0" headerRowDxfId="80" dataDxfId="79">
  <autoFilter ref="A20:D21" xr:uid="{00000000-0009-0000-0100-00000C000000}"/>
  <tableColumns count="4">
    <tableColumn id="1" xr3:uid="{00000000-0010-0000-0400-000001000000}" name="Pessoal/mês" dataDxfId="78" dataCellStyle="Moeda">
      <calculatedColumnFormula>SUM(Tabela12[[#This Row],[Motorista/mês]:[Monitor/mês]])</calculatedColumnFormula>
    </tableColumn>
    <tableColumn id="2" xr3:uid="{00000000-0010-0000-0400-000002000000}" name="Motorista/mês" dataDxfId="77">
      <calculatedColumnFormula>Tabela13[Motorista/mês]</calculatedColumnFormula>
    </tableColumn>
    <tableColumn id="3" xr3:uid="{00000000-0010-0000-0400-000003000000}" name="Pessoal Manutenção/mês" dataDxfId="76">
      <calculatedColumnFormula>Tabela131516[Pessoal Manutenção/mês]</calculatedColumnFormula>
    </tableColumn>
    <tableColumn id="4" xr3:uid="{00000000-0010-0000-0400-000004000000}" name="Monitor/mês" dataDxfId="75">
      <calculatedColumnFormula>Tabela1315[Monitor/mês]</calculatedColumnFormula>
    </tableColumn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5000000}" name="Tabela13" displayName="Tabela13" ref="A28:C29" totalsRowShown="0" headerRowDxfId="74" dataDxfId="73" dataCellStyle="Moeda">
  <autoFilter ref="A28:C29" xr:uid="{00000000-0009-0000-0100-00000D000000}"/>
  <tableColumns count="3">
    <tableColumn id="1" xr3:uid="{00000000-0010-0000-0500-000001000000}" name="Motorista/mês" dataDxfId="72" dataCellStyle="Moeda">
      <calculatedColumnFormula>Tabela13[[#This Row],[Salário/mês]]+Tabela13[[#This Row],[Encargos/mês]]</calculatedColumnFormula>
    </tableColumn>
    <tableColumn id="2" xr3:uid="{00000000-0010-0000-0500-000002000000}" name="Salário/mês" dataDxfId="71" dataCellStyle="Moeda"/>
    <tableColumn id="3" xr3:uid="{00000000-0010-0000-0500-000003000000}" name="Encargos/mês" dataDxfId="70" dataCellStyle="Moeda">
      <calculatedColumnFormula>(0.0833+0.1111+0.04+0.08+0.0793)*Tabela13[[#This Row],[Salário/mês]]</calculatedColumnFormula>
    </tableColumn>
  </tableColumns>
  <tableStyleInfo name="TableStyleMedium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6000000}" name="Tabela1315" displayName="Tabela1315" ref="A32:C33" totalsRowShown="0" headerRowDxfId="69" dataDxfId="68">
  <autoFilter ref="A32:C33" xr:uid="{00000000-0009-0000-0100-00000E000000}"/>
  <tableColumns count="3">
    <tableColumn id="1" xr3:uid="{00000000-0010-0000-0600-000001000000}" name="Monitor/mês" dataDxfId="67">
      <calculatedColumnFormula>Tabela1315[[#This Row],[Salário/mês]]+Tabela1315[[#This Row],[Encargos/mês]]</calculatedColumnFormula>
    </tableColumn>
    <tableColumn id="2" xr3:uid="{00000000-0010-0000-0600-000002000000}" name="Salário/mês" dataDxfId="66" dataCellStyle="Moeda"/>
    <tableColumn id="3" xr3:uid="{00000000-0010-0000-0600-000003000000}" name="Encargos/mês" dataDxfId="65" dataCellStyle="Moeda">
      <calculatedColumnFormula>(0.0833+0.1111+0.04+0.08+0.0793)*Tabela1315[[#This Row],[Salário/mês]]</calculatedColumnFormula>
    </tableColumn>
  </tableColumns>
  <tableStyleInfo name="TableStyleMedium1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7000000}" name="Tabela131516" displayName="Tabela131516" ref="A30:C31" totalsRowShown="0" headerRowDxfId="64" dataDxfId="63">
  <autoFilter ref="A30:C31" xr:uid="{00000000-0009-0000-0100-00000F000000}"/>
  <tableColumns count="3">
    <tableColumn id="1" xr3:uid="{00000000-0010-0000-0700-000001000000}" name="Pessoal Manutenção/mês" dataDxfId="62">
      <calculatedColumnFormula>Tabela131516[[#This Row],[Motorista/mês]]*Tabela131516[[#This Row],[Coeficiente]]</calculatedColumnFormula>
    </tableColumn>
    <tableColumn id="2" xr3:uid="{00000000-0010-0000-0700-000002000000}" name="Motorista/mês" dataDxfId="61" dataCellStyle="Moeda">
      <calculatedColumnFormula>Tabela13[Motorista/mês]</calculatedColumnFormula>
    </tableColumn>
    <tableColumn id="3" xr3:uid="{00000000-0010-0000-0700-000003000000}" name="Coeficiente" dataDxfId="60"/>
  </tableColumns>
  <tableStyleInfo name="TableStyleMedium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8000000}" name="Tabela16" displayName="Tabela16" ref="A22:D23" totalsRowShown="0" headerRowDxfId="59" dataDxfId="58">
  <autoFilter ref="A22:D23" xr:uid="{00000000-0009-0000-0100-000010000000}"/>
  <tableColumns count="4">
    <tableColumn id="1" xr3:uid="{00000000-0010-0000-0800-000001000000}" name="Administrativo/mês" dataDxfId="57" dataCellStyle="Moeda">
      <calculatedColumnFormula>SUM(Tabela16[[#This Row],[IPVA/mês]:[SRC/mês]])</calculatedColumnFormula>
    </tableColumn>
    <tableColumn id="2" xr3:uid="{00000000-0010-0000-0800-000002000000}" name="IPVA/mês" dataDxfId="56">
      <calculatedColumnFormula>Tabela8[IPVA]/12</calculatedColumnFormula>
    </tableColumn>
    <tableColumn id="3" xr3:uid="{00000000-0010-0000-0800-000003000000}" name="DPVAT/mês" dataDxfId="55">
      <calculatedColumnFormula>Tabela8[DPVAT]/12</calculatedColumnFormula>
    </tableColumn>
    <tableColumn id="4" xr3:uid="{00000000-0010-0000-0800-000004000000}" name="SRC/mês" dataDxfId="54">
      <calculatedColumnFormula>Tabela8[SRC]/12</calculatedColumnFormula>
    </tableColumn>
  </tableColumns>
  <tableStyleInfo name="TableStyleMedium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9000000}" name="Tabela17" displayName="Tabela17" ref="A24:C25" totalsRowShown="0" headerRowDxfId="53" dataDxfId="52">
  <autoFilter ref="A24:C25" xr:uid="{00000000-0009-0000-0100-000011000000}"/>
  <tableColumns count="3">
    <tableColumn id="1" xr3:uid="{00000000-0010-0000-0900-000001000000}" name="Depreciação/mês" dataDxfId="51">
      <calculatedColumnFormula>Tabela17[[#This Row],[Coeficicente]]*Tabela17[[#This Row],[Preço Médio]]/12</calculatedColumnFormula>
    </tableColumn>
    <tableColumn id="2" xr3:uid="{00000000-0010-0000-0900-000002000000}" name="Coeficicente" dataDxfId="50">
      <calculatedColumnFormula>Tabela18[Coeficiente Depreciação]</calculatedColumnFormula>
    </tableColumn>
    <tableColumn id="3" xr3:uid="{00000000-0010-0000-0900-000003000000}" name="Preço Médio" dataDxfId="49">
      <calculatedColumnFormula>Tabela8[Preço Médio]</calculatedColumnFormula>
    </tableColumn>
  </tableColumns>
  <tableStyleInfo name="TableStyleMedium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A000000}" name="Tabela18" displayName="Tabela18" ref="A34:C35" totalsRowShown="0" headerRowDxfId="48" dataDxfId="47">
  <autoFilter ref="A34:C35" xr:uid="{00000000-0009-0000-0100-000012000000}"/>
  <tableColumns count="3">
    <tableColumn id="1" xr3:uid="{00000000-0010-0000-0A00-000001000000}" name="Coeficiente Depreciação" dataDxfId="46">
      <calculatedColumnFormula>(((Tabela18[[#This Row],[Vida Útil]]-ROUNDDOWN(Tabela8[Idade Média],0))/(1+2+3+4+5+6+7+8+9+10)))*(1-Tabela18[[#This Row],[Valor Residual]])</calculatedColumnFormula>
    </tableColumn>
    <tableColumn id="2" xr3:uid="{00000000-0010-0000-0A00-000002000000}" name="Vida Útil" dataDxfId="45"/>
    <tableColumn id="3" xr3:uid="{00000000-0010-0000-0A00-000003000000}" name="Valor Residual" dataDxfId="44" dataCellStyle="Porcentagem"/>
  </tableColumns>
  <tableStyleInfo name="TableStyleMedium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B000000}" name="Tabela19" displayName="Tabela19" ref="A26:C27" totalsRowShown="0" headerRowDxfId="43" dataDxfId="42">
  <autoFilter ref="A26:C27" xr:uid="{00000000-0009-0000-0100-000013000000}"/>
  <tableColumns count="3">
    <tableColumn id="1" xr3:uid="{00000000-0010-0000-0B00-000001000000}" name="Remuneração do Capital/mês" dataDxfId="41" dataCellStyle="Moeda">
      <calculatedColumnFormula>Tabela19[[#This Row],[Coeficiente]]*Tabela19[[#This Row],[Preço Médio Veículo]]/12</calculatedColumnFormula>
    </tableColumn>
    <tableColumn id="2" xr3:uid="{00000000-0010-0000-0B00-000002000000}" name="Coeficiente" dataDxfId="40">
      <calculatedColumnFormula>Tabela20[Coeficiente de Remuneração]</calculatedColumnFormula>
    </tableColumn>
    <tableColumn id="3" xr3:uid="{00000000-0010-0000-0B00-000003000000}" name="Preço Médio Veículo" dataDxfId="39">
      <calculatedColumnFormula>Tabela8[Preço Médio]</calculatedColumnFormula>
    </tableColumn>
  </tableColumns>
  <tableStyleInfo name="TableStyleMedium10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C000000}" name="Tabela20" displayName="Tabela20" ref="A36:C37" totalsRowShown="0" headerRowDxfId="38" dataDxfId="37">
  <autoFilter ref="A36:C37" xr:uid="{00000000-0009-0000-0100-000014000000}"/>
  <tableColumns count="3">
    <tableColumn id="1" xr3:uid="{00000000-0010-0000-0C00-000001000000}" name="Coeficiente de Remuneração" dataDxfId="36">
      <calculatedColumnFormula>Tabela20[[#This Row],[Coeficiente Idade Média]]*Tabela20[[#This Row],[TRC (Taxa de Remunração)]]*(1-Tabela131516[Coeficiente])</calculatedColumnFormula>
    </tableColumn>
    <tableColumn id="2" xr3:uid="{00000000-0010-0000-0C00-000002000000}" name="Coeficiente Idade Média" dataDxfId="35">
      <calculatedColumnFormula>1-((10+9+8)/(1+2+3+4+5+6+7+8+9+10))</calculatedColumnFormula>
    </tableColumn>
    <tableColumn id="3" xr3:uid="{00000000-0010-0000-0C00-000003000000}" name="TRC (Taxa de Remunração)" dataDxfId="34" dataCellStyle="Porcentagem"/>
  </tableColumns>
  <tableStyleInfo name="TableStyleMedium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D000000}" name="Tabela1122" displayName="Tabela1122" ref="A44:E45" totalsRowShown="0" headerRowDxfId="33" dataDxfId="32">
  <autoFilter ref="A44:E45" xr:uid="{00000000-0009-0000-0100-000015000000}"/>
  <tableColumns count="5">
    <tableColumn id="1" xr3:uid="{00000000-0010-0000-0D00-000001000000}" name="Custo Variável/Km" dataDxfId="31" dataCellStyle="Moeda">
      <calculatedColumnFormula>SUM(Tabela1122[[#This Row],[Combustível/Km]:[Peças e Acessórios/Km]])</calculatedColumnFormula>
    </tableColumn>
    <tableColumn id="2" xr3:uid="{00000000-0010-0000-0D00-000002000000}" name="Combustível/Km" dataDxfId="30">
      <calculatedColumnFormula>Tabela22[Combustível/Km]</calculatedColumnFormula>
    </tableColumn>
    <tableColumn id="3" xr3:uid="{00000000-0010-0000-0D00-000003000000}" name="Óleos e Lubricações/Km" dataDxfId="29" dataCellStyle="Moeda">
      <calculatedColumnFormula>Tabela23[Óleos e Lubrificações/Km]</calculatedColumnFormula>
    </tableColumn>
    <tableColumn id="4" xr3:uid="{00000000-0010-0000-0D00-000004000000}" name="Rodagem/Km" dataDxfId="28">
      <calculatedColumnFormula>Tabela24[Rodagem/Km]</calculatedColumnFormula>
    </tableColumn>
    <tableColumn id="5" xr3:uid="{00000000-0010-0000-0D00-000005000000}" name="Peças e Acessórios/Km" dataDxfId="27">
      <calculatedColumnFormula>Tabela25[Peças e Acessórios]</calculatedColumnFormula>
    </tableColumn>
  </tableColumns>
  <tableStyleInfo name="TableStyleMedium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E000000}" name="Tabela22" displayName="Tabela22" ref="A46:C47" totalsRowShown="0" headerRowDxfId="26" dataDxfId="25" dataCellStyle="Moeda">
  <autoFilter ref="A46:C47" xr:uid="{00000000-0009-0000-0100-000016000000}"/>
  <tableColumns count="3">
    <tableColumn id="1" xr3:uid="{00000000-0010-0000-0E00-000001000000}" name="Combustível/Km" dataDxfId="24" dataCellStyle="Moeda">
      <calculatedColumnFormula>Tabela22[[#This Row],[Coeficiente de Consumo (L/Km)]]*Tabela22[[#This Row],[Preço Médio ($/L)]]</calculatedColumnFormula>
    </tableColumn>
    <tableColumn id="2" xr3:uid="{00000000-0010-0000-0E00-000002000000}" name="Coeficiente de Consumo (L/Km)" dataDxfId="23" dataCellStyle="Moeda">
      <calculatedColumnFormula>1/9.33</calculatedColumnFormula>
    </tableColumn>
    <tableColumn id="3" xr3:uid="{00000000-0010-0000-0E00-000003000000}" name="Preço Médio ($/L)" dataDxfId="22" dataCellStyle="Moeda"/>
  </tableColumns>
  <tableStyleInfo name="TableStyleMedium10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F000000}" name="Tabela23" displayName="Tabela23" ref="A48:C49" totalsRowShown="0" headerRowDxfId="21" dataDxfId="20">
  <autoFilter ref="A48:C49" xr:uid="{00000000-0009-0000-0100-000017000000}"/>
  <tableColumns count="3">
    <tableColumn id="1" xr3:uid="{00000000-0010-0000-0F00-000001000000}" name="Óleos e Lubrificações/Km" dataDxfId="19" dataCellStyle="Moeda">
      <calculatedColumnFormula>Tabela23[[#This Row],[Coeficiente de Consumo(L/Km)]]*Tabela23[[#This Row],[Preço Médio ($/L)]]</calculatedColumnFormula>
    </tableColumn>
    <tableColumn id="2" xr3:uid="{00000000-0010-0000-0F00-000002000000}" name="Coeficiente de Consumo(L/Km)" dataDxfId="18"/>
    <tableColumn id="3" xr3:uid="{00000000-0010-0000-0F00-000003000000}" name="Preço Médio ($/L)" dataDxfId="17" dataCellStyle="Moeda"/>
  </tableColumns>
  <tableStyleInfo name="TableStyleMedium10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0000000}" name="Tabela24" displayName="Tabela24" ref="A50:F51" totalsRowShown="0" headerRowDxfId="16" dataDxfId="15">
  <autoFilter ref="A50:F51" xr:uid="{00000000-0009-0000-0100-000018000000}"/>
  <tableColumns count="6">
    <tableColumn id="1" xr3:uid="{00000000-0010-0000-1000-000001000000}" name="Rodagem/Km" dataDxfId="14" dataCellStyle="Moeda">
      <calculatedColumnFormula>((Tabela24[[#This Row],[Preço Pneu Novo]]+Tabela24[[#This Row],[Preço Recapagem]]*Tabela24[[#This Row],[Número de Recapagens]])*Tabela24[[#This Row],[Número de Penus]])/Tabela24[[#This Row],[Vida Útil Pneu (Km)]]</calculatedColumnFormula>
    </tableColumn>
    <tableColumn id="2" xr3:uid="{00000000-0010-0000-1000-000002000000}" name="Preço Pneu Novo" dataDxfId="13" dataCellStyle="Moeda"/>
    <tableColumn id="3" xr3:uid="{00000000-0010-0000-1000-000003000000}" name="Número de Penus" dataDxfId="12"/>
    <tableColumn id="4" xr3:uid="{00000000-0010-0000-1000-000004000000}" name="Preço Recapagem" dataDxfId="11" dataCellStyle="Moeda"/>
    <tableColumn id="5" xr3:uid="{00000000-0010-0000-1000-000005000000}" name="Número de Recapagens" dataDxfId="10"/>
    <tableColumn id="6" xr3:uid="{00000000-0010-0000-1000-000006000000}" name="Vida Útil Pneu (Km)" dataDxfId="9"/>
  </tableColumns>
  <tableStyleInfo name="TableStyleMedium10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11000000}" name="Tabela25" displayName="Tabela25" ref="A52:C53" totalsRowShown="0" headerRowDxfId="8" dataDxfId="7">
  <autoFilter ref="A52:C53" xr:uid="{00000000-0009-0000-0100-000019000000}"/>
  <tableColumns count="3">
    <tableColumn id="1" xr3:uid="{00000000-0010-0000-1100-000001000000}" name="Peças e Acessórios" dataDxfId="6">
      <calculatedColumnFormula>Tabela25[[#This Row],[Coeficiente de Consumo (L/Km)]]*Tabela25[[#This Row],[Preço Médio Veículo]]/Tabela7[Km/mês]</calculatedColumnFormula>
    </tableColumn>
    <tableColumn id="2" xr3:uid="{00000000-0010-0000-1100-000002000000}" name="Coeficiente de Consumo (L/Km)" dataDxfId="5"/>
    <tableColumn id="3" xr3:uid="{00000000-0010-0000-1100-000003000000}" name="Preço Médio Veículo" dataDxfId="4">
      <calculatedColumnFormula>Tabela8[Preço Médio]</calculatedColumnFormula>
    </tableColumn>
  </tableColumns>
  <tableStyleInfo name="TableStyleMedium10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12000000}" name="Tabela5" displayName="Tabela5" ref="B2:C7" totalsRowShown="0" headerRowDxfId="3" dataDxfId="2">
  <autoFilter ref="B2:C7" xr:uid="{00000000-0009-0000-0100-000005000000}"/>
  <tableColumns count="2">
    <tableColumn id="1" xr3:uid="{00000000-0010-0000-1200-000001000000}" name="Custos Fixos" dataDxfId="1"/>
    <tableColumn id="2" xr3:uid="{00000000-0010-0000-1200-000002000000}" name="Custos Variáveis" dataDxfId="0"/>
  </tableColumns>
  <tableStyleInfo name="TableStyleMedium5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13000000}" name="Tabela3" displayName="Tabela3" ref="B2:G50" totalsRowShown="0">
  <autoFilter ref="B2:G50" xr:uid="{00000000-0009-0000-0100-000003000000}"/>
  <tableColumns count="6">
    <tableColumn id="1" xr3:uid="{00000000-0010-0000-1300-000001000000}" name="Linha"/>
    <tableColumn id="2" xr3:uid="{00000000-0010-0000-1300-000002000000}" name="Marca"/>
    <tableColumn id="3" xr3:uid="{00000000-0010-0000-1300-000003000000}" name="Modelo"/>
    <tableColumn id="4" xr3:uid="{00000000-0010-0000-1300-000004000000}" name="Ano Modelo"/>
    <tableColumn id="5" xr3:uid="{00000000-0010-0000-1300-000005000000}" name="Ano Fabricação"/>
    <tableColumn id="6" xr3:uid="{00000000-0010-0000-1300-000006000000}" name="Valor Fipe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"/>
  <sheetViews>
    <sheetView tabSelected="1" zoomScale="130" zoomScaleNormal="130" workbookViewId="0">
      <selection sqref="A1:F1"/>
    </sheetView>
  </sheetViews>
  <sheetFormatPr defaultRowHeight="12.75" x14ac:dyDescent="0.2"/>
  <cols>
    <col min="1" max="1" width="25.7109375" style="9" customWidth="1"/>
    <col min="2" max="2" width="28.7109375" style="9" customWidth="1"/>
    <col min="3" max="3" width="24.7109375" style="9" customWidth="1"/>
    <col min="4" max="4" width="18.7109375" style="9" customWidth="1"/>
    <col min="5" max="5" width="24.7109375" style="9" customWidth="1"/>
    <col min="6" max="6" width="19.7109375" style="9" customWidth="1"/>
    <col min="7" max="7" width="10.5703125" style="6" bestFit="1" customWidth="1"/>
    <col min="8" max="8" width="13.28515625" style="6" bestFit="1" customWidth="1"/>
    <col min="9" max="9" width="10.5703125" style="6" bestFit="1" customWidth="1"/>
    <col min="10" max="10" width="9.140625" style="6"/>
    <col min="11" max="11" width="9.5703125" style="6" bestFit="1" customWidth="1"/>
    <col min="12" max="12" width="42.85546875" style="6" bestFit="1" customWidth="1"/>
    <col min="13" max="16384" width="9.140625" style="6"/>
  </cols>
  <sheetData>
    <row r="1" spans="1:7" x14ac:dyDescent="0.2">
      <c r="A1" s="39" t="s">
        <v>103</v>
      </c>
      <c r="B1" s="39"/>
      <c r="C1" s="39"/>
      <c r="D1" s="39"/>
      <c r="E1" s="39"/>
      <c r="F1" s="39"/>
    </row>
    <row r="2" spans="1:7" x14ac:dyDescent="0.2">
      <c r="A2" s="7"/>
      <c r="B2" s="7"/>
      <c r="C2" s="7"/>
      <c r="D2" s="7"/>
      <c r="E2" s="7"/>
      <c r="F2" s="7"/>
    </row>
    <row r="3" spans="1:7" x14ac:dyDescent="0.2">
      <c r="A3" s="7"/>
      <c r="B3" s="7"/>
      <c r="C3" s="7"/>
      <c r="D3" s="7"/>
      <c r="E3" s="7"/>
      <c r="F3" s="7"/>
    </row>
    <row r="4" spans="1:7" ht="13.5" thickBot="1" x14ac:dyDescent="0.25">
      <c r="A4" s="41" t="s">
        <v>79</v>
      </c>
      <c r="B4" s="42"/>
      <c r="C4" s="42"/>
      <c r="D4" s="42"/>
      <c r="E4" s="42"/>
      <c r="F4" s="43"/>
      <c r="G4" s="5"/>
    </row>
    <row r="5" spans="1:7" x14ac:dyDescent="0.2">
      <c r="A5" s="8" t="s">
        <v>25</v>
      </c>
      <c r="B5" s="9" t="s">
        <v>26</v>
      </c>
      <c r="C5" s="9" t="s">
        <v>27</v>
      </c>
      <c r="D5" s="9" t="s">
        <v>9</v>
      </c>
      <c r="E5" s="9" t="s">
        <v>28</v>
      </c>
      <c r="F5" s="9" t="s">
        <v>29</v>
      </c>
      <c r="G5" s="5"/>
    </row>
    <row r="6" spans="1:7" x14ac:dyDescent="0.2">
      <c r="A6" s="8">
        <v>2024</v>
      </c>
      <c r="B6" s="8">
        <v>120</v>
      </c>
      <c r="C6" s="8">
        <v>20</v>
      </c>
      <c r="D6" s="8">
        <f>B6*C6</f>
        <v>2400</v>
      </c>
      <c r="E6" s="8">
        <v>200</v>
      </c>
      <c r="F6" s="8">
        <f>B6*E6</f>
        <v>24000</v>
      </c>
      <c r="G6" s="5"/>
    </row>
    <row r="7" spans="1:7" x14ac:dyDescent="0.2">
      <c r="A7" s="40"/>
      <c r="B7" s="40"/>
      <c r="C7" s="40"/>
      <c r="D7" s="40"/>
      <c r="E7" s="40"/>
      <c r="F7" s="40"/>
      <c r="G7" s="5"/>
    </row>
    <row r="8" spans="1:7" x14ac:dyDescent="0.2">
      <c r="A8" s="14"/>
      <c r="B8" s="14"/>
      <c r="C8" s="14"/>
      <c r="D8" s="14"/>
      <c r="E8" s="14"/>
      <c r="F8" s="14"/>
      <c r="G8" s="5"/>
    </row>
    <row r="9" spans="1:7" ht="13.5" thickBot="1" x14ac:dyDescent="0.25">
      <c r="A9" s="41" t="s">
        <v>80</v>
      </c>
      <c r="B9" s="42"/>
      <c r="C9" s="42"/>
      <c r="D9" s="42"/>
      <c r="E9" s="42"/>
      <c r="F9" s="43"/>
      <c r="G9" s="5"/>
    </row>
    <row r="10" spans="1:7" x14ac:dyDescent="0.2">
      <c r="A10" s="8" t="s">
        <v>37</v>
      </c>
      <c r="B10" s="8" t="s">
        <v>83</v>
      </c>
      <c r="C10" s="8" t="s">
        <v>53</v>
      </c>
      <c r="D10" s="8" t="s">
        <v>1</v>
      </c>
      <c r="E10" s="8" t="s">
        <v>57</v>
      </c>
      <c r="F10" s="8" t="s">
        <v>0</v>
      </c>
      <c r="G10" s="5"/>
    </row>
    <row r="11" spans="1:7" x14ac:dyDescent="0.2">
      <c r="A11" s="10">
        <f>AVERAGE(Tabela3[Valor Fipe])</f>
        <v>264800.66666666669</v>
      </c>
      <c r="B11" s="8">
        <v>16</v>
      </c>
      <c r="C11" s="11">
        <f>ROUNDDOWN(AVERAGE(Tabela3[Ano Fabricação]),0)</f>
        <v>1</v>
      </c>
      <c r="D11" s="12">
        <f>0.02*Tabela8[[#This Row],[Preço Médio]]</f>
        <v>5296.0133333333342</v>
      </c>
      <c r="E11" s="10">
        <v>10000</v>
      </c>
      <c r="F11" s="10">
        <v>10.53</v>
      </c>
      <c r="G11" s="5"/>
    </row>
    <row r="12" spans="1:7" x14ac:dyDescent="0.2">
      <c r="A12" s="8"/>
      <c r="B12" s="8"/>
      <c r="C12" s="8"/>
      <c r="D12" s="8"/>
      <c r="E12" s="8"/>
      <c r="F12" s="8"/>
      <c r="G12" s="5"/>
    </row>
    <row r="13" spans="1:7" x14ac:dyDescent="0.2">
      <c r="A13" s="44" t="s">
        <v>81</v>
      </c>
      <c r="B13" s="45"/>
      <c r="C13" s="45"/>
      <c r="D13" s="45"/>
      <c r="E13" s="45"/>
      <c r="F13" s="45"/>
      <c r="G13" s="5"/>
    </row>
    <row r="14" spans="1:7" x14ac:dyDescent="0.2">
      <c r="A14" s="8" t="s">
        <v>40</v>
      </c>
      <c r="B14" s="8" t="s">
        <v>41</v>
      </c>
      <c r="C14" s="8" t="s">
        <v>42</v>
      </c>
      <c r="D14" s="13" t="s">
        <v>43</v>
      </c>
      <c r="E14" s="13" t="s">
        <v>82</v>
      </c>
      <c r="F14" s="13" t="s">
        <v>44</v>
      </c>
    </row>
    <row r="15" spans="1:7" x14ac:dyDescent="0.2">
      <c r="A15" s="19">
        <f>Tabela9[[#This Row],[Custo Fixo/mês]]*10+Tabela9[[#This Row],[Custo Variável/mês]]*10</f>
        <v>158625.59549615122</v>
      </c>
      <c r="B15" s="37">
        <f>Tabela11[Custo Fixo/mês]</f>
        <v>11983.103154545453</v>
      </c>
      <c r="C15" s="37">
        <f>Tabela1122[Custo Variável/Km]*Tabela7[Km/mês]</f>
        <v>3879.4563950696684</v>
      </c>
      <c r="D15" s="19">
        <f>Tabela9[[#This Row],[Custo Total/ano]]/Tabela7[Km/ano]</f>
        <v>6.6093998123396345</v>
      </c>
      <c r="E15" s="19">
        <f>Tabela9[[#This Row],[Custo Fixo/mês]]+Tabela9[[#This Row],[Custo Variável/mês]]</f>
        <v>15862.559549615122</v>
      </c>
      <c r="F15" s="19">
        <f>Tabela9[[#This Row],[Custo Total/mês]]/Tabela7[Dias/mês]</f>
        <v>793.12797748075604</v>
      </c>
    </row>
    <row r="16" spans="1:7" x14ac:dyDescent="0.2">
      <c r="A16" s="40"/>
      <c r="B16" s="40"/>
      <c r="C16" s="40"/>
      <c r="D16" s="40"/>
      <c r="E16" s="40"/>
      <c r="F16" s="40"/>
      <c r="G16" s="5"/>
    </row>
    <row r="17" spans="1:7" x14ac:dyDescent="0.2">
      <c r="A17" s="38" t="s">
        <v>86</v>
      </c>
      <c r="B17" s="38"/>
      <c r="C17" s="38"/>
      <c r="D17" s="38"/>
      <c r="E17" s="38"/>
      <c r="F17" s="38"/>
      <c r="G17" s="5"/>
    </row>
    <row r="18" spans="1:7" x14ac:dyDescent="0.2">
      <c r="A18" s="23" t="s">
        <v>41</v>
      </c>
      <c r="B18" s="24" t="s">
        <v>45</v>
      </c>
      <c r="C18" s="24" t="s">
        <v>46</v>
      </c>
      <c r="D18" s="9" t="s">
        <v>47</v>
      </c>
      <c r="E18" s="9" t="s">
        <v>55</v>
      </c>
      <c r="G18" s="5"/>
    </row>
    <row r="19" spans="1:7" x14ac:dyDescent="0.2">
      <c r="A19" s="25">
        <f>SUM(Tabela11[[#This Row],[Pessoal/mês]:[Remuneração do Capital/mês]])</f>
        <v>11983.103154545453</v>
      </c>
      <c r="B19" s="16">
        <f>Tabela12[Pessoal/mês]</f>
        <v>6325.3074500000002</v>
      </c>
      <c r="C19" s="16">
        <f>Tabela16[Administrativo/mês]</f>
        <v>1275.5452777777778</v>
      </c>
      <c r="D19" s="16">
        <f>Tabela17[Depreciação/mês]</f>
        <v>3069.2804545454551</v>
      </c>
      <c r="E19" s="16">
        <f>Tabela19[Remuneração do Capital/mês]</f>
        <v>1312.9699722222222</v>
      </c>
      <c r="G19" s="5"/>
    </row>
    <row r="20" spans="1:7" x14ac:dyDescent="0.2">
      <c r="A20" s="26" t="s">
        <v>45</v>
      </c>
      <c r="B20" s="9" t="s">
        <v>48</v>
      </c>
      <c r="C20" s="9" t="s">
        <v>49</v>
      </c>
      <c r="D20" s="9" t="s">
        <v>50</v>
      </c>
      <c r="G20" s="5"/>
    </row>
    <row r="21" spans="1:7" x14ac:dyDescent="0.2">
      <c r="A21" s="27">
        <f>SUM(Tabela12[[#This Row],[Motorista/mês]:[Monitor/mês]])</f>
        <v>6325.3074500000002</v>
      </c>
      <c r="B21" s="16">
        <f>Tabela13[Motorista/mês]</f>
        <v>3609.683</v>
      </c>
      <c r="C21" s="16">
        <f>Tabela131516[Pessoal Manutenção/mês]</f>
        <v>541.45245</v>
      </c>
      <c r="D21" s="16">
        <f>Tabela1315[Monitor/mês]</f>
        <v>2174.172</v>
      </c>
      <c r="G21" s="5"/>
    </row>
    <row r="22" spans="1:7" x14ac:dyDescent="0.2">
      <c r="A22" s="26" t="s">
        <v>51</v>
      </c>
      <c r="B22" s="9" t="s">
        <v>10</v>
      </c>
      <c r="C22" s="9" t="s">
        <v>11</v>
      </c>
      <c r="D22" s="9" t="s">
        <v>58</v>
      </c>
      <c r="G22" s="5"/>
    </row>
    <row r="23" spans="1:7" x14ac:dyDescent="0.2">
      <c r="A23" s="27">
        <f>SUM(Tabela16[[#This Row],[IPVA/mês]:[SRC/mês]])</f>
        <v>1275.5452777777778</v>
      </c>
      <c r="B23" s="16">
        <f>Tabela8[IPVA]/12</f>
        <v>441.3344444444445</v>
      </c>
      <c r="C23" s="16">
        <f>Tabela8[DPVAT]/12</f>
        <v>0.87749999999999995</v>
      </c>
      <c r="D23" s="16">
        <f>Tabela8[SRC]/12</f>
        <v>833.33333333333337</v>
      </c>
      <c r="G23" s="5"/>
    </row>
    <row r="24" spans="1:7" x14ac:dyDescent="0.2">
      <c r="A24" s="26" t="s">
        <v>47</v>
      </c>
      <c r="B24" s="9" t="s">
        <v>52</v>
      </c>
      <c r="C24" s="9" t="s">
        <v>37</v>
      </c>
      <c r="G24" s="5"/>
    </row>
    <row r="25" spans="1:7" x14ac:dyDescent="0.2">
      <c r="A25" s="28">
        <f>Tabela17[[#This Row],[Coeficicente]]*Tabela17[[#This Row],[Preço Médio]]/12</f>
        <v>3069.2804545454551</v>
      </c>
      <c r="B25" s="17">
        <f>Tabela18[Coeficiente Depreciação]</f>
        <v>0.1390909090909091</v>
      </c>
      <c r="C25" s="16">
        <f>Tabela8[Preço Médio]</f>
        <v>264800.66666666669</v>
      </c>
      <c r="G25" s="5"/>
    </row>
    <row r="26" spans="1:7" x14ac:dyDescent="0.2">
      <c r="A26" s="26" t="s">
        <v>55</v>
      </c>
      <c r="B26" s="9" t="s">
        <v>56</v>
      </c>
      <c r="C26" s="9" t="s">
        <v>87</v>
      </c>
      <c r="G26" s="5"/>
    </row>
    <row r="27" spans="1:7" x14ac:dyDescent="0.2">
      <c r="A27" s="27">
        <f>Tabela19[[#This Row],[Coeficiente]]*Tabela19[[#This Row],[Preço Médio Veículo]]/12</f>
        <v>1312.9699722222222</v>
      </c>
      <c r="B27" s="17">
        <f>Tabela20[Coeficiente de Remuneração]</f>
        <v>5.949999999999999E-2</v>
      </c>
      <c r="C27" s="16">
        <f>Tabela8[Preço Médio]</f>
        <v>264800.66666666669</v>
      </c>
      <c r="G27" s="5"/>
    </row>
    <row r="28" spans="1:7" x14ac:dyDescent="0.2">
      <c r="A28" s="26" t="s">
        <v>48</v>
      </c>
      <c r="B28" s="9" t="s">
        <v>39</v>
      </c>
      <c r="C28" s="9" t="s">
        <v>54</v>
      </c>
      <c r="G28" s="5"/>
    </row>
    <row r="29" spans="1:7" x14ac:dyDescent="0.2">
      <c r="A29" s="27">
        <f>Tabela13[[#This Row],[Salário/mês]]+Tabela13[[#This Row],[Encargos/mês]]</f>
        <v>3609.683</v>
      </c>
      <c r="B29" s="29">
        <v>2590</v>
      </c>
      <c r="C29" s="29">
        <f>(0.0833+0.1111+0.04+0.08+0.0793)*Tabela13[[#This Row],[Salário/mês]]</f>
        <v>1019.683</v>
      </c>
      <c r="G29" s="5"/>
    </row>
    <row r="30" spans="1:7" x14ac:dyDescent="0.2">
      <c r="A30" s="26" t="s">
        <v>49</v>
      </c>
      <c r="B30" s="9" t="s">
        <v>48</v>
      </c>
      <c r="C30" s="9" t="s">
        <v>56</v>
      </c>
      <c r="G30" s="5"/>
    </row>
    <row r="31" spans="1:7" x14ac:dyDescent="0.2">
      <c r="A31" s="28">
        <f>Tabela131516[[#This Row],[Motorista/mês]]*Tabela131516[[#This Row],[Coeficiente]]</f>
        <v>541.45245</v>
      </c>
      <c r="B31" s="29">
        <f>Tabela13[Motorista/mês]</f>
        <v>3609.683</v>
      </c>
      <c r="C31" s="30">
        <v>0.15</v>
      </c>
      <c r="G31" s="5"/>
    </row>
    <row r="32" spans="1:7" x14ac:dyDescent="0.2">
      <c r="A32" s="26" t="s">
        <v>50</v>
      </c>
      <c r="B32" s="9" t="s">
        <v>39</v>
      </c>
      <c r="C32" s="9" t="s">
        <v>54</v>
      </c>
      <c r="G32" s="5"/>
    </row>
    <row r="33" spans="1:13" x14ac:dyDescent="0.2">
      <c r="A33" s="28">
        <f>Tabela1315[[#This Row],[Salário/mês]]+Tabela1315[[#This Row],[Encargos/mês]]</f>
        <v>2174.172</v>
      </c>
      <c r="B33" s="29">
        <v>1560</v>
      </c>
      <c r="C33" s="29">
        <f>(0.0833+0.1111+0.04+0.08+0.0793)*Tabela1315[[#This Row],[Salário/mês]]</f>
        <v>614.17200000000003</v>
      </c>
      <c r="G33" s="5"/>
    </row>
    <row r="34" spans="1:13" x14ac:dyDescent="0.2">
      <c r="A34" s="26" t="s">
        <v>62</v>
      </c>
      <c r="B34" s="9" t="s">
        <v>59</v>
      </c>
      <c r="C34" s="9" t="s">
        <v>60</v>
      </c>
      <c r="G34" s="5"/>
    </row>
    <row r="35" spans="1:13" x14ac:dyDescent="0.2">
      <c r="A35" s="31">
        <f>(((Tabela18[[#This Row],[Vida Útil]]-ROUNDDOWN(Tabela8[Idade Média],0))/(1+2+3+4+5+6+7+8+9+10)))*(1-Tabela18[[#This Row],[Valor Residual]])</f>
        <v>0.1390909090909091</v>
      </c>
      <c r="B35" s="32">
        <v>10</v>
      </c>
      <c r="C35" s="33">
        <v>0.15</v>
      </c>
      <c r="G35" s="5"/>
    </row>
    <row r="36" spans="1:13" ht="13.5" thickBot="1" x14ac:dyDescent="0.25">
      <c r="A36" s="26" t="s">
        <v>63</v>
      </c>
      <c r="B36" s="9" t="s">
        <v>61</v>
      </c>
      <c r="C36" s="9" t="s">
        <v>64</v>
      </c>
      <c r="E36" s="35" t="s">
        <v>65</v>
      </c>
      <c r="G36" s="5"/>
    </row>
    <row r="37" spans="1:13" ht="13.5" thickTop="1" x14ac:dyDescent="0.2">
      <c r="A37" s="31">
        <f>Tabela20[[#This Row],[Coeficiente Idade Média]]*Tabela20[[#This Row],[TRC (Taxa de Remunração)]]*(1-Tabela131516[Coeficiente])</f>
        <v>5.949999999999999E-2</v>
      </c>
      <c r="B37" s="17">
        <f>1-((10+9+8)/(1+2+3+4+5+6+7+8+9+10))</f>
        <v>0.50909090909090904</v>
      </c>
      <c r="C37" s="34">
        <v>0.13750000000000001</v>
      </c>
      <c r="E37" s="36">
        <f>Tabela9[Custo Fixo/mês]/Tabela7[Km/mês]</f>
        <v>4.9929596477272726</v>
      </c>
      <c r="G37" s="5"/>
    </row>
    <row r="38" spans="1:13" x14ac:dyDescent="0.2">
      <c r="A38" s="17"/>
      <c r="B38" s="17"/>
      <c r="C38" s="18"/>
      <c r="G38" s="5"/>
    </row>
    <row r="39" spans="1:13" x14ac:dyDescent="0.2">
      <c r="A39" s="17"/>
      <c r="B39" s="17"/>
      <c r="C39" s="18"/>
      <c r="E39" s="21" t="s">
        <v>89</v>
      </c>
      <c r="G39" s="5"/>
    </row>
    <row r="40" spans="1:13" x14ac:dyDescent="0.2">
      <c r="A40" s="17"/>
      <c r="B40" s="17"/>
      <c r="C40" s="18"/>
      <c r="E40" s="21"/>
      <c r="G40" s="5"/>
    </row>
    <row r="41" spans="1:13" x14ac:dyDescent="0.2">
      <c r="A41" s="39" t="str">
        <f>A1</f>
        <v>SECRETARIA MUNICIPAL DE EDUCAÇÃO - CÁLCULO DE CUSTO DE TRANSPORTE ESCOLAR - LINHAS - URBANAS - 120 KM</v>
      </c>
      <c r="B41" s="39"/>
      <c r="C41" s="39"/>
      <c r="D41" s="39"/>
      <c r="E41" s="39"/>
      <c r="F41" s="39"/>
      <c r="G41" s="17"/>
      <c r="H41" s="17"/>
      <c r="I41" s="18"/>
      <c r="J41" s="9"/>
      <c r="K41" s="21"/>
      <c r="L41" s="9"/>
      <c r="M41" s="5"/>
    </row>
    <row r="42" spans="1:13" x14ac:dyDescent="0.2">
      <c r="A42" s="7"/>
      <c r="B42" s="7"/>
      <c r="C42" s="7"/>
      <c r="D42" s="7"/>
      <c r="E42" s="7"/>
      <c r="F42" s="7"/>
      <c r="G42" s="17"/>
      <c r="H42" s="17"/>
      <c r="I42" s="18"/>
      <c r="J42" s="9"/>
      <c r="K42" s="21"/>
      <c r="L42" s="9"/>
      <c r="M42" s="5"/>
    </row>
    <row r="43" spans="1:13" x14ac:dyDescent="0.2">
      <c r="A43" s="38" t="s">
        <v>85</v>
      </c>
      <c r="B43" s="38"/>
      <c r="C43" s="38"/>
      <c r="D43" s="38"/>
      <c r="E43" s="38"/>
      <c r="F43" s="38"/>
      <c r="G43" s="5"/>
    </row>
    <row r="44" spans="1:13" x14ac:dyDescent="0.2">
      <c r="A44" s="8" t="s">
        <v>66</v>
      </c>
      <c r="B44" s="9" t="s">
        <v>67</v>
      </c>
      <c r="C44" s="9" t="s">
        <v>68</v>
      </c>
      <c r="D44" s="9" t="s">
        <v>69</v>
      </c>
      <c r="E44" s="9" t="s">
        <v>70</v>
      </c>
      <c r="G44" s="5"/>
    </row>
    <row r="45" spans="1:13" x14ac:dyDescent="0.2">
      <c r="A45" s="15">
        <f>SUM(Tabela1122[[#This Row],[Combustível/Km]:[Peças e Acessórios/Km]])</f>
        <v>1.6164401646123618</v>
      </c>
      <c r="B45" s="16">
        <f>Tabela22[Combustível/Km]</f>
        <v>0.68167202572347274</v>
      </c>
      <c r="C45" s="15">
        <f>Tabela23[Óleos e Lubrificações/Km]</f>
        <v>0.31000000000000005</v>
      </c>
      <c r="D45" s="16">
        <f>Tabela24[Rodagem/Km]</f>
        <v>0.04</v>
      </c>
      <c r="E45" s="16">
        <f>Tabela25[Peças e Acessórios]</f>
        <v>0.5847681388888889</v>
      </c>
      <c r="G45" s="5"/>
    </row>
    <row r="46" spans="1:13" x14ac:dyDescent="0.2">
      <c r="A46" s="9" t="s">
        <v>67</v>
      </c>
      <c r="B46" s="9" t="s">
        <v>72</v>
      </c>
      <c r="C46" s="9" t="s">
        <v>71</v>
      </c>
      <c r="G46" s="5"/>
    </row>
    <row r="47" spans="1:13" x14ac:dyDescent="0.2">
      <c r="A47" s="15">
        <f>Tabela22[[#This Row],[Coeficiente de Consumo (L/Km)]]*Tabela22[[#This Row],[Preço Médio ($/L)]]</f>
        <v>0.68167202572347274</v>
      </c>
      <c r="B47" s="20">
        <f>1/9.33</f>
        <v>0.10718113612004287</v>
      </c>
      <c r="C47" s="15">
        <v>6.36</v>
      </c>
      <c r="G47" s="5"/>
    </row>
    <row r="48" spans="1:13" x14ac:dyDescent="0.2">
      <c r="A48" s="9" t="s">
        <v>73</v>
      </c>
      <c r="B48" s="9" t="s">
        <v>74</v>
      </c>
      <c r="C48" s="9" t="s">
        <v>71</v>
      </c>
      <c r="G48" s="5"/>
    </row>
    <row r="49" spans="1:7" x14ac:dyDescent="0.2">
      <c r="A49" s="15">
        <f>Tabela23[[#This Row],[Coeficiente de Consumo(L/Km)]]*Tabela23[[#This Row],[Preço Médio ($/L)]]</f>
        <v>0.31000000000000005</v>
      </c>
      <c r="B49" s="9">
        <v>0.05</v>
      </c>
      <c r="C49" s="15">
        <v>6.2</v>
      </c>
      <c r="G49" s="5"/>
    </row>
    <row r="50" spans="1:7" x14ac:dyDescent="0.2">
      <c r="A50" s="9" t="s">
        <v>69</v>
      </c>
      <c r="B50" s="9" t="s">
        <v>75</v>
      </c>
      <c r="C50" s="9" t="s">
        <v>76</v>
      </c>
      <c r="D50" s="9" t="s">
        <v>77</v>
      </c>
      <c r="E50" s="9" t="s">
        <v>78</v>
      </c>
      <c r="F50" s="9" t="s">
        <v>84</v>
      </c>
      <c r="G50" s="5"/>
    </row>
    <row r="51" spans="1:7" x14ac:dyDescent="0.2">
      <c r="A51" s="15">
        <f>((Tabela24[[#This Row],[Preço Pneu Novo]]+Tabela24[[#This Row],[Preço Recapagem]]*Tabela24[[#This Row],[Número de Recapagens]])*Tabela24[[#This Row],[Número de Penus]])/Tabela24[[#This Row],[Vida Útil Pneu (Km)]]</f>
        <v>0.04</v>
      </c>
      <c r="B51" s="15">
        <v>1000</v>
      </c>
      <c r="C51" s="9">
        <v>4</v>
      </c>
      <c r="D51" s="15">
        <v>0</v>
      </c>
      <c r="E51" s="9">
        <v>0</v>
      </c>
      <c r="F51" s="9">
        <v>100000</v>
      </c>
      <c r="G51" s="5"/>
    </row>
    <row r="52" spans="1:7" x14ac:dyDescent="0.2">
      <c r="A52" s="9" t="s">
        <v>20</v>
      </c>
      <c r="B52" s="9" t="s">
        <v>72</v>
      </c>
      <c r="C52" s="9" t="s">
        <v>87</v>
      </c>
      <c r="G52" s="5"/>
    </row>
    <row r="53" spans="1:7" x14ac:dyDescent="0.2">
      <c r="A53" s="16">
        <f>Tabela25[[#This Row],[Coeficiente de Consumo (L/Km)]]*Tabela25[[#This Row],[Preço Médio Veículo]]/Tabela7[Km/mês]</f>
        <v>0.5847681388888889</v>
      </c>
      <c r="B53" s="9">
        <v>5.3E-3</v>
      </c>
      <c r="C53" s="16">
        <f>Tabela8[Preço Médio]</f>
        <v>264800.66666666669</v>
      </c>
      <c r="G53" s="5"/>
    </row>
    <row r="54" spans="1:7" x14ac:dyDescent="0.2">
      <c r="G54" s="5"/>
    </row>
    <row r="55" spans="1:7" x14ac:dyDescent="0.2">
      <c r="E55" s="22" t="s">
        <v>88</v>
      </c>
    </row>
  </sheetData>
  <mergeCells count="9">
    <mergeCell ref="A43:F43"/>
    <mergeCell ref="A41:F41"/>
    <mergeCell ref="A16:F16"/>
    <mergeCell ref="A9:F9"/>
    <mergeCell ref="A1:F1"/>
    <mergeCell ref="A4:F4"/>
    <mergeCell ref="A13:F13"/>
    <mergeCell ref="A7:F7"/>
    <mergeCell ref="A17:F17"/>
  </mergeCells>
  <pageMargins left="0.25" right="0.25" top="0.75" bottom="0.75" header="0.3" footer="0.3"/>
  <pageSetup paperSize="9" orientation="landscape" verticalDpi="0" r:id="rId1"/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9"/>
  <sheetViews>
    <sheetView workbookViewId="0">
      <selection activeCell="C9" sqref="C9"/>
    </sheetView>
  </sheetViews>
  <sheetFormatPr defaultRowHeight="15" x14ac:dyDescent="0.25"/>
  <cols>
    <col min="2" max="2" width="21.5703125" bestFit="1" customWidth="1"/>
    <col min="3" max="3" width="19.28515625" bestFit="1" customWidth="1"/>
    <col min="4" max="4" width="19.7109375" bestFit="1" customWidth="1"/>
  </cols>
  <sheetData>
    <row r="2" spans="2:4" x14ac:dyDescent="0.25">
      <c r="B2" s="1" t="s">
        <v>12</v>
      </c>
      <c r="C2" s="1" t="s">
        <v>13</v>
      </c>
    </row>
    <row r="3" spans="2:4" x14ac:dyDescent="0.25">
      <c r="B3" s="1" t="s">
        <v>8</v>
      </c>
      <c r="C3" s="1" t="s">
        <v>17</v>
      </c>
    </row>
    <row r="4" spans="2:4" x14ac:dyDescent="0.25">
      <c r="B4" s="1" t="s">
        <v>14</v>
      </c>
      <c r="C4" s="1" t="s">
        <v>18</v>
      </c>
    </row>
    <row r="5" spans="2:4" x14ac:dyDescent="0.25">
      <c r="B5" s="1" t="s">
        <v>15</v>
      </c>
      <c r="C5" s="1" t="s">
        <v>19</v>
      </c>
    </row>
    <row r="6" spans="2:4" x14ac:dyDescent="0.25">
      <c r="B6" s="1" t="s">
        <v>16</v>
      </c>
      <c r="C6" s="1" t="s">
        <v>20</v>
      </c>
    </row>
    <row r="7" spans="2:4" x14ac:dyDescent="0.25">
      <c r="B7" s="1" t="s">
        <v>24</v>
      </c>
      <c r="C7" s="1"/>
    </row>
    <row r="9" spans="2:4" x14ac:dyDescent="0.25">
      <c r="B9" s="2" t="s">
        <v>21</v>
      </c>
      <c r="C9" s="3" t="s">
        <v>23</v>
      </c>
      <c r="D9" s="3" t="s">
        <v>22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J50"/>
  <sheetViews>
    <sheetView workbookViewId="0">
      <selection activeCell="G15" sqref="G15"/>
    </sheetView>
  </sheetViews>
  <sheetFormatPr defaultRowHeight="15" x14ac:dyDescent="0.25"/>
  <cols>
    <col min="3" max="3" width="14.85546875" bestFit="1" customWidth="1"/>
    <col min="4" max="4" width="34.7109375" bestFit="1" customWidth="1"/>
    <col min="5" max="5" width="14.28515625" bestFit="1" customWidth="1"/>
    <col min="6" max="6" width="16.7109375" bestFit="1" customWidth="1"/>
    <col min="7" max="7" width="12.7109375" bestFit="1" customWidth="1"/>
    <col min="9" max="9" width="17.85546875" bestFit="1" customWidth="1"/>
    <col min="10" max="10" width="38.42578125" bestFit="1" customWidth="1"/>
  </cols>
  <sheetData>
    <row r="2" spans="2:10" x14ac:dyDescent="0.25"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I2" t="s">
        <v>30</v>
      </c>
      <c r="J2" t="s">
        <v>97</v>
      </c>
    </row>
    <row r="3" spans="2:10" x14ac:dyDescent="0.25">
      <c r="B3">
        <v>1</v>
      </c>
      <c r="C3" t="s">
        <v>38</v>
      </c>
      <c r="D3" t="s">
        <v>91</v>
      </c>
      <c r="E3">
        <v>2021</v>
      </c>
      <c r="F3">
        <v>2</v>
      </c>
      <c r="G3" s="4">
        <f>J9</f>
        <v>281545</v>
      </c>
      <c r="I3" t="s">
        <v>31</v>
      </c>
      <c r="J3" t="s">
        <v>90</v>
      </c>
    </row>
    <row r="4" spans="2:10" x14ac:dyDescent="0.25">
      <c r="B4">
        <v>2</v>
      </c>
      <c r="C4" t="s">
        <v>38</v>
      </c>
      <c r="D4" t="s">
        <v>91</v>
      </c>
      <c r="E4">
        <v>2022</v>
      </c>
      <c r="F4">
        <v>1</v>
      </c>
      <c r="G4" s="4">
        <f>J18</f>
        <v>305852</v>
      </c>
      <c r="I4" t="s">
        <v>32</v>
      </c>
      <c r="J4" t="s">
        <v>38</v>
      </c>
    </row>
    <row r="5" spans="2:10" x14ac:dyDescent="0.25">
      <c r="B5">
        <v>3</v>
      </c>
      <c r="C5" t="s">
        <v>96</v>
      </c>
      <c r="D5" t="s">
        <v>92</v>
      </c>
      <c r="E5">
        <v>2022</v>
      </c>
      <c r="F5">
        <v>1</v>
      </c>
      <c r="G5" s="4">
        <f>J27</f>
        <v>207005</v>
      </c>
      <c r="I5" t="s">
        <v>33</v>
      </c>
      <c r="J5" t="s">
        <v>91</v>
      </c>
    </row>
    <row r="6" spans="2:10" x14ac:dyDescent="0.25">
      <c r="B6">
        <v>4</v>
      </c>
      <c r="I6" t="s">
        <v>34</v>
      </c>
      <c r="J6" t="s">
        <v>93</v>
      </c>
    </row>
    <row r="7" spans="2:10" x14ac:dyDescent="0.25">
      <c r="B7">
        <v>5</v>
      </c>
      <c r="I7" t="s">
        <v>35</v>
      </c>
      <c r="J7" t="s">
        <v>102</v>
      </c>
    </row>
    <row r="8" spans="2:10" x14ac:dyDescent="0.25">
      <c r="B8">
        <v>6</v>
      </c>
      <c r="I8" t="s">
        <v>36</v>
      </c>
      <c r="J8" t="s">
        <v>101</v>
      </c>
    </row>
    <row r="9" spans="2:10" x14ac:dyDescent="0.25">
      <c r="B9">
        <v>7</v>
      </c>
      <c r="I9" t="s">
        <v>37</v>
      </c>
      <c r="J9" s="4">
        <v>281545</v>
      </c>
    </row>
    <row r="10" spans="2:10" x14ac:dyDescent="0.25">
      <c r="B10">
        <v>8</v>
      </c>
    </row>
    <row r="11" spans="2:10" x14ac:dyDescent="0.25">
      <c r="B11">
        <v>9</v>
      </c>
      <c r="I11" t="s">
        <v>30</v>
      </c>
      <c r="J11" t="s">
        <v>97</v>
      </c>
    </row>
    <row r="12" spans="2:10" x14ac:dyDescent="0.25">
      <c r="B12">
        <v>10</v>
      </c>
      <c r="I12" t="s">
        <v>31</v>
      </c>
      <c r="J12" t="s">
        <v>90</v>
      </c>
    </row>
    <row r="13" spans="2:10" x14ac:dyDescent="0.25">
      <c r="B13">
        <v>11</v>
      </c>
      <c r="I13" t="s">
        <v>32</v>
      </c>
      <c r="J13" t="s">
        <v>38</v>
      </c>
    </row>
    <row r="14" spans="2:10" x14ac:dyDescent="0.25">
      <c r="B14">
        <v>12</v>
      </c>
      <c r="I14" t="s">
        <v>33</v>
      </c>
      <c r="J14" t="s">
        <v>91</v>
      </c>
    </row>
    <row r="15" spans="2:10" x14ac:dyDescent="0.25">
      <c r="B15">
        <v>13</v>
      </c>
      <c r="I15" t="s">
        <v>34</v>
      </c>
      <c r="J15" t="s">
        <v>94</v>
      </c>
    </row>
    <row r="16" spans="2:10" x14ac:dyDescent="0.25">
      <c r="B16">
        <v>14</v>
      </c>
      <c r="I16" t="s">
        <v>35</v>
      </c>
      <c r="J16" t="s">
        <v>100</v>
      </c>
    </row>
    <row r="17" spans="2:10" x14ac:dyDescent="0.25">
      <c r="B17">
        <v>15</v>
      </c>
      <c r="I17" t="s">
        <v>36</v>
      </c>
      <c r="J17" t="s">
        <v>101</v>
      </c>
    </row>
    <row r="18" spans="2:10" x14ac:dyDescent="0.25">
      <c r="B18">
        <v>16</v>
      </c>
      <c r="I18" t="s">
        <v>37</v>
      </c>
      <c r="J18" s="4">
        <v>305852</v>
      </c>
    </row>
    <row r="19" spans="2:10" x14ac:dyDescent="0.25">
      <c r="B19">
        <v>17</v>
      </c>
    </row>
    <row r="20" spans="2:10" x14ac:dyDescent="0.25">
      <c r="B20">
        <v>18</v>
      </c>
      <c r="I20" t="s">
        <v>30</v>
      </c>
      <c r="J20" t="s">
        <v>97</v>
      </c>
    </row>
    <row r="21" spans="2:10" x14ac:dyDescent="0.25">
      <c r="B21">
        <v>19</v>
      </c>
      <c r="I21" t="s">
        <v>31</v>
      </c>
      <c r="J21" t="s">
        <v>95</v>
      </c>
    </row>
    <row r="22" spans="2:10" x14ac:dyDescent="0.25">
      <c r="B22">
        <v>20</v>
      </c>
      <c r="I22" t="s">
        <v>32</v>
      </c>
      <c r="J22" t="s">
        <v>96</v>
      </c>
    </row>
    <row r="23" spans="2:10" x14ac:dyDescent="0.25">
      <c r="B23">
        <v>21</v>
      </c>
      <c r="I23" t="s">
        <v>33</v>
      </c>
      <c r="J23" t="s">
        <v>92</v>
      </c>
    </row>
    <row r="24" spans="2:10" x14ac:dyDescent="0.25">
      <c r="B24">
        <v>22</v>
      </c>
      <c r="I24" t="s">
        <v>34</v>
      </c>
      <c r="J24" t="s">
        <v>94</v>
      </c>
    </row>
    <row r="25" spans="2:10" x14ac:dyDescent="0.25">
      <c r="B25">
        <v>23</v>
      </c>
      <c r="I25" t="s">
        <v>35</v>
      </c>
      <c r="J25" t="s">
        <v>98</v>
      </c>
    </row>
    <row r="26" spans="2:10" x14ac:dyDescent="0.25">
      <c r="B26">
        <v>24</v>
      </c>
      <c r="I26" t="s">
        <v>36</v>
      </c>
      <c r="J26" t="s">
        <v>99</v>
      </c>
    </row>
    <row r="27" spans="2:10" x14ac:dyDescent="0.25">
      <c r="B27">
        <v>25</v>
      </c>
      <c r="I27" t="s">
        <v>37</v>
      </c>
      <c r="J27" s="4">
        <v>207005</v>
      </c>
    </row>
    <row r="28" spans="2:10" x14ac:dyDescent="0.25">
      <c r="B28">
        <v>26</v>
      </c>
    </row>
    <row r="29" spans="2:10" x14ac:dyDescent="0.25">
      <c r="B29">
        <v>27</v>
      </c>
    </row>
    <row r="30" spans="2:10" x14ac:dyDescent="0.25">
      <c r="B30">
        <v>28</v>
      </c>
    </row>
    <row r="31" spans="2:10" x14ac:dyDescent="0.25">
      <c r="B31">
        <v>29</v>
      </c>
    </row>
    <row r="32" spans="2:10" x14ac:dyDescent="0.25">
      <c r="B32">
        <v>30</v>
      </c>
    </row>
    <row r="33" spans="2:2" x14ac:dyDescent="0.25">
      <c r="B33">
        <v>31</v>
      </c>
    </row>
    <row r="34" spans="2:2" x14ac:dyDescent="0.25">
      <c r="B34">
        <v>32</v>
      </c>
    </row>
    <row r="35" spans="2:2" x14ac:dyDescent="0.25">
      <c r="B35">
        <v>33</v>
      </c>
    </row>
    <row r="36" spans="2:2" x14ac:dyDescent="0.25">
      <c r="B36">
        <v>34</v>
      </c>
    </row>
    <row r="37" spans="2:2" x14ac:dyDescent="0.25">
      <c r="B37">
        <v>35</v>
      </c>
    </row>
    <row r="38" spans="2:2" x14ac:dyDescent="0.25">
      <c r="B38">
        <v>36</v>
      </c>
    </row>
    <row r="39" spans="2:2" x14ac:dyDescent="0.25">
      <c r="B39">
        <v>37</v>
      </c>
    </row>
    <row r="40" spans="2:2" x14ac:dyDescent="0.25">
      <c r="B40">
        <v>38</v>
      </c>
    </row>
    <row r="41" spans="2:2" x14ac:dyDescent="0.25">
      <c r="B41">
        <v>39</v>
      </c>
    </row>
    <row r="42" spans="2:2" x14ac:dyDescent="0.25">
      <c r="B42">
        <v>40</v>
      </c>
    </row>
    <row r="43" spans="2:2" x14ac:dyDescent="0.25">
      <c r="B43">
        <v>41</v>
      </c>
    </row>
    <row r="44" spans="2:2" x14ac:dyDescent="0.25">
      <c r="B44">
        <v>42</v>
      </c>
    </row>
    <row r="45" spans="2:2" x14ac:dyDescent="0.25">
      <c r="B45">
        <v>43</v>
      </c>
    </row>
    <row r="46" spans="2:2" x14ac:dyDescent="0.25">
      <c r="B46">
        <v>44</v>
      </c>
    </row>
    <row r="47" spans="2:2" x14ac:dyDescent="0.25">
      <c r="B47">
        <v>45</v>
      </c>
    </row>
    <row r="48" spans="2:2" x14ac:dyDescent="0.25">
      <c r="B48">
        <v>46</v>
      </c>
    </row>
    <row r="49" spans="2:2" x14ac:dyDescent="0.25">
      <c r="B49">
        <v>47</v>
      </c>
    </row>
    <row r="50" spans="2:2" x14ac:dyDescent="0.25">
      <c r="B50">
        <v>48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PLANILHA DE CUSTO</vt:lpstr>
      <vt:lpstr>METODOLOGIA</vt:lpstr>
      <vt:lpstr>VEÍCULOS</vt:lpstr>
      <vt:lpstr>'PLANILHA DE CUSTO'!Area_de_impressao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2022-10-05T18:26:15Z</cp:lastPrinted>
  <dcterms:created xsi:type="dcterms:W3CDTF">2015-06-05T18:19:34Z</dcterms:created>
  <dcterms:modified xsi:type="dcterms:W3CDTF">2024-06-21T18:38:59Z</dcterms:modified>
</cp:coreProperties>
</file>