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sebraepr.sharepoint.com/sites/pr_ucf/Documentos2022/3 - Compras/Contratações/Licitação/SCC's/2026/2. Pregão Eletrônico/17_2026 - Vigilante Colombo/Termo de referêncIa/"/>
    </mc:Choice>
  </mc:AlternateContent>
  <xr:revisionPtr revIDLastSave="2336" documentId="13_ncr:1_{46462ED1-9F9B-4A41-A434-C1D032A20531}" xr6:coauthVersionLast="47" xr6:coauthVersionMax="47" xr10:uidLastSave="{E8E1C415-A0FA-4D7B-B3A7-6A773568C297}"/>
  <workbookProtection workbookAlgorithmName="SHA-512" workbookHashValue="OxNGdykyGHS+NYOorNu+rmeR02F8VAX5Qf6YE3b02wkldpDD3WG4cMgMOsm08/3yw80HoADmwrFYv8sVLTpLBw==" workbookSaltValue="NTI+mgP3+V9Hl+1gd9uKXg==" workbookSpinCount="100000" lockStructure="1"/>
  <bookViews>
    <workbookView xWindow="-120" yWindow="-120" windowWidth="29040" windowHeight="15720" activeTab="2" xr2:uid="{50548692-4806-4DE1-8D88-350D0B6EE7C9}"/>
  </bookViews>
  <sheets>
    <sheet name="Resumo" sheetId="7" r:id="rId1"/>
    <sheet name="VIGILANTE DESARMADO" sheetId="15" r:id="rId2"/>
    <sheet name="MODULO 5 MATERIAIS_EQUIP_UNIF" sheetId="3" r:id="rId3"/>
  </sheets>
  <definedNames>
    <definedName name="BuiltIn_Criteria">#N/A</definedName>
    <definedName name="BuiltIn_Data_Form">#N/A</definedName>
    <definedName name="BuiltIn_Database">#N/A</definedName>
    <definedName name="BuiltIn_Print_Area">#N/A</definedName>
    <definedName name="BuiltIn_Print_Titles">#N/A</definedName>
    <definedName name="BuiltIn_Recorder">#N/A</definedName>
    <definedName name="dsfsdf">#REF!</definedName>
    <definedName name="Excel_BuiltIn__FilterDatabase_3">#REF!</definedName>
    <definedName name="preçoaçucar">#REF!</definedName>
    <definedName name="preçocafé">#REF!</definedName>
    <definedName name="preçocopo200">#REF!</definedName>
    <definedName name="preçocopo50">#REF!</definedName>
    <definedName name="preçoleite">#REF!</definedName>
    <definedName name="preçomanteiga">#REF!</definedName>
    <definedName name="preçopão">#REF!</definedName>
    <definedName name="sdf">#REF!</definedName>
    <definedName name="ss">#REF!</definedName>
    <definedName name="USUÁ">#REF!</definedName>
    <definedName name="USUÁRIOS">#REF!</definedName>
    <definedName name="USUÁRIOTERESIN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3" l="1"/>
  <c r="B17" i="3"/>
  <c r="D16" i="3"/>
  <c r="E16" i="3" s="1"/>
  <c r="D15" i="3"/>
  <c r="C12" i="3"/>
  <c r="B12" i="3"/>
  <c r="D11" i="3"/>
  <c r="E11" i="3" s="1"/>
  <c r="D10" i="3"/>
  <c r="E10" i="3" s="1"/>
  <c r="D9" i="3"/>
  <c r="E9" i="3" s="1"/>
  <c r="D8" i="3"/>
  <c r="E8" i="3" s="1"/>
  <c r="D7" i="3"/>
  <c r="E7" i="3" s="1"/>
  <c r="D6" i="3"/>
  <c r="E6" i="3" s="1"/>
  <c r="D5" i="3"/>
  <c r="D4" i="3"/>
  <c r="E4" i="3" s="1"/>
  <c r="D17" i="3" l="1"/>
  <c r="E15" i="3"/>
  <c r="E17" i="3" s="1"/>
  <c r="B23" i="3" s="1"/>
  <c r="C105" i="15" s="1"/>
  <c r="D12" i="3"/>
  <c r="E5" i="3"/>
  <c r="E12" i="3" s="1"/>
  <c r="B22" i="3" s="1"/>
  <c r="C106" i="15" s="1"/>
  <c r="C118" i="15" l="1"/>
  <c r="C117" i="15"/>
  <c r="C116" i="15"/>
  <c r="C114" i="15"/>
  <c r="C113" i="15"/>
  <c r="C85" i="15"/>
  <c r="C84" i="15"/>
  <c r="D54" i="15"/>
  <c r="D53" i="15"/>
  <c r="D52" i="15"/>
  <c r="D51" i="15"/>
  <c r="C50" i="15"/>
  <c r="D50" i="15" s="1"/>
  <c r="C49" i="15"/>
  <c r="C37" i="15"/>
  <c r="C43" i="15" s="1"/>
  <c r="C27" i="15"/>
  <c r="C7" i="15"/>
  <c r="D13" i="15" s="1"/>
  <c r="D14" i="15" s="1"/>
  <c r="H13" i="7"/>
  <c r="H14" i="7"/>
  <c r="H15" i="7"/>
  <c r="D49" i="15" l="1"/>
  <c r="D55" i="15" s="1"/>
  <c r="D63" i="15" s="1"/>
  <c r="C115" i="15"/>
  <c r="C135" i="15" s="1"/>
  <c r="C86" i="15"/>
  <c r="C87" i="15"/>
  <c r="C88" i="15"/>
  <c r="C74" i="15"/>
  <c r="C75" i="15" s="1"/>
  <c r="C28" i="15"/>
  <c r="C29" i="15" s="1"/>
  <c r="D16" i="15"/>
  <c r="D41" i="15" s="1"/>
  <c r="D86" i="15" l="1"/>
  <c r="C90" i="15"/>
  <c r="C91" i="15" s="1"/>
  <c r="C92" i="15" s="1"/>
  <c r="D70" i="15"/>
  <c r="D71" i="15" s="1"/>
  <c r="D26" i="15"/>
  <c r="D40" i="15"/>
  <c r="D38" i="15"/>
  <c r="D36" i="15"/>
  <c r="D25" i="15"/>
  <c r="D37" i="15"/>
  <c r="D88" i="15"/>
  <c r="D73" i="15"/>
  <c r="D74" i="15" s="1"/>
  <c r="D35" i="15"/>
  <c r="C125" i="15"/>
  <c r="D72" i="15"/>
  <c r="D85" i="15"/>
  <c r="D42" i="15"/>
  <c r="D84" i="15"/>
  <c r="D39" i="15"/>
  <c r="D87" i="15"/>
  <c r="D27" i="15" l="1"/>
  <c r="D28" i="15" s="1"/>
  <c r="D29" i="15" s="1"/>
  <c r="D61" i="15" s="1"/>
  <c r="D43" i="15"/>
  <c r="D62" i="15" s="1"/>
  <c r="D90" i="15"/>
  <c r="D91" i="15" s="1"/>
  <c r="D92" i="15" s="1"/>
  <c r="C97" i="15" s="1"/>
  <c r="C98" i="15" s="1"/>
  <c r="C128" i="15" s="1"/>
  <c r="D75" i="15"/>
  <c r="C127" i="15" s="1"/>
  <c r="D64" i="15" l="1"/>
  <c r="C126" i="15" s="1"/>
  <c r="H16" i="7" l="1"/>
  <c r="C89" i="15" l="1"/>
  <c r="D89" i="15" s="1"/>
  <c r="C107" i="15" l="1"/>
  <c r="C129" i="15" l="1"/>
  <c r="C130" i="15" s="1"/>
  <c r="D113" i="15" l="1"/>
  <c r="D114" i="15" l="1"/>
  <c r="C136" i="15" l="1"/>
  <c r="C137" i="15" s="1"/>
  <c r="C138" i="15" s="1"/>
  <c r="D118" i="15"/>
  <c r="D117" i="15"/>
  <c r="D116" i="15"/>
  <c r="D115" i="15" l="1"/>
  <c r="D119" i="15" s="1"/>
  <c r="C131" i="15" s="1"/>
  <c r="C132" i="15" s="1"/>
  <c r="D5" i="7" l="1"/>
  <c r="D6" i="7" s="1"/>
</calcChain>
</file>

<file path=xl/sharedStrings.xml><?xml version="1.0" encoding="utf-8"?>
<sst xmlns="http://schemas.openxmlformats.org/spreadsheetml/2006/main" count="262" uniqueCount="170">
  <si>
    <t>Mão de Obra</t>
  </si>
  <si>
    <t>Cargo</t>
  </si>
  <si>
    <t>Módulo 1 - Composição da Remuneração</t>
  </si>
  <si>
    <t>Composição da Remuneração</t>
  </si>
  <si>
    <t>Valor (R$)</t>
  </si>
  <si>
    <t>Fundamentação Legal</t>
  </si>
  <si>
    <t>A</t>
  </si>
  <si>
    <t>Salário-Base</t>
  </si>
  <si>
    <t>Salário normativo da categoria de acorodo com a CCT</t>
  </si>
  <si>
    <t>B</t>
  </si>
  <si>
    <t>C</t>
  </si>
  <si>
    <t>D</t>
  </si>
  <si>
    <t>E</t>
  </si>
  <si>
    <t>F</t>
  </si>
  <si>
    <t>Total</t>
  </si>
  <si>
    <t>Módulo 2 - Encargos e Benefícios Anuais, Mensais e Diários</t>
  </si>
  <si>
    <t>2.1</t>
  </si>
  <si>
    <t>13º (décimo terceiro) Salário, Férias e Adicional de Férias</t>
  </si>
  <si>
    <t>Percentual (%)</t>
  </si>
  <si>
    <t>Lei 4090/62 Inciso VIII Art. 7 CF 88</t>
  </si>
  <si>
    <t>2.2</t>
  </si>
  <si>
    <t>13º (décimo terceiro) Salário</t>
  </si>
  <si>
    <t>2.3</t>
  </si>
  <si>
    <t>GPS, FGTS e outras contribuições</t>
  </si>
  <si>
    <t>INSS</t>
  </si>
  <si>
    <t>Art. 22, Inciso I, da Lei 8.212/91</t>
  </si>
  <si>
    <t>Salário Educação</t>
  </si>
  <si>
    <t>Artigo 3º Inciso I Decreto 87.043/82</t>
  </si>
  <si>
    <t>G</t>
  </si>
  <si>
    <t>SESC ou SESI</t>
  </si>
  <si>
    <t>Artigo 30 da Lei nº 8.036/90</t>
  </si>
  <si>
    <t>H</t>
  </si>
  <si>
    <t>SENAI - SENAC</t>
  </si>
  <si>
    <t>Decreto-Lei nº 2.318/86</t>
  </si>
  <si>
    <t>I</t>
  </si>
  <si>
    <t>SEBRAE</t>
  </si>
  <si>
    <t>Lei nº 8.029/90</t>
  </si>
  <si>
    <t>J</t>
  </si>
  <si>
    <t>INCRA</t>
  </si>
  <si>
    <t>Artigos 1º e 2º do Decreto-Lei nº 1.146/70.</t>
  </si>
  <si>
    <t>K</t>
  </si>
  <si>
    <t>FGTS</t>
  </si>
  <si>
    <t>Artigo 15 Lei 8036/90 e Art. 7º Inciso III CF/88</t>
  </si>
  <si>
    <t xml:space="preserve">Total </t>
  </si>
  <si>
    <t>2.4</t>
  </si>
  <si>
    <t>Benefícios Mensais e Diários</t>
  </si>
  <si>
    <t>Valor Total (R$)</t>
  </si>
  <si>
    <t>L</t>
  </si>
  <si>
    <t>Vale Transporte</t>
  </si>
  <si>
    <t>N</t>
  </si>
  <si>
    <t>Vale Refeição (Desconto)</t>
  </si>
  <si>
    <t>P</t>
  </si>
  <si>
    <t>Assistência Médica</t>
  </si>
  <si>
    <t>R</t>
  </si>
  <si>
    <t>Custos dos exames admssional, períodicos e demissionais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</si>
  <si>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</si>
  <si>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</si>
  <si>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</si>
  <si>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</si>
  <si>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</si>
  <si>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</si>
  <si>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Trabalhado e Indenizado</t>
  </si>
  <si>
    <t>Aviso Prévio Trabalhado</t>
  </si>
  <si>
    <t>Incidência dos encargos do submódulo 2.2 sobre o Aviso Prévio Trabalhado</t>
  </si>
  <si>
    <t>Módulo 4 - Custo de Reposição do Profissional Ausente</t>
  </si>
  <si>
    <t>4.1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</si>
  <si>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</si>
  <si>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</si>
  <si>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</si>
  <si>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</si>
  <si>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Módulo 6 - Custos Indiretos, Tributos e Lucro</t>
  </si>
  <si>
    <t>Custos Indiretos, Tributos e Lucro</t>
  </si>
  <si>
    <t>Custos Indiretos</t>
  </si>
  <si>
    <t>Lucro</t>
  </si>
  <si>
    <t>Tributos</t>
  </si>
  <si>
    <t>C.1. PIS (Lucro Presumido, se for Lucro Real só alterar a alíquota)</t>
  </si>
  <si>
    <t>C.2. COFINS (Lucro Presumido, se for Lucro Real só alterar a alíquota)</t>
  </si>
  <si>
    <t>C.3. ISS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</si>
  <si>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</si>
  <si>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</si>
  <si>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</si>
  <si>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</si>
  <si>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</si>
  <si>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a) Tributos</t>
  </si>
  <si>
    <t>b) Total dos Módulos 1,2,3,4,5+Custos indiretos+lucro)</t>
  </si>
  <si>
    <t>C)Po/(1-TO)=P1</t>
  </si>
  <si>
    <t>Valor dos Tributos = P1-Po</t>
  </si>
  <si>
    <t>Submódulo 2.1 - 13º (décimo terceiro) Salário, Férias e Adicional de Férias</t>
  </si>
  <si>
    <t>Submódulo 2.2 - Encargos Previdenciários (GPS), Fundo de Garantia por Tempo de Serviço (FGTS) e outras contribuições.</t>
  </si>
  <si>
    <t>Submódulo 2.3 - Benefícios Mensais e Diários.</t>
  </si>
  <si>
    <t>Seguro de vida</t>
  </si>
  <si>
    <t>Outros (Descrever )</t>
  </si>
  <si>
    <t xml:space="preserve">Incidência do submódulo 2.2 sobre o submódulo 2.1 </t>
  </si>
  <si>
    <t>SUBTOTAL</t>
  </si>
  <si>
    <t>Subtotal</t>
  </si>
  <si>
    <t>Incidência do Submódulo 2.2 sobre o Submódulo 4.1</t>
  </si>
  <si>
    <t>Fundo de Formação</t>
  </si>
  <si>
    <t>Cláusula 19a da CCT</t>
  </si>
  <si>
    <t>Cláusula 32a da CCT</t>
  </si>
  <si>
    <r>
      <rPr>
        <sz val="12"/>
        <color rgb="FFFF0000"/>
        <rFont val="Times New Roman"/>
        <family val="1"/>
      </rPr>
      <t>40</t>
    </r>
    <r>
      <rPr>
        <sz val="12"/>
        <color theme="1"/>
        <rFont val="Times New Roman"/>
        <family val="1"/>
      </rPr>
      <t xml:space="preserve"> (Multa do FGTS)*</t>
    </r>
    <r>
      <rPr>
        <sz val="12"/>
        <color rgb="FFFF0000"/>
        <rFont val="Times New Roman"/>
        <family val="1"/>
      </rPr>
      <t>8%</t>
    </r>
    <r>
      <rPr>
        <sz val="12"/>
        <color theme="1"/>
        <rFont val="Times New Roman"/>
        <family val="1"/>
      </rPr>
      <t xml:space="preserve"> (Incidência do FGTS) = 3,20%</t>
    </r>
  </si>
  <si>
    <r>
      <t>[(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(unidade de salário)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(dias do mês)) x </t>
    </r>
    <r>
      <rPr>
        <sz val="12"/>
        <color rgb="FFFF0000"/>
        <rFont val="Times New Roman"/>
        <family val="1"/>
      </rPr>
      <t>7</t>
    </r>
    <r>
      <rPr>
        <sz val="12"/>
        <color theme="1"/>
        <rFont val="Times New Roman"/>
        <family val="1"/>
      </rPr>
      <t xml:space="preserve"> (dias da semana)]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(meses do ano) = 1,94%</t>
    </r>
  </si>
  <si>
    <t>Férias e Adicional de Férias</t>
  </si>
  <si>
    <t>Substituto nas Ausências Legais</t>
  </si>
  <si>
    <t>Submódulo 4.1 - Substituto nas Ausências Legais</t>
  </si>
  <si>
    <t>Substituto na cobertura de Férias</t>
  </si>
  <si>
    <t>Substituto na cobertura de Ausências Legais</t>
  </si>
  <si>
    <t>Substituto na cobertura de Licença Paternidade</t>
  </si>
  <si>
    <t>Substituto na cobertura de Licença Maternidade</t>
  </si>
  <si>
    <t>Substituto na cobertura de Ausência por acidente de trabalho</t>
  </si>
  <si>
    <t>Substituto na cobertura de Ausência por Doença</t>
  </si>
  <si>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(unidade de salário)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(mês não trabalhado)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(meses) x </t>
    </r>
    <r>
      <rPr>
        <sz val="12"/>
        <color rgb="FFFF0000"/>
        <rFont val="Times New Roman"/>
        <family val="1"/>
      </rPr>
      <t>5%</t>
    </r>
    <r>
      <rPr>
        <sz val="12"/>
        <color theme="1"/>
        <rFont val="Times New Roman"/>
        <family val="1"/>
      </rPr>
      <t xml:space="preserve"> (estatística) = 0,4167%</t>
    </r>
  </si>
  <si>
    <t>Memória de Cálculo</t>
  </si>
  <si>
    <t>Alíquota FGTS 8%</t>
  </si>
  <si>
    <t>Incidência dos encargos sociais sobre o aviso prévio trabalhado</t>
  </si>
  <si>
    <r>
      <t>(</t>
    </r>
    <r>
      <rPr>
        <sz val="12"/>
        <color rgb="FFFF0000"/>
        <rFont val="Times New Roman"/>
        <family val="1"/>
      </rPr>
      <t>5</t>
    </r>
    <r>
      <rPr>
        <sz val="12"/>
        <color theme="1"/>
        <rFont val="Times New Roman"/>
        <family val="1"/>
      </rPr>
      <t xml:space="preserve"> dias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x </t>
    </r>
    <r>
      <rPr>
        <sz val="12"/>
        <color rgb="FFFF0000"/>
        <rFont val="Times New Roman"/>
        <family val="1"/>
      </rPr>
      <t>6,24%</t>
    </r>
    <r>
      <rPr>
        <sz val="12"/>
        <color theme="1"/>
        <rFont val="Times New Roman"/>
        <family val="1"/>
      </rPr>
      <t xml:space="preserve"> taxa de fecundidade x </t>
    </r>
    <r>
      <rPr>
        <sz val="12"/>
        <color rgb="FFFF0000"/>
        <rFont val="Times New Roman"/>
        <family val="1"/>
      </rPr>
      <t>4,96%</t>
    </r>
    <r>
      <rPr>
        <sz val="12"/>
        <color theme="1"/>
        <rFont val="Times New Roman"/>
        <family val="1"/>
      </rPr>
      <t xml:space="preserve"> participação masculina = </t>
    </r>
    <r>
      <rPr>
        <sz val="12"/>
        <color rgb="FFFF0000"/>
        <rFont val="Times New Roman"/>
        <family val="1"/>
      </rPr>
      <t>0,004%</t>
    </r>
  </si>
  <si>
    <r>
      <t>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dia / 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dia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x </t>
    </r>
    <r>
      <rPr>
        <sz val="12"/>
        <color rgb="FFFF0000"/>
        <rFont val="Times New Roman"/>
        <family val="1"/>
      </rPr>
      <t>100</t>
    </r>
    <r>
      <rPr>
        <sz val="12"/>
        <color theme="1"/>
        <rFont val="Times New Roman"/>
        <family val="1"/>
      </rPr>
      <t xml:space="preserve"> = </t>
    </r>
    <r>
      <rPr>
        <sz val="12"/>
        <color rgb="FFFF0000"/>
        <rFont val="Times New Roman"/>
        <family val="1"/>
      </rPr>
      <t>0,28%</t>
    </r>
  </si>
  <si>
    <r>
      <t>((</t>
    </r>
    <r>
      <rPr>
        <sz val="12"/>
        <color rgb="FFFF0000"/>
        <rFont val="Times New Roman"/>
        <family val="1"/>
      </rPr>
      <t>15</t>
    </r>
    <r>
      <rPr>
        <sz val="12"/>
        <color theme="1"/>
        <rFont val="Times New Roman"/>
        <family val="1"/>
      </rPr>
      <t xml:space="preserve"> dias de ausências INSS 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mês)/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meses)*</t>
    </r>
    <r>
      <rPr>
        <sz val="12"/>
        <color rgb="FFFF0000"/>
        <rFont val="Times New Roman"/>
        <family val="1"/>
      </rPr>
      <t>8%</t>
    </r>
    <r>
      <rPr>
        <sz val="12"/>
        <color theme="1"/>
        <rFont val="Times New Roman"/>
        <family val="1"/>
      </rPr>
      <t xml:space="preserve"> (estimativa IBGE) = </t>
    </r>
    <r>
      <rPr>
        <sz val="12"/>
        <color rgb="FFFF0000"/>
        <rFont val="Times New Roman"/>
        <family val="1"/>
      </rPr>
      <t>0,33%</t>
    </r>
  </si>
  <si>
    <r>
      <t>((</t>
    </r>
    <r>
      <rPr>
        <sz val="12"/>
        <color rgb="FFFF0000"/>
        <rFont val="Times New Roman"/>
        <family val="1"/>
      </rPr>
      <t>5</t>
    </r>
    <r>
      <rPr>
        <sz val="12"/>
        <color theme="1"/>
        <rFont val="Times New Roman"/>
        <family val="1"/>
      </rPr>
      <t xml:space="preserve"> dias de ausência/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impacto sobre o mês)/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 do ano)*</t>
    </r>
    <r>
      <rPr>
        <sz val="12"/>
        <color rgb="FFFF0000"/>
        <rFont val="Times New Roman"/>
        <family val="1"/>
      </rPr>
      <t>2%</t>
    </r>
    <r>
      <rPr>
        <sz val="12"/>
        <color theme="1"/>
        <rFont val="Times New Roman"/>
        <family val="1"/>
      </rPr>
      <t xml:space="preserve"> estimativa de ocorrência=</t>
    </r>
    <r>
      <rPr>
        <sz val="12"/>
        <color rgb="FFFF0000"/>
        <rFont val="Times New Roman"/>
        <family val="1"/>
      </rPr>
      <t>0,028%</t>
    </r>
  </si>
  <si>
    <r>
      <t>(</t>
    </r>
    <r>
      <rPr>
        <sz val="12"/>
        <color rgb="FFFF0000"/>
        <rFont val="Times New Roman"/>
        <family val="1"/>
      </rPr>
      <t>5,96</t>
    </r>
    <r>
      <rPr>
        <sz val="12"/>
        <color theme="1"/>
        <rFont val="Times New Roman"/>
        <family val="1"/>
      </rPr>
      <t xml:space="preserve"> dias/ano IBGE/</t>
    </r>
    <r>
      <rPr>
        <sz val="12"/>
        <color rgb="FFFF0000"/>
        <rFont val="Times New Roman"/>
        <family val="1"/>
      </rPr>
      <t>30</t>
    </r>
    <r>
      <rPr>
        <sz val="12"/>
        <color theme="1"/>
        <rFont val="Times New Roman"/>
        <family val="1"/>
      </rPr>
      <t xml:space="preserve"> dias) x 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>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meses) = </t>
    </r>
    <r>
      <rPr>
        <sz val="12"/>
        <color rgb="FFFF0000"/>
        <rFont val="Times New Roman"/>
        <family val="1"/>
      </rPr>
      <t>1,66%</t>
    </r>
  </si>
  <si>
    <r>
      <t>((</t>
    </r>
    <r>
      <rPr>
        <sz val="12"/>
        <color rgb="FFFF0000"/>
        <rFont val="Times New Roman"/>
        <family val="1"/>
      </rPr>
      <t>1</t>
    </r>
    <r>
      <rPr>
        <sz val="12"/>
        <color theme="1"/>
        <rFont val="Times New Roman"/>
        <family val="1"/>
      </rPr>
      <t xml:space="preserve"> remuneração + </t>
    </r>
    <r>
      <rPr>
        <sz val="12"/>
        <color rgb="FFFF0000"/>
        <rFont val="Times New Roman"/>
        <family val="1"/>
      </rPr>
      <t>1/3</t>
    </r>
    <r>
      <rPr>
        <sz val="12"/>
        <color theme="1"/>
        <rFont val="Times New Roman"/>
        <family val="1"/>
      </rPr>
      <t xml:space="preserve"> terço constitucional)/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rateio prov. p/ 12 meses) / </t>
    </r>
    <r>
      <rPr>
        <sz val="12"/>
        <color rgb="FFFF0000"/>
        <rFont val="Times New Roman"/>
        <family val="1"/>
      </rPr>
      <t>12</t>
    </r>
    <r>
      <rPr>
        <sz val="12"/>
        <color theme="1"/>
        <rFont val="Times New Roman"/>
        <family val="1"/>
      </rPr>
      <t xml:space="preserve"> corresponde a 1/12 de férias  + 1/3 do substituto=</t>
    </r>
    <r>
      <rPr>
        <sz val="12"/>
        <color rgb="FFFF0000"/>
        <rFont val="Times New Roman"/>
        <family val="1"/>
      </rPr>
      <t>0,93%</t>
    </r>
  </si>
  <si>
    <t xml:space="preserve">Item </t>
  </si>
  <si>
    <t>Custo Unitário</t>
  </si>
  <si>
    <t>QTD.</t>
  </si>
  <si>
    <t>Valor Total</t>
  </si>
  <si>
    <t>Crachá de identificação</t>
  </si>
  <si>
    <t>Valor Amortizado Mensalmente</t>
  </si>
  <si>
    <t>SAT/FAP</t>
  </si>
  <si>
    <r>
      <t xml:space="preserve">Art. 22, inciso II, da Lei nº 8.212/91 </t>
    </r>
    <r>
      <rPr>
        <sz val="12"/>
        <color rgb="FFFF0000"/>
        <rFont val="Times New Roman"/>
        <family val="1"/>
      </rPr>
      <t>(Apresentar memória de cálculo do SAT/FAP)</t>
    </r>
  </si>
  <si>
    <t>M</t>
  </si>
  <si>
    <t>Q</t>
  </si>
  <si>
    <t>Jornada (Preencher horas mensais)</t>
  </si>
  <si>
    <t>Valor de acordo com a CCT (Informarr valor imtegral na célula C15)</t>
  </si>
  <si>
    <t>Lei 7.4118 (Considerar 22 dias)</t>
  </si>
  <si>
    <t xml:space="preserve">Cláusula 13a da CCT </t>
  </si>
  <si>
    <t>Salário normativo para a categoria (Preencher de acordo com a CCT)</t>
  </si>
  <si>
    <t>RESUMO</t>
  </si>
  <si>
    <t>VALOR</t>
  </si>
  <si>
    <t>Materiais</t>
  </si>
  <si>
    <t>Uniformes</t>
  </si>
  <si>
    <t>VALOR TOTAL</t>
  </si>
  <si>
    <r>
      <t xml:space="preserve">Decreto 6.042/2007, Lei 10.666/2003 </t>
    </r>
    <r>
      <rPr>
        <sz val="12"/>
        <color rgb="FFFF0000"/>
        <rFont val="Times New Roman"/>
        <family val="1"/>
      </rPr>
      <t>(Apresentar memória de cálculo do RAT/FAP)</t>
    </r>
  </si>
  <si>
    <t>Vale Transporte (Valor de uma passagem)</t>
  </si>
  <si>
    <t>Vale Refeição (Valor integral)</t>
  </si>
  <si>
    <t>Fundo de Formação Profissional</t>
  </si>
  <si>
    <t>Assistência à Saúde</t>
  </si>
  <si>
    <t xml:space="preserve">C.2. COFINS </t>
  </si>
  <si>
    <t xml:space="preserve">C.1. PIS </t>
  </si>
  <si>
    <t>EQUIPAMENTOS</t>
  </si>
  <si>
    <t>Equipamentos</t>
  </si>
  <si>
    <t>QUANTIDADE</t>
  </si>
  <si>
    <t>FUNÇÃO</t>
  </si>
  <si>
    <t>z</t>
  </si>
  <si>
    <t xml:space="preserve">UNIFORMES   </t>
  </si>
  <si>
    <t>Calça social comprida</t>
  </si>
  <si>
    <t>Camisa social manga curta</t>
  </si>
  <si>
    <t>Camisa social manga longa</t>
  </si>
  <si>
    <t>Coturno (par)</t>
  </si>
  <si>
    <t>Cinto de nylon</t>
  </si>
  <si>
    <t>Jaqueta de frio com emblema</t>
  </si>
  <si>
    <t xml:space="preserve">Boné </t>
  </si>
  <si>
    <t xml:space="preserve">EQUIPAMENTOS VIGILANTE DESARMADO </t>
  </si>
  <si>
    <t>Cassetete e porta cassetete</t>
  </si>
  <si>
    <t>Laterna tática recarregável</t>
  </si>
  <si>
    <t>UNIFORMES VIGILANTE DESARMADO</t>
  </si>
  <si>
    <t>Adicional de Risco</t>
  </si>
  <si>
    <t>Vigilante desarmado</t>
  </si>
  <si>
    <t>VIGILANTE DESARMADO</t>
  </si>
  <si>
    <t>Salário Vigilante desarmado normativo para a categoria (Preencher de acordo com a CCT)</t>
  </si>
  <si>
    <t>Custos Indiretos Vigilante Desarmado</t>
  </si>
  <si>
    <t>Lucro Vigilante Desarmado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</si>
</sst>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164" formatCode="0.000%"/>
    <numFmt numFmtId="165" formatCode="0.0000%"/>
    <numFmt numFmtId="166" formatCode="_(&quot;R$ &quot;* #,##0.00_);_(&quot;R$ &quot;* \(#,##0.00\);_(&quot;R$ &quot;* &quot;-&quot;??_);_(@_)"/>
    <numFmt numFmtId="167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8BEDE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" fillId="0" borderId="0"/>
    <xf numFmtId="166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3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9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4" fontId="2" fillId="0" borderId="4" xfId="1" applyFont="1" applyBorder="1" applyAlignment="1">
      <alignment horizontal="center" vertical="center" wrapText="1"/>
    </xf>
    <xf numFmtId="10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4" fontId="2" fillId="0" borderId="4" xfId="0" applyNumberFormat="1" applyFont="1" applyBorder="1" applyAlignment="1">
      <alignment vertical="center" wrapText="1"/>
    </xf>
    <xf numFmtId="44" fontId="2" fillId="0" borderId="4" xfId="1" applyFont="1" applyBorder="1" applyAlignment="1">
      <alignment vertical="center" wrapText="1"/>
    </xf>
    <xf numFmtId="10" fontId="2" fillId="0" borderId="0" xfId="0" applyNumberFormat="1" applyFont="1"/>
    <xf numFmtId="44" fontId="2" fillId="0" borderId="0" xfId="0" applyNumberFormat="1" applyFont="1"/>
    <xf numFmtId="10" fontId="2" fillId="0" borderId="4" xfId="2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0" fontId="2" fillId="3" borderId="8" xfId="2" applyNumberFormat="1" applyFont="1" applyFill="1" applyBorder="1" applyAlignment="1" applyProtection="1">
      <alignment horizontal="center" vertical="center" wrapText="1"/>
    </xf>
    <xf numFmtId="10" fontId="2" fillId="0" borderId="8" xfId="0" applyNumberFormat="1" applyFont="1" applyBorder="1" applyAlignment="1">
      <alignment horizontal="center" vertical="center" wrapText="1"/>
    </xf>
    <xf numFmtId="44" fontId="2" fillId="3" borderId="4" xfId="1" applyFont="1" applyFill="1" applyBorder="1" applyAlignment="1" applyProtection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4" fontId="2" fillId="0" borderId="10" xfId="1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10" fontId="4" fillId="3" borderId="8" xfId="2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/>
    <xf numFmtId="0" fontId="2" fillId="0" borderId="4" xfId="0" applyFont="1" applyBorder="1"/>
    <xf numFmtId="0" fontId="2" fillId="0" borderId="12" xfId="0" applyFont="1" applyBorder="1"/>
    <xf numFmtId="0" fontId="2" fillId="5" borderId="1" xfId="0" applyFont="1" applyFill="1" applyBorder="1" applyAlignment="1">
      <alignment vertical="center" wrapText="1"/>
    </xf>
    <xf numFmtId="0" fontId="0" fillId="0" borderId="1" xfId="0" applyBorder="1"/>
    <xf numFmtId="0" fontId="2" fillId="3" borderId="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8" xfId="2" applyNumberFormat="1" applyFont="1" applyFill="1" applyBorder="1" applyAlignment="1" applyProtection="1">
      <alignment horizontal="center" vertical="center" wrapText="1"/>
    </xf>
    <xf numFmtId="164" fontId="2" fillId="3" borderId="8" xfId="2" applyNumberFormat="1" applyFont="1" applyFill="1" applyBorder="1" applyAlignment="1" applyProtection="1">
      <alignment horizontal="center" vertical="center" wrapText="1"/>
    </xf>
    <xf numFmtId="10" fontId="2" fillId="3" borderId="1" xfId="2" applyNumberFormat="1" applyFont="1" applyFill="1" applyBorder="1" applyAlignment="1" applyProtection="1">
      <alignment horizontal="center" vertical="center" wrapText="1"/>
    </xf>
    <xf numFmtId="0" fontId="0" fillId="0" borderId="6" xfId="0" applyBorder="1"/>
    <xf numFmtId="0" fontId="6" fillId="0" borderId="6" xfId="0" applyFont="1" applyBorder="1" applyAlignment="1">
      <alignment horizontal="center"/>
    </xf>
    <xf numFmtId="0" fontId="0" fillId="0" borderId="6" xfId="0" applyBorder="1" applyAlignment="1">
      <alignment horizontal="left"/>
    </xf>
    <xf numFmtId="44" fontId="0" fillId="7" borderId="6" xfId="1" applyFont="1" applyFill="1" applyBorder="1" applyProtection="1">
      <protection locked="0"/>
    </xf>
    <xf numFmtId="10" fontId="0" fillId="7" borderId="6" xfId="2" applyNumberFormat="1" applyFont="1" applyFill="1" applyBorder="1" applyProtection="1">
      <protection locked="0"/>
    </xf>
    <xf numFmtId="0" fontId="2" fillId="0" borderId="6" xfId="0" applyFont="1" applyBorder="1" applyAlignment="1">
      <alignment vertical="center" wrapText="1"/>
    </xf>
    <xf numFmtId="10" fontId="2" fillId="8" borderId="6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Protection="1">
      <protection locked="0"/>
    </xf>
    <xf numFmtId="164" fontId="2" fillId="8" borderId="6" xfId="2" applyNumberFormat="1" applyFont="1" applyFill="1" applyBorder="1" applyAlignment="1" applyProtection="1">
      <alignment horizontal="center" vertical="center" wrapText="1"/>
      <protection locked="0"/>
    </xf>
    <xf numFmtId="10" fontId="2" fillId="7" borderId="6" xfId="2" applyNumberFormat="1" applyFont="1" applyFill="1" applyBorder="1" applyAlignment="1" applyProtection="1">
      <alignment horizontal="center" vertical="center" wrapText="1"/>
      <protection locked="0"/>
    </xf>
    <xf numFmtId="44" fontId="4" fillId="6" borderId="1" xfId="1" applyFont="1" applyFill="1" applyBorder="1" applyProtection="1"/>
    <xf numFmtId="44" fontId="2" fillId="6" borderId="4" xfId="1" applyFont="1" applyFill="1" applyBorder="1" applyAlignment="1" applyProtection="1">
      <alignment horizontal="center" vertical="center" wrapText="1"/>
    </xf>
    <xf numFmtId="10" fontId="2" fillId="6" borderId="4" xfId="2" applyNumberFormat="1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/>
    </xf>
    <xf numFmtId="44" fontId="0" fillId="0" borderId="1" xfId="0" applyNumberFormat="1" applyBorder="1"/>
    <xf numFmtId="44" fontId="0" fillId="0" borderId="6" xfId="0" applyNumberFormat="1" applyBorder="1"/>
    <xf numFmtId="44" fontId="6" fillId="0" borderId="6" xfId="0" applyNumberFormat="1" applyFont="1" applyBorder="1"/>
    <xf numFmtId="0" fontId="6" fillId="9" borderId="6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4" fontId="0" fillId="9" borderId="6" xfId="1" applyFont="1" applyFill="1" applyBorder="1" applyAlignment="1" applyProtection="1">
      <alignment horizontal="center" vertical="center"/>
      <protection locked="0"/>
    </xf>
    <xf numFmtId="44" fontId="0" fillId="0" borderId="6" xfId="1" applyFont="1" applyBorder="1" applyAlignment="1">
      <alignment horizontal="center" vertical="center"/>
    </xf>
    <xf numFmtId="0" fontId="6" fillId="4" borderId="6" xfId="0" applyFont="1" applyFill="1" applyBorder="1" applyAlignment="1">
      <alignment horizontal="center"/>
    </xf>
    <xf numFmtId="44" fontId="6" fillId="4" borderId="6" xfId="0" applyNumberFormat="1" applyFont="1" applyFill="1" applyBorder="1"/>
    <xf numFmtId="44" fontId="0" fillId="9" borderId="6" xfId="1" applyFont="1" applyFill="1" applyBorder="1" applyAlignment="1" applyProtection="1">
      <alignment horizontal="center"/>
      <protection locked="0"/>
    </xf>
    <xf numFmtId="44" fontId="0" fillId="0" borderId="6" xfId="1" applyFont="1" applyBorder="1" applyAlignment="1">
      <alignment horizontal="center"/>
    </xf>
    <xf numFmtId="0" fontId="2" fillId="12" borderId="3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vertical="center" wrapText="1"/>
    </xf>
    <xf numFmtId="44" fontId="2" fillId="12" borderId="4" xfId="1" applyFont="1" applyFill="1" applyBorder="1" applyAlignment="1" applyProtection="1">
      <alignment horizontal="center" vertical="center" wrapText="1"/>
    </xf>
    <xf numFmtId="9" fontId="2" fillId="6" borderId="4" xfId="2" applyFont="1" applyFill="1" applyBorder="1" applyAlignment="1" applyProtection="1">
      <alignment horizontal="center" vertical="center" wrapText="1"/>
    </xf>
    <xf numFmtId="0" fontId="6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</cellXfs>
  <cellStyles count="13">
    <cellStyle name="Moeda" xfId="1" builtinId="4"/>
    <cellStyle name="Moeda 2" xfId="12" xr:uid="{950767C7-8EB0-487D-83B1-54BA161E8374}"/>
    <cellStyle name="Moeda 2 2 2" xfId="5" xr:uid="{0F43D95C-3F82-42E5-A60A-B5ABFA404751}"/>
    <cellStyle name="Moeda 2 3" xfId="10" xr:uid="{C32DCE9D-81CC-4989-819A-399394C08463}"/>
    <cellStyle name="Moeda 3" xfId="11" xr:uid="{6F9712D4-3A30-4263-8C80-5EC68FA1B2DB}"/>
    <cellStyle name="Normal" xfId="0" builtinId="0"/>
    <cellStyle name="Normal 2 2 2 2" xfId="4" xr:uid="{B124C1FB-3AB0-4E6D-8AE8-B7FCC2601873}"/>
    <cellStyle name="Normal 2 3" xfId="3" xr:uid="{AE94B49D-414B-477B-8372-AB60AF6635D6}"/>
    <cellStyle name="Porcentagem" xfId="2" builtinId="5"/>
    <cellStyle name="Porcentagem 2" xfId="6" xr:uid="{224C6A0F-8F2A-4E21-9595-B1269CF5250C}"/>
    <cellStyle name="Porcentagem 2 3" xfId="9" xr:uid="{8ABB0AAD-30C4-4C50-9CAB-81129FCF6E1C}"/>
    <cellStyle name="Porcentagem 3" xfId="8" xr:uid="{19E8254B-870F-49FB-9022-A9AECF07289B}"/>
    <cellStyle name="Vírgula 2" xfId="7" xr:uid="{5B899F7C-98CC-4D06-8ACA-CE25508D8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14</xdr:row>
      <xdr:rowOff>25400</xdr:rowOff>
    </xdr:from>
    <xdr:to>
      <xdr:col>13</xdr:col>
      <xdr:colOff>111125</xdr:colOff>
      <xdr:row>18</xdr:row>
      <xdr:rowOff>161924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7B1D00E9-6AEE-4C0B-B3C4-BA99D677FA27}"/>
            </a:ext>
          </a:extLst>
        </xdr:cNvPr>
        <xdr:cNvSpPr txBox="1"/>
      </xdr:nvSpPr>
      <xdr:spPr>
        <a:xfrm>
          <a:off x="18726150" y="2578100"/>
          <a:ext cx="2520950" cy="936624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900" b="1"/>
            <a:t>PARA</a:t>
          </a:r>
          <a:r>
            <a:rPr lang="pt-BR" sz="900" b="1" baseline="0"/>
            <a:t> O SUBMÓDULO 4.1 </a:t>
          </a:r>
          <a:r>
            <a:rPr lang="pt-BR" sz="900" b="1"/>
            <a:t>A LICITANTE PODERÁ APRESENTAR ESTATISTICAS DE CUSTOS COM PROFISSIONAL AUSENTE DA EMPRESA, DESDE QUE DEVIDAMENTE JUSTIFICADA E APRESENTANDO A MEMÓRIA DE CÁLCULO.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102</xdr:row>
      <xdr:rowOff>0</xdr:rowOff>
    </xdr:from>
    <xdr:to>
      <xdr:col>4</xdr:col>
      <xdr:colOff>355600</xdr:colOff>
      <xdr:row>107</xdr:row>
      <xdr:rowOff>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C0A097AC-BF59-47D9-8DFD-F059AA98BBA9}"/>
            </a:ext>
          </a:extLst>
        </xdr:cNvPr>
        <xdr:cNvSpPr txBox="1"/>
      </xdr:nvSpPr>
      <xdr:spPr>
        <a:xfrm>
          <a:off x="7172325" y="21355050"/>
          <a:ext cx="1631950" cy="1047750"/>
        </a:xfrm>
        <a:prstGeom prst="rect">
          <a:avLst/>
        </a:prstGeom>
        <a:solidFill>
          <a:srgbClr val="FFFF00"/>
        </a:solidFill>
        <a:ln w="28575" cmpd="sng">
          <a:solidFill>
            <a:schemeClr val="tx1">
              <a:lumMod val="75000"/>
              <a:lumOff val="2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 b="1"/>
            <a:t>Para este módulo preencher a aba Mód.</a:t>
          </a:r>
          <a:r>
            <a:rPr lang="pt-BR" sz="1100" b="1" baseline="0"/>
            <a:t> 5</a:t>
          </a:r>
          <a:endParaRPr lang="pt-B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Azul">
      <a:dk1>
        <a:sysClr val="windowText" lastClr="000000"/>
      </a:dk1>
      <a:lt1>
        <a:sysClr val="window" lastClr="FFFFFF"/>
      </a:lt1>
      <a:dk2>
        <a:srgbClr val="17406D"/>
      </a:dk2>
      <a:lt2>
        <a:srgbClr val="DBEF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80EC3-C3BE-4840-B29F-1953A501D535}">
  <dimension ref="B1:I22"/>
  <sheetViews>
    <sheetView showGridLines="0" topLeftCell="A6" workbookViewId="0">
      <selection activeCell="I25" sqref="I25"/>
    </sheetView>
  </sheetViews>
  <sheetFormatPr defaultRowHeight="15" x14ac:dyDescent="0.25"/>
  <cols>
    <col min="2" max="2" width="12.5703125" bestFit="1" customWidth="1"/>
    <col min="3" max="3" width="33.28515625" bestFit="1" customWidth="1"/>
    <col min="4" max="4" width="13.28515625" bestFit="1" customWidth="1"/>
    <col min="7" max="7" width="77.7109375" bestFit="1" customWidth="1"/>
    <col min="8" max="8" width="16.42578125" customWidth="1"/>
    <col min="9" max="9" width="95.140625" bestFit="1" customWidth="1"/>
  </cols>
  <sheetData>
    <row r="1" spans="2:9" x14ac:dyDescent="0.25">
      <c r="G1" s="80" t="s">
        <v>88</v>
      </c>
      <c r="H1" s="80"/>
      <c r="I1" s="80"/>
    </row>
    <row r="2" spans="2:9" x14ac:dyDescent="0.25">
      <c r="G2" s="52" t="s">
        <v>167</v>
      </c>
      <c r="H2" s="53"/>
      <c r="I2" s="51"/>
    </row>
    <row r="3" spans="2:9" ht="15.75" x14ac:dyDescent="0.25">
      <c r="G3" s="50" t="s">
        <v>126</v>
      </c>
      <c r="H3" s="54"/>
      <c r="I3" s="55" t="s">
        <v>140</v>
      </c>
    </row>
    <row r="4" spans="2:9" x14ac:dyDescent="0.25">
      <c r="B4" s="67" t="s">
        <v>149</v>
      </c>
      <c r="C4" s="67" t="s">
        <v>150</v>
      </c>
      <c r="D4" s="67" t="s">
        <v>136</v>
      </c>
      <c r="G4" s="80" t="s">
        <v>89</v>
      </c>
      <c r="H4" s="80"/>
      <c r="I4" s="80"/>
    </row>
    <row r="5" spans="2:9" x14ac:dyDescent="0.25">
      <c r="B5" s="63">
        <v>1</v>
      </c>
      <c r="C5" s="50" t="s">
        <v>166</v>
      </c>
      <c r="D5" s="65">
        <f>'VIGILANTE DESARMADO'!C132</f>
        <v>0</v>
      </c>
      <c r="G5" s="50" t="s">
        <v>141</v>
      </c>
      <c r="H5" s="53"/>
      <c r="I5" s="50"/>
    </row>
    <row r="6" spans="2:9" x14ac:dyDescent="0.25">
      <c r="B6" s="80" t="s">
        <v>139</v>
      </c>
      <c r="C6" s="80"/>
      <c r="D6" s="66">
        <f>SUM(D5:D5)</f>
        <v>0</v>
      </c>
      <c r="G6" s="50" t="s">
        <v>142</v>
      </c>
      <c r="H6" s="53"/>
      <c r="I6" s="50"/>
    </row>
    <row r="7" spans="2:9" x14ac:dyDescent="0.25">
      <c r="G7" s="50" t="s">
        <v>143</v>
      </c>
      <c r="H7" s="53"/>
      <c r="I7" s="50"/>
    </row>
    <row r="8" spans="2:9" x14ac:dyDescent="0.25">
      <c r="G8" s="50" t="s">
        <v>144</v>
      </c>
      <c r="H8" s="53"/>
      <c r="I8" s="50"/>
    </row>
    <row r="9" spans="2:9" x14ac:dyDescent="0.25">
      <c r="G9" s="50" t="s">
        <v>90</v>
      </c>
      <c r="H9" s="53"/>
      <c r="I9" s="50"/>
    </row>
    <row r="10" spans="2:9" x14ac:dyDescent="0.25">
      <c r="G10" s="50" t="s">
        <v>54</v>
      </c>
      <c r="H10" s="53"/>
      <c r="I10" s="50"/>
    </row>
    <row r="11" spans="2:9" x14ac:dyDescent="0.25">
      <c r="G11" s="80" t="s">
        <v>103</v>
      </c>
      <c r="H11" s="80"/>
      <c r="I11" s="80"/>
    </row>
    <row r="12" spans="2:9" ht="15.75" x14ac:dyDescent="0.25">
      <c r="G12" s="50" t="s">
        <v>105</v>
      </c>
      <c r="H12" s="56">
        <v>2.8E-3</v>
      </c>
      <c r="I12" s="57" t="s">
        <v>115</v>
      </c>
    </row>
    <row r="13" spans="2:9" ht="15.75" x14ac:dyDescent="0.25">
      <c r="G13" s="50" t="s">
        <v>106</v>
      </c>
      <c r="H13" s="58">
        <f>((5/30)/12)*2%</f>
        <v>2.7777777777777778E-4</v>
      </c>
      <c r="I13" s="57" t="s">
        <v>117</v>
      </c>
    </row>
    <row r="14" spans="2:9" ht="15.75" x14ac:dyDescent="0.25">
      <c r="G14" s="50" t="s">
        <v>108</v>
      </c>
      <c r="H14" s="56">
        <f>((15/30)/12)*8%</f>
        <v>3.3333333333333331E-3</v>
      </c>
      <c r="I14" s="57" t="s">
        <v>116</v>
      </c>
    </row>
    <row r="15" spans="2:9" ht="15.75" x14ac:dyDescent="0.25">
      <c r="G15" s="50" t="s">
        <v>109</v>
      </c>
      <c r="H15" s="56">
        <f>(5.96/30)*(1/12)</f>
        <v>1.6555555555555553E-2</v>
      </c>
      <c r="I15" s="57" t="s">
        <v>118</v>
      </c>
    </row>
    <row r="16" spans="2:9" ht="15.75" x14ac:dyDescent="0.25">
      <c r="G16" s="50" t="s">
        <v>107</v>
      </c>
      <c r="H16" s="58">
        <f>(5/30)*(1/12)*6.24%*4.96%</f>
        <v>4.2986666666666666E-5</v>
      </c>
      <c r="I16" s="57" t="s">
        <v>114</v>
      </c>
    </row>
    <row r="17" spans="7:9" x14ac:dyDescent="0.25">
      <c r="G17" s="80" t="s">
        <v>70</v>
      </c>
      <c r="H17" s="80"/>
      <c r="I17" s="80"/>
    </row>
    <row r="18" spans="7:9" ht="15.75" x14ac:dyDescent="0.25">
      <c r="G18" s="50" t="s">
        <v>168</v>
      </c>
      <c r="H18" s="59"/>
      <c r="I18" s="51"/>
    </row>
    <row r="19" spans="7:9" ht="15.75" x14ac:dyDescent="0.25">
      <c r="G19" s="50" t="s">
        <v>169</v>
      </c>
      <c r="H19" s="59"/>
      <c r="I19" s="51"/>
    </row>
    <row r="20" spans="7:9" ht="15.75" x14ac:dyDescent="0.25">
      <c r="G20" s="50" t="s">
        <v>146</v>
      </c>
      <c r="H20" s="59"/>
      <c r="I20" s="50"/>
    </row>
    <row r="21" spans="7:9" ht="15.75" x14ac:dyDescent="0.25">
      <c r="G21" s="50" t="s">
        <v>145</v>
      </c>
      <c r="H21" s="59"/>
      <c r="I21" s="50"/>
    </row>
    <row r="22" spans="7:9" ht="15.75" x14ac:dyDescent="0.25">
      <c r="G22" s="50" t="s">
        <v>77</v>
      </c>
      <c r="H22" s="59"/>
      <c r="I22" s="50"/>
    </row>
  </sheetData>
  <sheetProtection algorithmName="SHA-512" hashValue="PaYG9GUtNq9Xd2N24/ImIGgE7Rp/MbI2yhVMpoOUQIDT75J/u+wxMy/YJxl6qlINtOqq9o4BqJYjljLK9rW/Ww==" saltValue="lZ6RqLckm3vE2ucgUiyQgw==" spinCount="100000" sheet="1" objects="1" scenarios="1"/>
  <mergeCells count="5">
    <mergeCell ref="B6:C6"/>
    <mergeCell ref="G1:I1"/>
    <mergeCell ref="G4:I4"/>
    <mergeCell ref="G11:I11"/>
    <mergeCell ref="G17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1775C-0F39-47F1-8942-2328F007EA0D}">
  <dimension ref="A3:N138"/>
  <sheetViews>
    <sheetView showGridLines="0" topLeftCell="A96" zoomScaleNormal="100" workbookViewId="0">
      <selection activeCell="A64" sqref="A64:B64"/>
    </sheetView>
  </sheetViews>
  <sheetFormatPr defaultColWidth="9.140625" defaultRowHeight="15.75" x14ac:dyDescent="0.25"/>
  <cols>
    <col min="1" max="1" width="9.140625" style="1"/>
    <col min="2" max="2" width="75.42578125" style="1" bestFit="1" customWidth="1"/>
    <col min="3" max="3" width="23" style="1" bestFit="1" customWidth="1"/>
    <col min="4" max="4" width="19.140625" style="1" customWidth="1"/>
    <col min="5" max="5" width="119.85546875" style="1" bestFit="1" customWidth="1"/>
    <col min="6" max="6" width="12" style="1" customWidth="1"/>
    <col min="7" max="7" width="15.140625" style="1" customWidth="1"/>
    <col min="8" max="16384" width="9.140625" style="1"/>
  </cols>
  <sheetData>
    <row r="3" spans="1:5" x14ac:dyDescent="0.25">
      <c r="B3" s="83" t="s">
        <v>0</v>
      </c>
      <c r="C3" s="83"/>
    </row>
    <row r="4" spans="1:5" ht="16.5" thickBot="1" x14ac:dyDescent="0.3">
      <c r="B4" s="2"/>
      <c r="C4" s="2"/>
    </row>
    <row r="5" spans="1:5" ht="16.5" thickBot="1" x14ac:dyDescent="0.3">
      <c r="B5" s="3" t="s">
        <v>1</v>
      </c>
      <c r="C5" s="45" t="s">
        <v>165</v>
      </c>
    </row>
    <row r="6" spans="1:5" ht="16.5" thickBot="1" x14ac:dyDescent="0.3">
      <c r="B6" s="43" t="s">
        <v>130</v>
      </c>
      <c r="C6" s="46">
        <v>200</v>
      </c>
    </row>
    <row r="7" spans="1:5" ht="15.6" customHeight="1" thickBot="1" x14ac:dyDescent="0.3">
      <c r="B7" s="43" t="s">
        <v>134</v>
      </c>
      <c r="C7" s="60">
        <f>Resumo!H2</f>
        <v>0</v>
      </c>
    </row>
    <row r="8" spans="1:5" x14ac:dyDescent="0.25">
      <c r="B8" s="4"/>
    </row>
    <row r="9" spans="1:5" x14ac:dyDescent="0.25">
      <c r="B9" s="4"/>
    </row>
    <row r="10" spans="1:5" x14ac:dyDescent="0.25">
      <c r="A10" s="83" t="s">
        <v>2</v>
      </c>
      <c r="B10" s="83"/>
      <c r="C10" s="83"/>
      <c r="D10" s="83"/>
      <c r="E10" s="83"/>
    </row>
    <row r="11" spans="1:5" ht="16.5" thickBot="1" x14ac:dyDescent="0.3"/>
    <row r="12" spans="1:5" ht="16.5" thickBot="1" x14ac:dyDescent="0.3">
      <c r="A12" s="5">
        <v>1</v>
      </c>
      <c r="B12" s="6" t="s">
        <v>3</v>
      </c>
      <c r="C12" s="5" t="s">
        <v>4</v>
      </c>
      <c r="D12" s="5" t="s">
        <v>4</v>
      </c>
      <c r="E12" s="6" t="s">
        <v>5</v>
      </c>
    </row>
    <row r="13" spans="1:5" ht="15.6" customHeight="1" thickBot="1" x14ac:dyDescent="0.3">
      <c r="A13" s="7" t="s">
        <v>6</v>
      </c>
      <c r="B13" s="8" t="s">
        <v>7</v>
      </c>
      <c r="C13" s="9"/>
      <c r="D13" s="10">
        <f>C7/220*C6</f>
        <v>0</v>
      </c>
      <c r="E13" s="8" t="s">
        <v>8</v>
      </c>
    </row>
    <row r="14" spans="1:5" ht="15.6" customHeight="1" thickBot="1" x14ac:dyDescent="0.3">
      <c r="A14" s="7" t="s">
        <v>9</v>
      </c>
      <c r="B14" s="8" t="s">
        <v>164</v>
      </c>
      <c r="C14" s="79">
        <v>0.3</v>
      </c>
      <c r="D14" s="10">
        <f>ROUND((D13*C14),2)</f>
        <v>0</v>
      </c>
      <c r="E14" s="8" t="s">
        <v>131</v>
      </c>
    </row>
    <row r="15" spans="1:5" ht="15.6" customHeight="1" thickBot="1" x14ac:dyDescent="0.3">
      <c r="A15" s="7" t="s">
        <v>10</v>
      </c>
      <c r="B15" s="8" t="s">
        <v>91</v>
      </c>
      <c r="C15" s="11"/>
      <c r="D15" s="10"/>
      <c r="E15" s="8"/>
    </row>
    <row r="16" spans="1:5" ht="16.5" thickBot="1" x14ac:dyDescent="0.3">
      <c r="A16" s="84" t="s">
        <v>14</v>
      </c>
      <c r="B16" s="85"/>
      <c r="C16" s="9"/>
      <c r="D16" s="10">
        <f>SUM(D13:D15)</f>
        <v>0</v>
      </c>
      <c r="E16" s="6"/>
    </row>
    <row r="19" spans="1:5" x14ac:dyDescent="0.25">
      <c r="A19" s="83" t="s">
        <v>15</v>
      </c>
      <c r="B19" s="83"/>
      <c r="C19" s="83"/>
      <c r="D19" s="83"/>
      <c r="E19" s="83"/>
    </row>
    <row r="20" spans="1:5" x14ac:dyDescent="0.25">
      <c r="A20" s="12"/>
    </row>
    <row r="21" spans="1:5" x14ac:dyDescent="0.25">
      <c r="A21" s="15"/>
      <c r="B21" s="15"/>
      <c r="C21" s="16"/>
      <c r="D21" s="17"/>
      <c r="E21" s="15"/>
    </row>
    <row r="22" spans="1:5" x14ac:dyDescent="0.25">
      <c r="A22" s="83" t="s">
        <v>87</v>
      </c>
      <c r="B22" s="83"/>
      <c r="C22" s="83"/>
      <c r="D22" s="83"/>
      <c r="E22" s="83"/>
    </row>
    <row r="23" spans="1:5" ht="16.5" thickBot="1" x14ac:dyDescent="0.3"/>
    <row r="24" spans="1:5" ht="16.5" thickBot="1" x14ac:dyDescent="0.3">
      <c r="A24" s="5" t="s">
        <v>20</v>
      </c>
      <c r="B24" s="6" t="s">
        <v>17</v>
      </c>
      <c r="C24" s="6" t="s">
        <v>18</v>
      </c>
      <c r="D24" s="6" t="s">
        <v>4</v>
      </c>
      <c r="E24" s="6" t="s">
        <v>5</v>
      </c>
    </row>
    <row r="25" spans="1:5" ht="16.5" thickBot="1" x14ac:dyDescent="0.3">
      <c r="A25" s="7" t="s">
        <v>6</v>
      </c>
      <c r="B25" s="8" t="s">
        <v>21</v>
      </c>
      <c r="C25" s="14">
        <v>8.3299999999999999E-2</v>
      </c>
      <c r="D25" s="13">
        <f>ROUND(D16*C25,2)</f>
        <v>0</v>
      </c>
      <c r="E25" s="8" t="s">
        <v>19</v>
      </c>
    </row>
    <row r="26" spans="1:5" ht="16.5" thickBot="1" x14ac:dyDescent="0.3">
      <c r="A26" s="7" t="s">
        <v>9</v>
      </c>
      <c r="B26" s="8" t="s">
        <v>101</v>
      </c>
      <c r="C26" s="14">
        <v>0.1111</v>
      </c>
      <c r="D26" s="13">
        <f>ROUND(D16*C26,2)</f>
        <v>0</v>
      </c>
      <c r="E26" s="8"/>
    </row>
    <row r="27" spans="1:5" ht="16.5" thickBot="1" x14ac:dyDescent="0.3">
      <c r="A27" s="81" t="s">
        <v>93</v>
      </c>
      <c r="B27" s="82"/>
      <c r="C27" s="14">
        <f>SUM(C25:C26)</f>
        <v>0.19440000000000002</v>
      </c>
      <c r="D27" s="13">
        <f>SUM(D25:D26)</f>
        <v>0</v>
      </c>
      <c r="E27" s="8"/>
    </row>
    <row r="28" spans="1:5" ht="16.5" thickBot="1" x14ac:dyDescent="0.3">
      <c r="A28" s="7" t="s">
        <v>10</v>
      </c>
      <c r="B28" s="8" t="s">
        <v>92</v>
      </c>
      <c r="C28" s="14">
        <f>(C27*C43)</f>
        <v>6.5707200000000007E-2</v>
      </c>
      <c r="D28" s="13">
        <f>ROUND(D27*C28,2)</f>
        <v>0</v>
      </c>
      <c r="E28" s="8"/>
    </row>
    <row r="29" spans="1:5" ht="16.5" thickBot="1" x14ac:dyDescent="0.3">
      <c r="A29" s="84" t="s">
        <v>14</v>
      </c>
      <c r="B29" s="85"/>
      <c r="C29" s="14">
        <f>SUM(C27:C28)</f>
        <v>0.26010720000000004</v>
      </c>
      <c r="D29" s="13">
        <f>SUM(D27:D28)</f>
        <v>0</v>
      </c>
      <c r="E29" s="6"/>
    </row>
    <row r="32" spans="1:5" ht="15.6" customHeight="1" x14ac:dyDescent="0.25">
      <c r="A32" s="86" t="s">
        <v>88</v>
      </c>
      <c r="B32" s="86"/>
      <c r="C32" s="86"/>
      <c r="D32" s="86"/>
      <c r="E32" s="86"/>
    </row>
    <row r="33" spans="1:5" ht="16.5" thickBot="1" x14ac:dyDescent="0.3"/>
    <row r="34" spans="1:5" ht="16.5" thickBot="1" x14ac:dyDescent="0.3">
      <c r="A34" s="5" t="s">
        <v>22</v>
      </c>
      <c r="B34" s="6" t="s">
        <v>23</v>
      </c>
      <c r="C34" s="6" t="s">
        <v>18</v>
      </c>
      <c r="D34" s="6" t="s">
        <v>4</v>
      </c>
      <c r="E34" s="6" t="s">
        <v>5</v>
      </c>
    </row>
    <row r="35" spans="1:5" ht="16.5" thickBot="1" x14ac:dyDescent="0.3">
      <c r="A35" s="7" t="s">
        <v>11</v>
      </c>
      <c r="B35" s="8" t="s">
        <v>24</v>
      </c>
      <c r="C35" s="14">
        <v>0.2</v>
      </c>
      <c r="D35" s="13">
        <f>ROUND(D16*C35,2)</f>
        <v>0</v>
      </c>
      <c r="E35" s="8" t="s">
        <v>25</v>
      </c>
    </row>
    <row r="36" spans="1:5" ht="16.5" thickBot="1" x14ac:dyDescent="0.3">
      <c r="A36" s="7" t="s">
        <v>12</v>
      </c>
      <c r="B36" s="8" t="s">
        <v>26</v>
      </c>
      <c r="C36" s="14">
        <v>2.5000000000000001E-2</v>
      </c>
      <c r="D36" s="13">
        <f>ROUND(D16*C36,2)</f>
        <v>0</v>
      </c>
      <c r="E36" s="8" t="s">
        <v>27</v>
      </c>
    </row>
    <row r="37" spans="1:5" ht="16.5" thickBot="1" x14ac:dyDescent="0.3">
      <c r="A37" s="7" t="s">
        <v>13</v>
      </c>
      <c r="B37" s="8" t="s">
        <v>126</v>
      </c>
      <c r="C37" s="62">
        <f>Resumo!H3</f>
        <v>0</v>
      </c>
      <c r="D37" s="13">
        <f>ROUND(D16*C37,2)</f>
        <v>0</v>
      </c>
      <c r="E37" s="8" t="s">
        <v>127</v>
      </c>
    </row>
    <row r="38" spans="1:5" ht="16.5" thickBot="1" x14ac:dyDescent="0.3">
      <c r="A38" s="7" t="s">
        <v>28</v>
      </c>
      <c r="B38" s="8" t="s">
        <v>29</v>
      </c>
      <c r="C38" s="14">
        <v>1.4999999999999999E-2</v>
      </c>
      <c r="D38" s="13">
        <f>ROUND(D16*C38,2)</f>
        <v>0</v>
      </c>
      <c r="E38" s="8" t="s">
        <v>30</v>
      </c>
    </row>
    <row r="39" spans="1:5" ht="16.5" thickBot="1" x14ac:dyDescent="0.3">
      <c r="A39" s="7" t="s">
        <v>31</v>
      </c>
      <c r="B39" s="8" t="s">
        <v>32</v>
      </c>
      <c r="C39" s="14">
        <v>0.01</v>
      </c>
      <c r="D39" s="13">
        <f>ROUND(D16*C39,2)</f>
        <v>0</v>
      </c>
      <c r="E39" s="8" t="s">
        <v>33</v>
      </c>
    </row>
    <row r="40" spans="1:5" ht="16.5" thickBot="1" x14ac:dyDescent="0.3">
      <c r="A40" s="7" t="s">
        <v>34</v>
      </c>
      <c r="B40" s="8" t="s">
        <v>35</v>
      </c>
      <c r="C40" s="14">
        <v>6.0000000000000001E-3</v>
      </c>
      <c r="D40" s="13">
        <f>ROUND(D16*C40,2)</f>
        <v>0</v>
      </c>
      <c r="E40" s="8" t="s">
        <v>36</v>
      </c>
    </row>
    <row r="41" spans="1:5" ht="16.5" thickBot="1" x14ac:dyDescent="0.3">
      <c r="A41" s="7" t="s">
        <v>37</v>
      </c>
      <c r="B41" s="8" t="s">
        <v>38</v>
      </c>
      <c r="C41" s="14">
        <v>2E-3</v>
      </c>
      <c r="D41" s="13">
        <f>ROUND(D16*C41,2)</f>
        <v>0</v>
      </c>
      <c r="E41" s="8" t="s">
        <v>39</v>
      </c>
    </row>
    <row r="42" spans="1:5" ht="16.5" thickBot="1" x14ac:dyDescent="0.3">
      <c r="A42" s="7" t="s">
        <v>40</v>
      </c>
      <c r="B42" s="8" t="s">
        <v>41</v>
      </c>
      <c r="C42" s="14">
        <v>0.08</v>
      </c>
      <c r="D42" s="13">
        <f>ROUND(D16*C42,2)</f>
        <v>0</v>
      </c>
      <c r="E42" s="8" t="s">
        <v>42</v>
      </c>
    </row>
    <row r="43" spans="1:5" ht="16.5" thickBot="1" x14ac:dyDescent="0.3">
      <c r="A43" s="84" t="s">
        <v>43</v>
      </c>
      <c r="B43" s="85"/>
      <c r="C43" s="14">
        <f>SUM(C35:C42)</f>
        <v>0.33800000000000002</v>
      </c>
      <c r="D43" s="13">
        <f>SUM(D35:D42)</f>
        <v>0</v>
      </c>
      <c r="E43" s="6"/>
    </row>
    <row r="46" spans="1:5" x14ac:dyDescent="0.25">
      <c r="A46" s="83" t="s">
        <v>89</v>
      </c>
      <c r="B46" s="83"/>
      <c r="C46" s="83"/>
      <c r="D46" s="83"/>
      <c r="E46" s="83"/>
    </row>
    <row r="47" spans="1:5" ht="16.5" thickBot="1" x14ac:dyDescent="0.3"/>
    <row r="48" spans="1:5" ht="16.5" thickBot="1" x14ac:dyDescent="0.3">
      <c r="A48" s="5" t="s">
        <v>44</v>
      </c>
      <c r="B48" s="6" t="s">
        <v>45</v>
      </c>
      <c r="C48" s="6" t="s">
        <v>4</v>
      </c>
      <c r="D48" s="6" t="s">
        <v>46</v>
      </c>
      <c r="E48" s="6" t="s">
        <v>5</v>
      </c>
    </row>
    <row r="49" spans="1:5" ht="16.5" thickBot="1" x14ac:dyDescent="0.3">
      <c r="A49" s="7" t="s">
        <v>47</v>
      </c>
      <c r="B49" s="8" t="s">
        <v>48</v>
      </c>
      <c r="C49" s="61">
        <f>Resumo!H5</f>
        <v>0</v>
      </c>
      <c r="D49" s="13">
        <f>MAX(0,((C49*2*22)-(D13*0.06)))</f>
        <v>0</v>
      </c>
      <c r="E49" s="8" t="s">
        <v>132</v>
      </c>
    </row>
    <row r="50" spans="1:5" ht="16.5" thickBot="1" x14ac:dyDescent="0.3">
      <c r="A50" s="7" t="s">
        <v>128</v>
      </c>
      <c r="B50" s="8" t="s">
        <v>50</v>
      </c>
      <c r="C50" s="61">
        <f>Resumo!H6</f>
        <v>0</v>
      </c>
      <c r="D50" s="13">
        <f>ROUND(((C50+(C50/12))*0.8),2)</f>
        <v>0</v>
      </c>
      <c r="E50" s="8" t="s">
        <v>133</v>
      </c>
    </row>
    <row r="51" spans="1:5" ht="16.5" thickBot="1" x14ac:dyDescent="0.3">
      <c r="A51" s="7" t="s">
        <v>49</v>
      </c>
      <c r="B51" s="8" t="s">
        <v>96</v>
      </c>
      <c r="C51" s="13"/>
      <c r="D51" s="61">
        <f>Resumo!H7</f>
        <v>0</v>
      </c>
      <c r="E51" s="8" t="s">
        <v>98</v>
      </c>
    </row>
    <row r="52" spans="1:5" ht="16.5" thickBot="1" x14ac:dyDescent="0.3">
      <c r="A52" s="7" t="s">
        <v>51</v>
      </c>
      <c r="B52" s="8" t="s">
        <v>52</v>
      </c>
      <c r="C52" s="13"/>
      <c r="D52" s="61">
        <f>Resumo!H8</f>
        <v>0</v>
      </c>
      <c r="E52" s="8" t="s">
        <v>97</v>
      </c>
    </row>
    <row r="53" spans="1:5" ht="16.5" thickBot="1" x14ac:dyDescent="0.3">
      <c r="A53" s="7" t="s">
        <v>129</v>
      </c>
      <c r="B53" s="8" t="s">
        <v>90</v>
      </c>
      <c r="C53" s="28"/>
      <c r="D53" s="61">
        <f>Resumo!H9</f>
        <v>0</v>
      </c>
      <c r="E53" s="8"/>
    </row>
    <row r="54" spans="1:5" ht="16.5" thickBot="1" x14ac:dyDescent="0.3">
      <c r="A54" s="7" t="s">
        <v>53</v>
      </c>
      <c r="B54" s="8" t="s">
        <v>54</v>
      </c>
      <c r="C54" s="28"/>
      <c r="D54" s="61">
        <f>Resumo!H10</f>
        <v>0</v>
      </c>
      <c r="E54" s="8"/>
    </row>
    <row r="55" spans="1:5" ht="16.5" thickBot="1" x14ac:dyDescent="0.3">
      <c r="A55" s="84" t="s">
        <v>14</v>
      </c>
      <c r="B55" s="85"/>
      <c r="C55" s="13"/>
      <c r="D55" s="13">
        <f>SUM(D49:D54)</f>
        <v>0</v>
      </c>
      <c r="E55" s="18"/>
    </row>
    <row r="56" spans="1:5" x14ac:dyDescent="0.25">
      <c r="E56" s="15"/>
    </row>
    <row r="58" spans="1:5" x14ac:dyDescent="0.25">
      <c r="A58" s="83" t="s">
        <v>55</v>
      </c>
      <c r="B58" s="83"/>
      <c r="C58" s="83"/>
      <c r="D58" s="83"/>
    </row>
    <row r="59" spans="1:5" ht="16.5" thickBot="1" x14ac:dyDescent="0.3"/>
    <row r="60" spans="1:5" ht="16.5" thickBot="1" x14ac:dyDescent="0.3">
      <c r="A60" s="5">
        <v>2</v>
      </c>
      <c r="B60" s="6" t="s">
        <v>56</v>
      </c>
      <c r="C60" s="6" t="s">
        <v>18</v>
      </c>
      <c r="D60" s="6" t="s">
        <v>4</v>
      </c>
    </row>
    <row r="61" spans="1:5" ht="16.5" thickBot="1" x14ac:dyDescent="0.3">
      <c r="A61" s="7" t="s">
        <v>16</v>
      </c>
      <c r="B61" s="8" t="s">
        <v>17</v>
      </c>
      <c r="C61" s="9"/>
      <c r="D61" s="19">
        <f>D29</f>
        <v>0</v>
      </c>
    </row>
    <row r="62" spans="1:5" ht="16.5" thickBot="1" x14ac:dyDescent="0.3">
      <c r="A62" s="7" t="s">
        <v>20</v>
      </c>
      <c r="B62" s="8" t="s">
        <v>23</v>
      </c>
      <c r="C62" s="9"/>
      <c r="D62" s="19">
        <f>D43</f>
        <v>0</v>
      </c>
    </row>
    <row r="63" spans="1:5" ht="16.5" thickBot="1" x14ac:dyDescent="0.3">
      <c r="A63" s="7" t="s">
        <v>22</v>
      </c>
      <c r="B63" s="8" t="s">
        <v>45</v>
      </c>
      <c r="C63" s="9"/>
      <c r="D63" s="19">
        <f>D55</f>
        <v>0</v>
      </c>
    </row>
    <row r="64" spans="1:5" ht="16.5" thickBot="1" x14ac:dyDescent="0.3">
      <c r="A64" s="84" t="s">
        <v>14</v>
      </c>
      <c r="B64" s="85"/>
      <c r="C64" s="9"/>
      <c r="D64" s="19">
        <f>SUM(D61:D63)</f>
        <v>0</v>
      </c>
    </row>
    <row r="65" spans="1:12" x14ac:dyDescent="0.25">
      <c r="A65" s="20"/>
    </row>
    <row r="67" spans="1:12" x14ac:dyDescent="0.25">
      <c r="A67" s="83" t="s">
        <v>57</v>
      </c>
      <c r="B67" s="83"/>
      <c r="C67" s="83"/>
      <c r="D67" s="83"/>
      <c r="I67" s="29"/>
      <c r="J67" s="29"/>
      <c r="K67" s="29"/>
      <c r="L67" s="29"/>
    </row>
    <row r="68" spans="1:12" ht="16.5" thickBot="1" x14ac:dyDescent="0.3">
      <c r="I68" s="29"/>
      <c r="J68" s="29"/>
      <c r="K68" s="29"/>
      <c r="L68" s="29"/>
    </row>
    <row r="69" spans="1:12" ht="15.95" customHeight="1" thickBot="1" x14ac:dyDescent="0.3">
      <c r="A69" s="5">
        <v>3</v>
      </c>
      <c r="B69" s="6" t="s">
        <v>58</v>
      </c>
      <c r="C69" s="30" t="s">
        <v>18</v>
      </c>
      <c r="D69" s="5" t="s">
        <v>4</v>
      </c>
      <c r="E69" s="34" t="s">
        <v>111</v>
      </c>
      <c r="I69" s="29"/>
      <c r="J69" s="29"/>
      <c r="K69" s="29"/>
      <c r="L69" s="29"/>
    </row>
    <row r="70" spans="1:12" ht="16.5" thickBot="1" x14ac:dyDescent="0.3">
      <c r="A70" s="7" t="s">
        <v>6</v>
      </c>
      <c r="B70" s="21" t="s">
        <v>59</v>
      </c>
      <c r="C70" s="47">
        <v>4.1669999999999997E-3</v>
      </c>
      <c r="D70" s="35">
        <f>ROUND(C70*$D$16,2)</f>
        <v>0</v>
      </c>
      <c r="E70" s="3" t="s">
        <v>110</v>
      </c>
      <c r="I70" s="29"/>
      <c r="J70" s="29"/>
      <c r="K70" s="29"/>
      <c r="L70" s="29"/>
    </row>
    <row r="71" spans="1:12" ht="16.5" thickBot="1" x14ac:dyDescent="0.3">
      <c r="A71" s="7" t="s">
        <v>9</v>
      </c>
      <c r="B71" s="21" t="s">
        <v>60</v>
      </c>
      <c r="C71" s="31">
        <v>0.08</v>
      </c>
      <c r="D71" s="36">
        <f>ROUND(D70*C71,2)</f>
        <v>0</v>
      </c>
      <c r="E71" s="38" t="s">
        <v>112</v>
      </c>
      <c r="I71" s="29"/>
      <c r="J71" s="29"/>
      <c r="K71" s="29"/>
      <c r="L71" s="29"/>
    </row>
    <row r="72" spans="1:12" ht="32.25" thickBot="1" x14ac:dyDescent="0.3">
      <c r="A72" s="7" t="s">
        <v>10</v>
      </c>
      <c r="B72" s="21" t="s">
        <v>61</v>
      </c>
      <c r="C72" s="31">
        <v>3.2000000000000001E-2</v>
      </c>
      <c r="D72" s="36">
        <f t="shared" ref="D72:D73" si="0">ROUND(C72*$D$16,2)</f>
        <v>0</v>
      </c>
      <c r="E72" s="3" t="s">
        <v>99</v>
      </c>
      <c r="I72" s="29"/>
      <c r="J72" s="29"/>
      <c r="K72" s="29"/>
      <c r="L72" s="29"/>
    </row>
    <row r="73" spans="1:12" ht="16.5" thickBot="1" x14ac:dyDescent="0.3">
      <c r="A73" s="7" t="s">
        <v>11</v>
      </c>
      <c r="B73" s="21" t="s">
        <v>62</v>
      </c>
      <c r="C73" s="31">
        <v>1.9400000000000001E-2</v>
      </c>
      <c r="D73" s="37">
        <f t="shared" si="0"/>
        <v>0</v>
      </c>
      <c r="E73" s="3" t="s">
        <v>100</v>
      </c>
      <c r="I73" s="29"/>
      <c r="J73" s="29"/>
      <c r="K73" s="29"/>
      <c r="L73" s="29"/>
    </row>
    <row r="74" spans="1:12" ht="16.5" thickBot="1" x14ac:dyDescent="0.3">
      <c r="A74" s="7" t="s">
        <v>12</v>
      </c>
      <c r="B74" s="21" t="s">
        <v>63</v>
      </c>
      <c r="C74" s="31">
        <f>C73*C43</f>
        <v>6.5572000000000009E-3</v>
      </c>
      <c r="D74" s="37">
        <f>ROUND(D73*C74,2)</f>
        <v>0</v>
      </c>
      <c r="E74" s="3" t="s">
        <v>113</v>
      </c>
      <c r="I74" s="29"/>
      <c r="J74" s="29"/>
      <c r="K74" s="29"/>
      <c r="L74" s="29"/>
    </row>
    <row r="75" spans="1:12" ht="16.5" thickBot="1" x14ac:dyDescent="0.3">
      <c r="A75" s="84" t="s">
        <v>14</v>
      </c>
      <c r="B75" s="85"/>
      <c r="C75" s="32">
        <f>SUM(C70:C74)</f>
        <v>0.14212420000000001</v>
      </c>
      <c r="D75" s="10">
        <f>SUM(D70:D74)</f>
        <v>0</v>
      </c>
      <c r="E75" s="3"/>
    </row>
    <row r="78" spans="1:12" x14ac:dyDescent="0.25">
      <c r="A78" s="83" t="s">
        <v>64</v>
      </c>
      <c r="B78" s="83"/>
      <c r="C78" s="83"/>
      <c r="D78" s="83"/>
    </row>
    <row r="81" spans="1:14" x14ac:dyDescent="0.25">
      <c r="A81" s="83" t="s">
        <v>103</v>
      </c>
      <c r="B81" s="83"/>
      <c r="C81" s="83"/>
      <c r="D81" s="83"/>
    </row>
    <row r="82" spans="1:14" ht="16.5" thickBot="1" x14ac:dyDescent="0.3">
      <c r="A82" s="12"/>
    </row>
    <row r="83" spans="1:14" ht="16.5" thickBot="1" x14ac:dyDescent="0.3">
      <c r="A83" s="5" t="s">
        <v>65</v>
      </c>
      <c r="B83" s="6" t="s">
        <v>102</v>
      </c>
      <c r="C83" s="30" t="s">
        <v>18</v>
      </c>
      <c r="D83" s="5" t="s">
        <v>4</v>
      </c>
      <c r="E83" s="34" t="s">
        <v>111</v>
      </c>
      <c r="K83" s="29"/>
      <c r="L83" s="29"/>
      <c r="M83" s="29"/>
      <c r="N83" s="29"/>
    </row>
    <row r="84" spans="1:14" ht="16.5" thickBot="1" x14ac:dyDescent="0.3">
      <c r="A84" s="7" t="s">
        <v>6</v>
      </c>
      <c r="B84" s="8" t="s">
        <v>104</v>
      </c>
      <c r="C84" s="39">
        <f>((1+1/3)/12)/12</f>
        <v>9.2592592592592587E-3</v>
      </c>
      <c r="D84" s="10">
        <f>ROUND(($D$16)*C84,2)</f>
        <v>0</v>
      </c>
      <c r="E84" s="40" t="s">
        <v>119</v>
      </c>
      <c r="K84" s="29"/>
      <c r="L84" s="29"/>
      <c r="M84" s="29"/>
      <c r="N84" s="29"/>
    </row>
    <row r="85" spans="1:14" ht="16.5" thickBot="1" x14ac:dyDescent="0.3">
      <c r="A85" s="7" t="s">
        <v>9</v>
      </c>
      <c r="B85" s="8" t="s">
        <v>105</v>
      </c>
      <c r="C85" s="31">
        <f>Resumo!H12</f>
        <v>2.8E-3</v>
      </c>
      <c r="D85" s="10">
        <f t="shared" ref="D85:D89" si="1">ROUND(($D$16)*C85,2)</f>
        <v>0</v>
      </c>
      <c r="E85" s="41" t="s">
        <v>115</v>
      </c>
      <c r="K85" s="29"/>
      <c r="L85" s="29"/>
      <c r="M85" s="29"/>
      <c r="N85" s="29"/>
    </row>
    <row r="86" spans="1:14" ht="16.5" thickBot="1" x14ac:dyDescent="0.3">
      <c r="A86" s="7" t="s">
        <v>10</v>
      </c>
      <c r="B86" s="8" t="s">
        <v>106</v>
      </c>
      <c r="C86" s="48">
        <f>Resumo!H13</f>
        <v>2.7777777777777778E-4</v>
      </c>
      <c r="D86" s="37">
        <f t="shared" si="1"/>
        <v>0</v>
      </c>
      <c r="E86" s="42" t="s">
        <v>117</v>
      </c>
      <c r="K86" s="29"/>
      <c r="L86" s="29"/>
      <c r="M86" s="29"/>
      <c r="N86" s="29"/>
    </row>
    <row r="87" spans="1:14" ht="16.5" thickBot="1" x14ac:dyDescent="0.3">
      <c r="A87" s="7" t="s">
        <v>11</v>
      </c>
      <c r="B87" s="8" t="s">
        <v>108</v>
      </c>
      <c r="C87" s="49">
        <f>Resumo!H14</f>
        <v>3.3333333333333331E-3</v>
      </c>
      <c r="D87" s="35">
        <f t="shared" si="1"/>
        <v>0</v>
      </c>
      <c r="E87" s="40" t="s">
        <v>116</v>
      </c>
      <c r="K87" s="29"/>
      <c r="L87" s="29"/>
      <c r="M87" s="29"/>
      <c r="N87" s="29"/>
    </row>
    <row r="88" spans="1:14" ht="16.5" thickBot="1" x14ac:dyDescent="0.3">
      <c r="A88" s="7" t="s">
        <v>12</v>
      </c>
      <c r="B88" s="8" t="s">
        <v>109</v>
      </c>
      <c r="C88" s="31">
        <f>Resumo!H15</f>
        <v>1.6555555555555553E-2</v>
      </c>
      <c r="D88" s="37">
        <f t="shared" si="1"/>
        <v>0</v>
      </c>
      <c r="E88" s="40" t="s">
        <v>118</v>
      </c>
      <c r="K88" s="29"/>
      <c r="L88" s="29"/>
      <c r="M88" s="29"/>
      <c r="N88" s="29"/>
    </row>
    <row r="89" spans="1:14" ht="16.5" thickBot="1" x14ac:dyDescent="0.3">
      <c r="A89" s="7" t="s">
        <v>13</v>
      </c>
      <c r="B89" s="8" t="s">
        <v>107</v>
      </c>
      <c r="C89" s="48">
        <f>Resumo!H16</f>
        <v>4.2986666666666666E-5</v>
      </c>
      <c r="D89" s="10">
        <f t="shared" si="1"/>
        <v>0</v>
      </c>
      <c r="E89" s="40" t="s">
        <v>114</v>
      </c>
      <c r="K89" s="29"/>
      <c r="L89" s="29"/>
      <c r="M89" s="29"/>
      <c r="N89" s="29"/>
    </row>
    <row r="90" spans="1:14" ht="16.5" thickBot="1" x14ac:dyDescent="0.3">
      <c r="A90" s="84" t="s">
        <v>94</v>
      </c>
      <c r="B90" s="85"/>
      <c r="C90" s="31">
        <f>SUM(C84:C88)</f>
        <v>3.2225925925925922E-2</v>
      </c>
      <c r="D90" s="10">
        <f>SUM(D84:D88)</f>
        <v>0</v>
      </c>
      <c r="E90" s="41"/>
      <c r="K90" s="29"/>
      <c r="L90" s="29"/>
      <c r="M90" s="29"/>
      <c r="N90" s="29"/>
    </row>
    <row r="91" spans="1:14" ht="16.5" thickBot="1" x14ac:dyDescent="0.3">
      <c r="A91" s="7" t="s">
        <v>28</v>
      </c>
      <c r="B91" s="8" t="s">
        <v>95</v>
      </c>
      <c r="C91" s="31">
        <f>C90*C43</f>
        <v>1.0892362962962962E-2</v>
      </c>
      <c r="D91" s="10">
        <f>D90*C91</f>
        <v>0</v>
      </c>
      <c r="E91" s="42"/>
    </row>
    <row r="92" spans="1:14" ht="16.5" thickBot="1" x14ac:dyDescent="0.3">
      <c r="A92" s="84" t="s">
        <v>43</v>
      </c>
      <c r="B92" s="85"/>
      <c r="C92" s="32">
        <f>SUM(C90:C91)</f>
        <v>4.3118288888888884E-2</v>
      </c>
      <c r="D92" s="10">
        <f>SUM(D90:D91)</f>
        <v>0</v>
      </c>
      <c r="E92" s="40"/>
    </row>
    <row r="94" spans="1:14" x14ac:dyDescent="0.25">
      <c r="A94" s="83" t="s">
        <v>66</v>
      </c>
      <c r="B94" s="83"/>
      <c r="C94" s="83"/>
    </row>
    <row r="95" spans="1:14" ht="16.5" thickBot="1" x14ac:dyDescent="0.3">
      <c r="A95" s="12"/>
    </row>
    <row r="96" spans="1:14" ht="16.5" thickBot="1" x14ac:dyDescent="0.3">
      <c r="A96" s="5">
        <v>4</v>
      </c>
      <c r="B96" s="6" t="s">
        <v>67</v>
      </c>
      <c r="C96" s="6" t="s">
        <v>4</v>
      </c>
    </row>
    <row r="97" spans="1:4" ht="16.5" thickBot="1" x14ac:dyDescent="0.3">
      <c r="A97" s="7" t="s">
        <v>65</v>
      </c>
      <c r="B97" s="8" t="s">
        <v>102</v>
      </c>
      <c r="C97" s="19">
        <f>D92</f>
        <v>0</v>
      </c>
    </row>
    <row r="98" spans="1:4" ht="16.5" thickBot="1" x14ac:dyDescent="0.3">
      <c r="A98" s="84" t="s">
        <v>14</v>
      </c>
      <c r="B98" s="85"/>
      <c r="C98" s="19">
        <f>C97</f>
        <v>0</v>
      </c>
    </row>
    <row r="101" spans="1:4" x14ac:dyDescent="0.25">
      <c r="A101" s="83" t="s">
        <v>68</v>
      </c>
      <c r="B101" s="83"/>
      <c r="C101" s="83"/>
    </row>
    <row r="102" spans="1:4" ht="16.5" thickBot="1" x14ac:dyDescent="0.3"/>
    <row r="103" spans="1:4" ht="16.5" thickBot="1" x14ac:dyDescent="0.3">
      <c r="A103" s="5">
        <v>5</v>
      </c>
      <c r="B103" s="22" t="s">
        <v>69</v>
      </c>
      <c r="C103" s="6" t="s">
        <v>4</v>
      </c>
    </row>
    <row r="104" spans="1:4" ht="16.5" thickBot="1" x14ac:dyDescent="0.3">
      <c r="A104" s="76" t="s">
        <v>6</v>
      </c>
      <c r="B104" s="77" t="s">
        <v>137</v>
      </c>
      <c r="C104" s="78"/>
    </row>
    <row r="105" spans="1:4" ht="16.5" thickBot="1" x14ac:dyDescent="0.3">
      <c r="A105" s="7" t="s">
        <v>9</v>
      </c>
      <c r="B105" s="8" t="s">
        <v>148</v>
      </c>
      <c r="C105" s="33">
        <f>'MODULO 5 MATERIAIS_EQUIP_UNIF'!B23</f>
        <v>0</v>
      </c>
    </row>
    <row r="106" spans="1:4" ht="16.5" thickBot="1" x14ac:dyDescent="0.3">
      <c r="A106" s="7" t="s">
        <v>10</v>
      </c>
      <c r="B106" s="8" t="s">
        <v>138</v>
      </c>
      <c r="C106" s="33">
        <f>'MODULO 5 MATERIAIS_EQUIP_UNIF'!B22</f>
        <v>0</v>
      </c>
    </row>
    <row r="107" spans="1:4" ht="16.5" thickBot="1" x14ac:dyDescent="0.3">
      <c r="A107" s="84" t="s">
        <v>43</v>
      </c>
      <c r="B107" s="85"/>
      <c r="C107" s="13">
        <f>SUM(C104:C106)</f>
        <v>0</v>
      </c>
    </row>
    <row r="110" spans="1:4" x14ac:dyDescent="0.25">
      <c r="A110" s="83" t="s">
        <v>70</v>
      </c>
      <c r="B110" s="83"/>
      <c r="C110" s="83"/>
      <c r="D110" s="83"/>
    </row>
    <row r="111" spans="1:4" ht="16.5" thickBot="1" x14ac:dyDescent="0.3"/>
    <row r="112" spans="1:4" ht="16.5" thickBot="1" x14ac:dyDescent="0.3">
      <c r="A112" s="5">
        <v>6</v>
      </c>
      <c r="B112" s="22" t="s">
        <v>71</v>
      </c>
      <c r="C112" s="6" t="s">
        <v>18</v>
      </c>
      <c r="D112" s="6" t="s">
        <v>4</v>
      </c>
    </row>
    <row r="113" spans="1:4" ht="16.5" thickBot="1" x14ac:dyDescent="0.3">
      <c r="A113" s="7" t="s">
        <v>6</v>
      </c>
      <c r="B113" s="8" t="s">
        <v>72</v>
      </c>
      <c r="C113" s="62">
        <f>Resumo!H18</f>
        <v>0</v>
      </c>
      <c r="D113" s="13">
        <f>ROUND(((C130)*C113),2)</f>
        <v>0</v>
      </c>
    </row>
    <row r="114" spans="1:4" ht="16.5" thickBot="1" x14ac:dyDescent="0.3">
      <c r="A114" s="7" t="s">
        <v>9</v>
      </c>
      <c r="B114" s="8" t="s">
        <v>73</v>
      </c>
      <c r="C114" s="62">
        <f>Resumo!H19</f>
        <v>0</v>
      </c>
      <c r="D114" s="13">
        <f>ROUND(((C130+D113)*C114),2)</f>
        <v>0</v>
      </c>
    </row>
    <row r="115" spans="1:4" ht="16.5" thickBot="1" x14ac:dyDescent="0.3">
      <c r="A115" s="7" t="s">
        <v>10</v>
      </c>
      <c r="B115" s="8" t="s">
        <v>74</v>
      </c>
      <c r="C115" s="14">
        <f>SUM(C116:C118)</f>
        <v>0</v>
      </c>
      <c r="D115" s="13">
        <f>ROUND(SUM(D116:D118),2)</f>
        <v>0</v>
      </c>
    </row>
    <row r="116" spans="1:4" ht="16.5" thickBot="1" x14ac:dyDescent="0.3">
      <c r="A116" s="7"/>
      <c r="B116" s="8" t="s">
        <v>75</v>
      </c>
      <c r="C116" s="62">
        <f>Resumo!H20</f>
        <v>0</v>
      </c>
      <c r="D116" s="13">
        <f>ROUND(C116*((C130+D113+D114)/(1-C135)),2)</f>
        <v>0</v>
      </c>
    </row>
    <row r="117" spans="1:4" ht="16.5" thickBot="1" x14ac:dyDescent="0.3">
      <c r="A117" s="7"/>
      <c r="B117" s="8" t="s">
        <v>76</v>
      </c>
      <c r="C117" s="62">
        <f>Resumo!H21</f>
        <v>0</v>
      </c>
      <c r="D117" s="13">
        <f>ROUND(C117*((C130+D113+D114)/(1-C135)),2)</f>
        <v>0</v>
      </c>
    </row>
    <row r="118" spans="1:4" ht="16.5" thickBot="1" x14ac:dyDescent="0.3">
      <c r="A118" s="7"/>
      <c r="B118" s="8" t="s">
        <v>77</v>
      </c>
      <c r="C118" s="62">
        <f>Resumo!H22</f>
        <v>0</v>
      </c>
      <c r="D118" s="13">
        <f>ROUND(C118*((C130+D113+D114)/(1-C135)),2)</f>
        <v>0</v>
      </c>
    </row>
    <row r="119" spans="1:4" ht="16.5" thickBot="1" x14ac:dyDescent="0.3">
      <c r="A119" s="84" t="s">
        <v>43</v>
      </c>
      <c r="B119" s="85"/>
      <c r="C119" s="11"/>
      <c r="D119" s="13">
        <f>ROUND(SUM(D113:D115),2)</f>
        <v>0</v>
      </c>
    </row>
    <row r="122" spans="1:4" x14ac:dyDescent="0.25">
      <c r="A122" s="83" t="s">
        <v>78</v>
      </c>
      <c r="B122" s="83"/>
      <c r="C122" s="83"/>
    </row>
    <row r="123" spans="1:4" ht="16.5" thickBot="1" x14ac:dyDescent="0.3"/>
    <row r="124" spans="1:4" ht="16.5" thickBot="1" x14ac:dyDescent="0.3">
      <c r="A124" s="5"/>
      <c r="B124" s="6" t="s">
        <v>79</v>
      </c>
      <c r="C124" s="6" t="s">
        <v>4</v>
      </c>
    </row>
    <row r="125" spans="1:4" ht="16.5" thickBot="1" x14ac:dyDescent="0.3">
      <c r="A125" s="23" t="s">
        <v>6</v>
      </c>
      <c r="B125" s="8" t="s">
        <v>2</v>
      </c>
      <c r="C125" s="24">
        <f>D16</f>
        <v>0</v>
      </c>
    </row>
    <row r="126" spans="1:4" ht="16.5" thickBot="1" x14ac:dyDescent="0.3">
      <c r="A126" s="23" t="s">
        <v>9</v>
      </c>
      <c r="B126" s="8" t="s">
        <v>15</v>
      </c>
      <c r="C126" s="24">
        <f>D64</f>
        <v>0</v>
      </c>
    </row>
    <row r="127" spans="1:4" ht="16.5" thickBot="1" x14ac:dyDescent="0.3">
      <c r="A127" s="23" t="s">
        <v>10</v>
      </c>
      <c r="B127" s="8" t="s">
        <v>57</v>
      </c>
      <c r="C127" s="24">
        <f>D75</f>
        <v>0</v>
      </c>
    </row>
    <row r="128" spans="1:4" ht="16.5" thickBot="1" x14ac:dyDescent="0.3">
      <c r="A128" s="23" t="s">
        <v>11</v>
      </c>
      <c r="B128" s="8" t="s">
        <v>64</v>
      </c>
      <c r="C128" s="24">
        <f>C98</f>
        <v>0</v>
      </c>
    </row>
    <row r="129" spans="1:3" ht="16.5" thickBot="1" x14ac:dyDescent="0.3">
      <c r="A129" s="23" t="s">
        <v>12</v>
      </c>
      <c r="B129" s="8" t="s">
        <v>68</v>
      </c>
      <c r="C129" s="24">
        <f>C107</f>
        <v>0</v>
      </c>
    </row>
    <row r="130" spans="1:3" ht="16.5" thickBot="1" x14ac:dyDescent="0.3">
      <c r="A130" s="84" t="s">
        <v>80</v>
      </c>
      <c r="B130" s="85"/>
      <c r="C130" s="24">
        <f>ROUND(C125+C126+C127+C128+C129,2)</f>
        <v>0</v>
      </c>
    </row>
    <row r="131" spans="1:3" ht="16.5" thickBot="1" x14ac:dyDescent="0.3">
      <c r="A131" s="23" t="s">
        <v>13</v>
      </c>
      <c r="B131" s="8" t="s">
        <v>81</v>
      </c>
      <c r="C131" s="25">
        <f>D119</f>
        <v>0</v>
      </c>
    </row>
    <row r="132" spans="1:3" ht="16.5" thickBot="1" x14ac:dyDescent="0.3">
      <c r="A132" s="84" t="s">
        <v>82</v>
      </c>
      <c r="B132" s="85"/>
      <c r="C132" s="24">
        <f>ROUND(C130+C131,2)</f>
        <v>0</v>
      </c>
    </row>
    <row r="135" spans="1:3" hidden="1" x14ac:dyDescent="0.25">
      <c r="A135" s="1" t="s">
        <v>83</v>
      </c>
      <c r="C135" s="26">
        <f>C115</f>
        <v>0</v>
      </c>
    </row>
    <row r="136" spans="1:3" hidden="1" x14ac:dyDescent="0.25">
      <c r="A136" s="1" t="s">
        <v>84</v>
      </c>
      <c r="C136" s="27">
        <f>D16+D64+D75+C98+C107+D113+D114</f>
        <v>0</v>
      </c>
    </row>
    <row r="137" spans="1:3" hidden="1" x14ac:dyDescent="0.25">
      <c r="A137" s="1" t="s">
        <v>85</v>
      </c>
      <c r="C137" s="1">
        <f>TRUNC(C136/(1-C135),2)</f>
        <v>0</v>
      </c>
    </row>
    <row r="138" spans="1:3" hidden="1" x14ac:dyDescent="0.25">
      <c r="A138" s="1" t="s">
        <v>86</v>
      </c>
      <c r="C138" s="27">
        <f>C137-C136</f>
        <v>0</v>
      </c>
    </row>
  </sheetData>
  <sheetProtection algorithmName="SHA-512" hashValue="e2GUwQFSw3ekI0h8fmcs9HO2l4OT7/lHdaOVRTYt/ZwbfqbYW5n93SBQK25zZTNnkS7yTzHyaHC701jyVru4pA==" saltValue="TzT7uxoKM/GURlWZa/bZow==" spinCount="100000" sheet="1" selectLockedCells="1"/>
  <protectedRanges>
    <protectedRange algorithmName="SHA-512" hashValue="DTBgpaHhc9nEoKLGjHatGhRXNTNOGWWhyoMlimvXfB33n6TdEsBn1EGaaKdtAgwVI/wzYa/LHnrei0wXE60UFA==" saltValue="MjcTX6eLnyf4eF8erjOakA==" spinCount="100000" sqref="A14:B14 A16 D16 A15:D15 A13:D13" name="Intervalo2"/>
    <protectedRange algorithmName="SHA-512" hashValue="xnqye0zzuEsJ5+2oYzqX+qnSX1pyDiUdwgcXvT3bbZx4Ki9MNkk3bDrNvMPw+swgOr7oO7f3gPiUaGsamZmqBQ==" saltValue="g5tvExNTSJVdZ2A3KoDzbA==" spinCount="100000" sqref="B7" name="Intervalo1"/>
  </protectedRanges>
  <mergeCells count="28">
    <mergeCell ref="A119:B119"/>
    <mergeCell ref="A122:C122"/>
    <mergeCell ref="A130:B130"/>
    <mergeCell ref="A132:B132"/>
    <mergeCell ref="A92:B92"/>
    <mergeCell ref="A94:C94"/>
    <mergeCell ref="A98:B98"/>
    <mergeCell ref="A101:C101"/>
    <mergeCell ref="A107:B107"/>
    <mergeCell ref="A110:D110"/>
    <mergeCell ref="A90:B90"/>
    <mergeCell ref="A29:B29"/>
    <mergeCell ref="A32:E32"/>
    <mergeCell ref="A43:B43"/>
    <mergeCell ref="A46:E46"/>
    <mergeCell ref="A55:B55"/>
    <mergeCell ref="A58:D58"/>
    <mergeCell ref="A64:B64"/>
    <mergeCell ref="A67:D67"/>
    <mergeCell ref="A75:B75"/>
    <mergeCell ref="A78:D78"/>
    <mergeCell ref="A81:D81"/>
    <mergeCell ref="A27:B27"/>
    <mergeCell ref="B3:C3"/>
    <mergeCell ref="A10:E10"/>
    <mergeCell ref="A16:B16"/>
    <mergeCell ref="A19:E19"/>
    <mergeCell ref="A22:E22"/>
  </mergeCells>
  <pageMargins left="0.511811024" right="0.511811024" top="0.78740157499999996" bottom="0.78740157499999996" header="0.31496062000000002" footer="0.31496062000000002"/>
  <pageSetup paperSize="9" orientation="portrait" r:id="rId1"/>
  <headerFooter>
    <oddHeader>&amp;R&amp;"Calibri"&amp;20&amp;K0000FF Interno&amp;1#_x000D_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94DA3-AD80-463C-B482-9A94D6F2F33F}">
  <dimension ref="A2:E68"/>
  <sheetViews>
    <sheetView showGridLines="0" tabSelected="1" zoomScaleNormal="100" workbookViewId="0">
      <selection activeCell="E31" sqref="E31"/>
    </sheetView>
  </sheetViews>
  <sheetFormatPr defaultRowHeight="15" x14ac:dyDescent="0.25"/>
  <cols>
    <col min="1" max="1" width="60" bestFit="1" customWidth="1"/>
    <col min="2" max="2" width="13.85546875" bestFit="1" customWidth="1"/>
    <col min="3" max="3" width="10.28515625" bestFit="1" customWidth="1"/>
    <col min="4" max="4" width="20.5703125" bestFit="1" customWidth="1"/>
    <col min="5" max="5" width="28.42578125" bestFit="1" customWidth="1"/>
    <col min="6" max="6" width="30" bestFit="1" customWidth="1"/>
  </cols>
  <sheetData>
    <row r="2" spans="1:5" x14ac:dyDescent="0.25">
      <c r="A2" s="87" t="s">
        <v>152</v>
      </c>
      <c r="B2" s="87"/>
      <c r="C2" s="87"/>
      <c r="D2" s="87"/>
      <c r="E2" s="87"/>
    </row>
    <row r="3" spans="1:5" x14ac:dyDescent="0.25">
      <c r="A3" s="68" t="s">
        <v>120</v>
      </c>
      <c r="B3" s="68" t="s">
        <v>121</v>
      </c>
      <c r="C3" s="68" t="s">
        <v>122</v>
      </c>
      <c r="D3" s="68" t="s">
        <v>123</v>
      </c>
      <c r="E3" s="68" t="s">
        <v>125</v>
      </c>
    </row>
    <row r="4" spans="1:5" x14ac:dyDescent="0.25">
      <c r="A4" s="69" t="s">
        <v>153</v>
      </c>
      <c r="B4" s="70"/>
      <c r="C4" s="69">
        <v>2</v>
      </c>
      <c r="D4" s="71">
        <f>C4*B4</f>
        <v>0</v>
      </c>
      <c r="E4" s="71">
        <f>IF(C4&gt;0,((D4/12)),"0")</f>
        <v>0</v>
      </c>
    </row>
    <row r="5" spans="1:5" x14ac:dyDescent="0.25">
      <c r="A5" s="69" t="s">
        <v>154</v>
      </c>
      <c r="B5" s="70"/>
      <c r="C5" s="69">
        <v>2</v>
      </c>
      <c r="D5" s="71">
        <f t="shared" ref="D5:D11" si="0">C5*B5</f>
        <v>0</v>
      </c>
      <c r="E5" s="71">
        <f>IF(C5&gt;0,((D5/12)),"0")</f>
        <v>0</v>
      </c>
    </row>
    <row r="6" spans="1:5" x14ac:dyDescent="0.25">
      <c r="A6" s="69" t="s">
        <v>155</v>
      </c>
      <c r="B6" s="70"/>
      <c r="C6" s="69">
        <v>2</v>
      </c>
      <c r="D6" s="71">
        <f t="shared" si="0"/>
        <v>0</v>
      </c>
      <c r="E6" s="71">
        <f t="shared" ref="E6:E11" si="1">IF(C6&gt;0,((D6/12)),"0")</f>
        <v>0</v>
      </c>
    </row>
    <row r="7" spans="1:5" x14ac:dyDescent="0.25">
      <c r="A7" s="69" t="s">
        <v>156</v>
      </c>
      <c r="B7" s="70"/>
      <c r="C7" s="69">
        <v>1</v>
      </c>
      <c r="D7" s="71">
        <f t="shared" si="0"/>
        <v>0</v>
      </c>
      <c r="E7" s="71">
        <f t="shared" si="1"/>
        <v>0</v>
      </c>
    </row>
    <row r="8" spans="1:5" x14ac:dyDescent="0.25">
      <c r="A8" s="69" t="s">
        <v>157</v>
      </c>
      <c r="B8" s="70"/>
      <c r="C8" s="69">
        <v>1</v>
      </c>
      <c r="D8" s="71">
        <f t="shared" si="0"/>
        <v>0</v>
      </c>
      <c r="E8" s="71">
        <f t="shared" si="1"/>
        <v>0</v>
      </c>
    </row>
    <row r="9" spans="1:5" x14ac:dyDescent="0.25">
      <c r="A9" s="69" t="s">
        <v>158</v>
      </c>
      <c r="B9" s="70"/>
      <c r="C9" s="69">
        <v>1</v>
      </c>
      <c r="D9" s="71">
        <f t="shared" si="0"/>
        <v>0</v>
      </c>
      <c r="E9" s="71">
        <f t="shared" si="1"/>
        <v>0</v>
      </c>
    </row>
    <row r="10" spans="1:5" x14ac:dyDescent="0.25">
      <c r="A10" s="69" t="s">
        <v>124</v>
      </c>
      <c r="B10" s="70"/>
      <c r="C10" s="69">
        <v>1</v>
      </c>
      <c r="D10" s="71">
        <f t="shared" si="0"/>
        <v>0</v>
      </c>
      <c r="E10" s="71">
        <f t="shared" si="1"/>
        <v>0</v>
      </c>
    </row>
    <row r="11" spans="1:5" x14ac:dyDescent="0.25">
      <c r="A11" s="69" t="s">
        <v>159</v>
      </c>
      <c r="B11" s="70"/>
      <c r="C11" s="69">
        <v>2</v>
      </c>
      <c r="D11" s="71">
        <f t="shared" si="0"/>
        <v>0</v>
      </c>
      <c r="E11" s="71">
        <f t="shared" si="1"/>
        <v>0</v>
      </c>
    </row>
    <row r="12" spans="1:5" x14ac:dyDescent="0.25">
      <c r="A12" s="72" t="s">
        <v>14</v>
      </c>
      <c r="B12" s="73">
        <f>SUM(B4:B11)</f>
        <v>0</v>
      </c>
      <c r="C12" s="72">
        <f>SUM(C4:C11)</f>
        <v>12</v>
      </c>
      <c r="D12" s="73">
        <f>SUM(D4:D11)</f>
        <v>0</v>
      </c>
      <c r="E12" s="73">
        <f>SUM(E4:E11)</f>
        <v>0</v>
      </c>
    </row>
    <row r="13" spans="1:5" x14ac:dyDescent="0.25">
      <c r="A13" s="89" t="s">
        <v>160</v>
      </c>
      <c r="B13" s="89"/>
      <c r="C13" s="89"/>
      <c r="D13" s="89"/>
      <c r="E13" s="89"/>
    </row>
    <row r="14" spans="1:5" x14ac:dyDescent="0.25">
      <c r="A14" s="72" t="s">
        <v>120</v>
      </c>
      <c r="B14" s="72" t="s">
        <v>121</v>
      </c>
      <c r="C14" s="72" t="s">
        <v>122</v>
      </c>
      <c r="D14" s="72" t="s">
        <v>123</v>
      </c>
      <c r="E14" s="68" t="s">
        <v>125</v>
      </c>
    </row>
    <row r="15" spans="1:5" x14ac:dyDescent="0.25">
      <c r="A15" s="63" t="s">
        <v>161</v>
      </c>
      <c r="B15" s="74"/>
      <c r="C15" s="63">
        <v>1</v>
      </c>
      <c r="D15" s="75">
        <f t="shared" ref="D15" si="2">C15*B15</f>
        <v>0</v>
      </c>
      <c r="E15" s="75">
        <f>IF(C15&gt;0,((D15/12)),"0")</f>
        <v>0</v>
      </c>
    </row>
    <row r="16" spans="1:5" x14ac:dyDescent="0.25">
      <c r="A16" s="63" t="s">
        <v>162</v>
      </c>
      <c r="B16" s="74"/>
      <c r="C16" s="63">
        <v>1</v>
      </c>
      <c r="D16" s="75">
        <f>C16*B16</f>
        <v>0</v>
      </c>
      <c r="E16" s="75">
        <f>IF(C16&gt;0,((D16/12)/C16),"0")</f>
        <v>0</v>
      </c>
    </row>
    <row r="17" spans="1:5" x14ac:dyDescent="0.25">
      <c r="A17" s="72" t="s">
        <v>14</v>
      </c>
      <c r="B17" s="73">
        <f>SUM(B15:B16)</f>
        <v>0</v>
      </c>
      <c r="C17" s="72">
        <f>SUM(C15:C16)</f>
        <v>2</v>
      </c>
      <c r="D17" s="73">
        <f>SUM(D15:D16)</f>
        <v>0</v>
      </c>
      <c r="E17" s="73">
        <f>SUM(E15:E16)</f>
        <v>0</v>
      </c>
    </row>
    <row r="20" spans="1:5" ht="15.75" thickBot="1" x14ac:dyDescent="0.3"/>
    <row r="21" spans="1:5" ht="15.75" thickBot="1" x14ac:dyDescent="0.3">
      <c r="A21" s="88" t="s">
        <v>135</v>
      </c>
      <c r="B21" s="88"/>
    </row>
    <row r="22" spans="1:5" ht="15.75" thickBot="1" x14ac:dyDescent="0.3">
      <c r="A22" s="44" t="s">
        <v>163</v>
      </c>
      <c r="B22" s="64">
        <f>E12</f>
        <v>0</v>
      </c>
    </row>
    <row r="23" spans="1:5" ht="15.75" thickBot="1" x14ac:dyDescent="0.3">
      <c r="A23" s="44" t="s">
        <v>147</v>
      </c>
      <c r="B23" s="64">
        <f>E17</f>
        <v>0</v>
      </c>
    </row>
    <row r="68" spans="4:4" x14ac:dyDescent="0.25">
      <c r="D68" t="s">
        <v>151</v>
      </c>
    </row>
  </sheetData>
  <sheetProtection algorithmName="SHA-512" hashValue="t4XiIn+M1/vXb7Tjs7cvoLSnJ0d6vshkdWzp2YKpPMZpwqWthCHZG4VuHz9oFLwqHpV6iovT0UaVKXX62liQ5A==" saltValue="7m7WJrjAczHumN3FQwSS3Q==" spinCount="100000" sheet="1" objects="1" scenarios="1"/>
  <mergeCells count="3">
    <mergeCell ref="A2:E2"/>
    <mergeCell ref="A21:B21"/>
    <mergeCell ref="A13:E1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4972bdeb-71e7-4f78-a412-0e79ef21ab88" xsi:nil="true"/>
    <lcf76f155ced4ddcb4097134ff3c332f xmlns="68a6fd5b-3eb0-4ab6-b0bd-3d44e9cd361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495AE8EAD09A743B5D1E46D9C2600C2" ma:contentTypeVersion="21" ma:contentTypeDescription="Crie um novo documento." ma:contentTypeScope="" ma:versionID="93e0ec80754ffe395a1b33802b214791">
  <xsd:schema xmlns:xsd="http://www.w3.org/2001/XMLSchema" xmlns:xs="http://www.w3.org/2001/XMLSchema" xmlns:p="http://schemas.microsoft.com/office/2006/metadata/properties" xmlns:ns1="http://schemas.microsoft.com/sharepoint/v3" xmlns:ns2="68a6fd5b-3eb0-4ab6-b0bd-3d44e9cd361b" xmlns:ns3="a825b47f-d537-4ba3-ae70-a25b86e5b96f" xmlns:ns4="4972bdeb-71e7-4f78-a412-0e79ef21ab88" targetNamespace="http://schemas.microsoft.com/office/2006/metadata/properties" ma:root="true" ma:fieldsID="29f0c41abf5acf9051bbc505bd5814ae" ns1:_="" ns2:_="" ns3:_="" ns4:_="">
    <xsd:import namespace="http://schemas.microsoft.com/sharepoint/v3"/>
    <xsd:import namespace="68a6fd5b-3eb0-4ab6-b0bd-3d44e9cd361b"/>
    <xsd:import namespace="a825b47f-d537-4ba3-ae70-a25b86e5b96f"/>
    <xsd:import namespace="4972bdeb-71e7-4f78-a412-0e79ef21ab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a6fd5b-3eb0-4ab6-b0bd-3d44e9cd36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9cc491fe-547a-4263-97dd-51df7dc18e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8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25b47f-d537-4ba3-ae70-a25b86e5b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2bdeb-71e7-4f78-a412-0e79ef21ab88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description="" ma:hidden="true" ma:list="{281c8b8c-98c8-474e-8735-c4e3165612a3}" ma:internalName="TaxCatchAll" ma:showField="CatchAllData" ma:web="e2e13404-5f3e-430d-8528-ab60eb72aa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2A379A-F484-4755-9C54-F419B31450B1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4972bdeb-71e7-4f78-a412-0e79ef21ab88"/>
    <ds:schemaRef ds:uri="68a6fd5b-3eb0-4ab6-b0bd-3d44e9cd361b"/>
  </ds:schemaRefs>
</ds:datastoreItem>
</file>

<file path=customXml/itemProps2.xml><?xml version="1.0" encoding="utf-8"?>
<ds:datastoreItem xmlns:ds="http://schemas.openxmlformats.org/officeDocument/2006/customXml" ds:itemID="{F01F78CF-D121-4F10-B810-8EF1B6F478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8a6fd5b-3eb0-4ab6-b0bd-3d44e9cd361b"/>
    <ds:schemaRef ds:uri="a825b47f-d537-4ba3-ae70-a25b86e5b96f"/>
    <ds:schemaRef ds:uri="4972bdeb-71e7-4f78-a412-0e79ef21ab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7309BD-84DA-4BDB-B8C1-D289DBA5DAC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317d0ede-aeba-4cac-a28d-f0cae284d260}" enabled="1" method="Privileged" siteId="{97298271-1bd7-4ac5-935b-88addef636c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Resumo</vt:lpstr>
      <vt:lpstr>VIGILANTE DESARMADO</vt:lpstr>
      <vt:lpstr>MODULO 5 MATERIAIS_EQUIP_UNIF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Gabriele de Almeida Rampa Pires</dc:creator>
  <cp:lastModifiedBy>Cinthia Matsunaga</cp:lastModifiedBy>
  <dcterms:created xsi:type="dcterms:W3CDTF">2023-05-26T19:08:05Z</dcterms:created>
  <dcterms:modified xsi:type="dcterms:W3CDTF">2026-09-14T11:55:09Z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17d0ede-aeba-4cac-a28d-f0cae284d260_Enabled">
    <vt:lpwstr>true</vt:lpwstr>
  </property>
  <property fmtid="{D5CDD505-2E9C-101B-9397-08002B2CF9AE}" pid="3" name="MSIP_Label_317d0ede-aeba-4cac-a28d-f0cae284d260_SetDate">
    <vt:lpwstr>2023-05-26T19:08:14Z</vt:lpwstr>
  </property>
  <property fmtid="{D5CDD505-2E9C-101B-9397-08002B2CF9AE}" pid="4" name="MSIP_Label_317d0ede-aeba-4cac-a28d-f0cae284d260_Method">
    <vt:lpwstr>Privileged</vt:lpwstr>
  </property>
  <property fmtid="{D5CDD505-2E9C-101B-9397-08002B2CF9AE}" pid="5" name="MSIP_Label_317d0ede-aeba-4cac-a28d-f0cae284d260_Name">
    <vt:lpwstr>PR - Interno</vt:lpwstr>
  </property>
  <property fmtid="{D5CDD505-2E9C-101B-9397-08002B2CF9AE}" pid="6" name="MSIP_Label_317d0ede-aeba-4cac-a28d-f0cae284d260_SiteId">
    <vt:lpwstr>97298271-1bd7-4ac5-935b-88addef636cc</vt:lpwstr>
  </property>
  <property fmtid="{D5CDD505-2E9C-101B-9397-08002B2CF9AE}" pid="7" name="MSIP_Label_317d0ede-aeba-4cac-a28d-f0cae284d260_ActionId">
    <vt:lpwstr>2af241b4-3a71-4a26-9f83-cd92f4b79e7c</vt:lpwstr>
  </property>
  <property fmtid="{D5CDD505-2E9C-101B-9397-08002B2CF9AE}" pid="8" name="MSIP_Label_317d0ede-aeba-4cac-a28d-f0cae284d260_ContentBits">
    <vt:lpwstr>1</vt:lpwstr>
  </property>
  <property fmtid="{D5CDD505-2E9C-101B-9397-08002B2CF9AE}" pid="9" name="ContentTypeId">
    <vt:lpwstr>0x0101008495AE8EAD09A743B5D1E46D9C2600C2</vt:lpwstr>
  </property>
  <property fmtid="{D5CDD505-2E9C-101B-9397-08002B2CF9AE}" pid="10" name="MediaServiceImageTags">
    <vt:lpwstr/>
  </property>
</Properties>
</file>