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Licitações/LICITAÇÕES/Pregão Eletrônico/2026/02 - 141_2026 - MÃO DE OBRA TERCEIRIZADA/"/>
    </mc:Choice>
  </mc:AlternateContent>
  <xr:revisionPtr revIDLastSave="203" documentId="8_{0F874E63-9B8D-455B-93F7-DE702326578D}" xr6:coauthVersionLast="47" xr6:coauthVersionMax="47" xr10:uidLastSave="{59744C27-4D76-4F3A-BD8F-B19D29A1BA82}"/>
  <workbookProtection workbookAlgorithmName="SHA-512" workbookHashValue="kItE2lYXIb9ktgKJaWAWCZGOJKU7AEh0MhEnIR4PWctvTvwO/rs4Zyiinm/QSxNtBpiHWXFfb2ooZ84zdUJTcw==" workbookSaltValue="670CeZFrKQP8/O7dAL760Q==" workbookSpinCount="100000" lockStructure="1"/>
  <bookViews>
    <workbookView xWindow="-110" yWindow="-110" windowWidth="19420" windowHeight="11500" xr2:uid="{50548692-4806-4DE1-8D88-350D0B6EE7C9}"/>
  </bookViews>
  <sheets>
    <sheet name="Base" sheetId="8" r:id="rId1"/>
    <sheet name="1" sheetId="11" r:id="rId2"/>
    <sheet name="2" sheetId="13" r:id="rId3"/>
    <sheet name="3" sheetId="15" r:id="rId4"/>
    <sheet name="4" sheetId="16" r:id="rId5"/>
    <sheet name="5" sheetId="19" r:id="rId6"/>
    <sheet name="6" sheetId="20" r:id="rId7"/>
    <sheet name="7" sheetId="21" r:id="rId8"/>
    <sheet name="8" sheetId="23" r:id="rId9"/>
    <sheet name="9" sheetId="2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2" i="11" l="1"/>
  <c r="C46" i="11"/>
  <c r="C34" i="11"/>
  <c r="C6" i="11"/>
  <c r="C5" i="11"/>
  <c r="C116" i="29"/>
  <c r="C115" i="29"/>
  <c r="C114" i="29"/>
  <c r="C112" i="29"/>
  <c r="C111" i="29"/>
  <c r="C85" i="29"/>
  <c r="D53" i="29"/>
  <c r="D52" i="29"/>
  <c r="D51" i="29"/>
  <c r="D50" i="29"/>
  <c r="D49" i="29"/>
  <c r="D48" i="29"/>
  <c r="C47" i="29"/>
  <c r="C46" i="29"/>
  <c r="C34" i="29"/>
  <c r="C6" i="29"/>
  <c r="C5" i="29"/>
  <c r="C116" i="23" l="1"/>
  <c r="C115" i="23"/>
  <c r="C114" i="23"/>
  <c r="C112" i="23"/>
  <c r="C111" i="23"/>
  <c r="C85" i="23"/>
  <c r="D53" i="23"/>
  <c r="D52" i="23"/>
  <c r="D51" i="23"/>
  <c r="D50" i="23"/>
  <c r="D49" i="23"/>
  <c r="D48" i="23"/>
  <c r="C47" i="23"/>
  <c r="D47" i="23" s="1"/>
  <c r="C46" i="23"/>
  <c r="C34" i="23"/>
  <c r="C40" i="23" s="1"/>
  <c r="C6" i="23"/>
  <c r="D12" i="23" s="1"/>
  <c r="C5" i="23"/>
  <c r="C116" i="21"/>
  <c r="C115" i="21"/>
  <c r="C114" i="21"/>
  <c r="C112" i="21"/>
  <c r="C111" i="21"/>
  <c r="C85" i="21"/>
  <c r="D53" i="21"/>
  <c r="D52" i="21"/>
  <c r="D51" i="21"/>
  <c r="D50" i="21"/>
  <c r="D49" i="21"/>
  <c r="D48" i="21"/>
  <c r="C47" i="21"/>
  <c r="D47" i="21" s="1"/>
  <c r="C46" i="21"/>
  <c r="C34" i="21"/>
  <c r="C40" i="21" s="1"/>
  <c r="C74" i="21" s="1"/>
  <c r="C75" i="21" s="1"/>
  <c r="C6" i="21"/>
  <c r="D12" i="21" s="1"/>
  <c r="C5" i="21"/>
  <c r="C116" i="20"/>
  <c r="C115" i="20"/>
  <c r="C114" i="20"/>
  <c r="C112" i="20"/>
  <c r="C111" i="20"/>
  <c r="C85" i="20"/>
  <c r="D53" i="20"/>
  <c r="D52" i="20"/>
  <c r="D51" i="20"/>
  <c r="D50" i="20"/>
  <c r="D49" i="20"/>
  <c r="D48" i="20"/>
  <c r="C47" i="20"/>
  <c r="D47" i="20" s="1"/>
  <c r="C46" i="20"/>
  <c r="C34" i="20"/>
  <c r="C40" i="20" s="1"/>
  <c r="C6" i="20"/>
  <c r="D12" i="20" s="1"/>
  <c r="C5" i="20"/>
  <c r="C116" i="19"/>
  <c r="C115" i="19"/>
  <c r="C114" i="19"/>
  <c r="C112" i="19"/>
  <c r="C111" i="19"/>
  <c r="C85" i="19"/>
  <c r="D53" i="19"/>
  <c r="D52" i="19"/>
  <c r="D51" i="19"/>
  <c r="D50" i="19"/>
  <c r="D49" i="19"/>
  <c r="D48" i="19"/>
  <c r="C47" i="19"/>
  <c r="D47" i="19" s="1"/>
  <c r="C46" i="19"/>
  <c r="C34" i="19"/>
  <c r="C40" i="19" s="1"/>
  <c r="C74" i="19" s="1"/>
  <c r="C75" i="19" s="1"/>
  <c r="C6" i="19"/>
  <c r="D12" i="19" s="1"/>
  <c r="D13" i="19" s="1"/>
  <c r="C5" i="19"/>
  <c r="C116" i="16"/>
  <c r="C115" i="16"/>
  <c r="C114" i="16"/>
  <c r="C112" i="16"/>
  <c r="C111" i="16"/>
  <c r="C85" i="16"/>
  <c r="D53" i="16"/>
  <c r="D52" i="16"/>
  <c r="D51" i="16"/>
  <c r="D50" i="16"/>
  <c r="D49" i="16"/>
  <c r="D48" i="16"/>
  <c r="C47" i="16"/>
  <c r="D47" i="16" s="1"/>
  <c r="C46" i="16"/>
  <c r="C34" i="16"/>
  <c r="C40" i="16" s="1"/>
  <c r="C74" i="16" s="1"/>
  <c r="C75" i="16" s="1"/>
  <c r="C6" i="16"/>
  <c r="D12" i="16" s="1"/>
  <c r="C5" i="16"/>
  <c r="C116" i="15"/>
  <c r="C115" i="15"/>
  <c r="C114" i="15"/>
  <c r="C112" i="15"/>
  <c r="C111" i="15"/>
  <c r="C85" i="15"/>
  <c r="D53" i="15"/>
  <c r="D52" i="15"/>
  <c r="D51" i="15"/>
  <c r="D50" i="15"/>
  <c r="D49" i="15"/>
  <c r="D48" i="15"/>
  <c r="C47" i="15"/>
  <c r="D47" i="15" s="1"/>
  <c r="C46" i="15"/>
  <c r="C34" i="15"/>
  <c r="C40" i="15" s="1"/>
  <c r="C74" i="15" s="1"/>
  <c r="C75" i="15" s="1"/>
  <c r="C6" i="15"/>
  <c r="D12" i="15" s="1"/>
  <c r="D13" i="15" s="1"/>
  <c r="C5" i="15"/>
  <c r="C116" i="13"/>
  <c r="C115" i="13"/>
  <c r="C114" i="13"/>
  <c r="K116" i="13" s="1"/>
  <c r="C54" i="13" s="1"/>
  <c r="C112" i="13"/>
  <c r="C111" i="13"/>
  <c r="C85" i="13"/>
  <c r="D53" i="13"/>
  <c r="D52" i="13"/>
  <c r="D51" i="13"/>
  <c r="D50" i="13"/>
  <c r="D49" i="13"/>
  <c r="D48" i="13"/>
  <c r="C47" i="13"/>
  <c r="D47" i="13" s="1"/>
  <c r="C46" i="13"/>
  <c r="C34" i="13"/>
  <c r="C40" i="13" s="1"/>
  <c r="C74" i="13" s="1"/>
  <c r="C75" i="13" s="1"/>
  <c r="C6" i="13"/>
  <c r="D12" i="13" s="1"/>
  <c r="C5" i="13"/>
  <c r="C116" i="11"/>
  <c r="C115" i="11"/>
  <c r="C114" i="11"/>
  <c r="C112" i="11"/>
  <c r="C111" i="11"/>
  <c r="C85" i="11"/>
  <c r="D53" i="11"/>
  <c r="D51" i="11"/>
  <c r="D50" i="11"/>
  <c r="D49" i="11"/>
  <c r="D48" i="11"/>
  <c r="C47" i="11"/>
  <c r="D47" i="11" s="1"/>
  <c r="C40" i="11"/>
  <c r="C74" i="11" s="1"/>
  <c r="C75" i="11" s="1"/>
  <c r="D12" i="11"/>
  <c r="C127" i="29"/>
  <c r="K116" i="29"/>
  <c r="C54" i="29" s="1"/>
  <c r="C113" i="29"/>
  <c r="C133" i="29" s="1"/>
  <c r="C105" i="29"/>
  <c r="C84" i="29"/>
  <c r="D47" i="29"/>
  <c r="C40" i="29"/>
  <c r="C25" i="29" s="1"/>
  <c r="C26" i="29" s="1"/>
  <c r="C24" i="29"/>
  <c r="D12" i="29"/>
  <c r="D13" i="29" s="1"/>
  <c r="C105" i="23"/>
  <c r="C127" i="23" s="1"/>
  <c r="C84" i="23"/>
  <c r="C24" i="23"/>
  <c r="C127" i="21"/>
  <c r="C105" i="21"/>
  <c r="C84" i="21"/>
  <c r="C24" i="21"/>
  <c r="C127" i="20"/>
  <c r="C105" i="20"/>
  <c r="C84" i="20"/>
  <c r="C24" i="20"/>
  <c r="C127" i="19"/>
  <c r="C105" i="19"/>
  <c r="C84" i="19"/>
  <c r="C24" i="19"/>
  <c r="C127" i="16"/>
  <c r="C105" i="16"/>
  <c r="C84" i="16"/>
  <c r="C24" i="16"/>
  <c r="C127" i="15"/>
  <c r="C105" i="15"/>
  <c r="C84" i="15"/>
  <c r="C24" i="15"/>
  <c r="C127" i="13"/>
  <c r="C105" i="13"/>
  <c r="C84" i="13"/>
  <c r="C24" i="13"/>
  <c r="C127" i="11"/>
  <c r="C105" i="11"/>
  <c r="C84" i="11"/>
  <c r="C24" i="11"/>
  <c r="G17" i="8"/>
  <c r="G16" i="8"/>
  <c r="G15" i="8"/>
  <c r="G14" i="8"/>
  <c r="C113" i="23" l="1"/>
  <c r="C133" i="23" s="1"/>
  <c r="K116" i="15"/>
  <c r="C54" i="15" s="1"/>
  <c r="K116" i="23"/>
  <c r="C54" i="23" s="1"/>
  <c r="C86" i="19"/>
  <c r="C87" i="23"/>
  <c r="D46" i="23"/>
  <c r="C86" i="15"/>
  <c r="D86" i="15" s="1"/>
  <c r="C87" i="19"/>
  <c r="D87" i="19" s="1"/>
  <c r="D46" i="20"/>
  <c r="K116" i="21"/>
  <c r="C54" i="21" s="1"/>
  <c r="C88" i="23"/>
  <c r="C88" i="19"/>
  <c r="D88" i="19" s="1"/>
  <c r="C87" i="11"/>
  <c r="C88" i="16"/>
  <c r="C89" i="20"/>
  <c r="C87" i="15"/>
  <c r="D87" i="15" s="1"/>
  <c r="C88" i="11"/>
  <c r="C89" i="16"/>
  <c r="C89" i="11"/>
  <c r="C113" i="15"/>
  <c r="C133" i="15" s="1"/>
  <c r="C86" i="21"/>
  <c r="C89" i="23"/>
  <c r="C88" i="15"/>
  <c r="C89" i="19"/>
  <c r="D89" i="19" s="1"/>
  <c r="C87" i="21"/>
  <c r="C90" i="21" s="1"/>
  <c r="C91" i="21" s="1"/>
  <c r="C92" i="21" s="1"/>
  <c r="C86" i="29"/>
  <c r="D86" i="29" s="1"/>
  <c r="C74" i="29"/>
  <c r="C75" i="29" s="1"/>
  <c r="C86" i="13"/>
  <c r="C89" i="15"/>
  <c r="D89" i="15" s="1"/>
  <c r="C88" i="21"/>
  <c r="C87" i="29"/>
  <c r="D87" i="29" s="1"/>
  <c r="C87" i="13"/>
  <c r="C86" i="20"/>
  <c r="C89" i="21"/>
  <c r="C88" i="29"/>
  <c r="D88" i="29" s="1"/>
  <c r="C88" i="13"/>
  <c r="C86" i="16"/>
  <c r="C90" i="16" s="1"/>
  <c r="C91" i="16" s="1"/>
  <c r="C92" i="16" s="1"/>
  <c r="C87" i="20"/>
  <c r="C89" i="29"/>
  <c r="D89" i="29" s="1"/>
  <c r="C86" i="11"/>
  <c r="C89" i="13"/>
  <c r="C87" i="16"/>
  <c r="C88" i="20"/>
  <c r="C86" i="23"/>
  <c r="C113" i="21"/>
  <c r="C133" i="21" s="1"/>
  <c r="C25" i="23"/>
  <c r="C26" i="23" s="1"/>
  <c r="C74" i="23"/>
  <c r="C75" i="23" s="1"/>
  <c r="D46" i="19"/>
  <c r="C113" i="11"/>
  <c r="C133" i="11" s="1"/>
  <c r="K116" i="16"/>
  <c r="C54" i="16" s="1"/>
  <c r="C25" i="13"/>
  <c r="C26" i="13" s="1"/>
  <c r="C25" i="21"/>
  <c r="C26" i="21" s="1"/>
  <c r="D46" i="11"/>
  <c r="D46" i="21"/>
  <c r="C113" i="20"/>
  <c r="C133" i="20" s="1"/>
  <c r="K116" i="20"/>
  <c r="C54" i="20" s="1"/>
  <c r="C74" i="20"/>
  <c r="C75" i="20" s="1"/>
  <c r="C25" i="20"/>
  <c r="C26" i="20" s="1"/>
  <c r="C113" i="19"/>
  <c r="C133" i="19" s="1"/>
  <c r="K116" i="19"/>
  <c r="C54" i="19" s="1"/>
  <c r="C113" i="16"/>
  <c r="C133" i="16" s="1"/>
  <c r="D46" i="16"/>
  <c r="C25" i="16"/>
  <c r="C26" i="16" s="1"/>
  <c r="D46" i="15"/>
  <c r="C113" i="13"/>
  <c r="C133" i="13" s="1"/>
  <c r="D46" i="13"/>
  <c r="K116" i="11"/>
  <c r="C54" i="11" s="1"/>
  <c r="C25" i="11"/>
  <c r="C26" i="11" s="1"/>
  <c r="D70" i="29"/>
  <c r="D35" i="29"/>
  <c r="D39" i="29"/>
  <c r="D85" i="29"/>
  <c r="D72" i="29"/>
  <c r="D34" i="29"/>
  <c r="D38" i="29"/>
  <c r="D84" i="29"/>
  <c r="D36" i="29"/>
  <c r="D33" i="29"/>
  <c r="D23" i="29"/>
  <c r="C123" i="29"/>
  <c r="D32" i="29"/>
  <c r="D22" i="29"/>
  <c r="D73" i="29"/>
  <c r="D37" i="29"/>
  <c r="D46" i="29"/>
  <c r="D13" i="23"/>
  <c r="D13" i="21"/>
  <c r="D13" i="20"/>
  <c r="D70" i="19"/>
  <c r="D35" i="19"/>
  <c r="D33" i="19"/>
  <c r="C123" i="19"/>
  <c r="D32" i="19"/>
  <c r="D22" i="19"/>
  <c r="D36" i="19"/>
  <c r="D86" i="19"/>
  <c r="D39" i="19"/>
  <c r="D34" i="19"/>
  <c r="D73" i="19"/>
  <c r="D74" i="19" s="1"/>
  <c r="D38" i="19"/>
  <c r="D84" i="19"/>
  <c r="D23" i="19"/>
  <c r="D85" i="19"/>
  <c r="D72" i="19"/>
  <c r="D37" i="19"/>
  <c r="C25" i="19"/>
  <c r="C26" i="19" s="1"/>
  <c r="D13" i="16"/>
  <c r="D88" i="15"/>
  <c r="D70" i="15"/>
  <c r="D33" i="15"/>
  <c r="D23" i="15"/>
  <c r="D34" i="15"/>
  <c r="C123" i="15"/>
  <c r="D32" i="15"/>
  <c r="D22" i="15"/>
  <c r="D84" i="15"/>
  <c r="D39" i="15"/>
  <c r="D73" i="15"/>
  <c r="D74" i="15" s="1"/>
  <c r="D36" i="15"/>
  <c r="D35" i="15"/>
  <c r="D38" i="15"/>
  <c r="D85" i="15"/>
  <c r="D72" i="15"/>
  <c r="D37" i="15"/>
  <c r="C25" i="15"/>
  <c r="C26" i="15" s="1"/>
  <c r="D13" i="13"/>
  <c r="D13" i="11"/>
  <c r="D54" i="15" l="1"/>
  <c r="D54" i="23"/>
  <c r="D55" i="23" s="1"/>
  <c r="D63" i="23" s="1"/>
  <c r="D74" i="29"/>
  <c r="D54" i="21"/>
  <c r="D55" i="21" s="1"/>
  <c r="D63" i="21" s="1"/>
  <c r="C90" i="13"/>
  <c r="C91" i="13" s="1"/>
  <c r="C92" i="13" s="1"/>
  <c r="C90" i="19"/>
  <c r="C91" i="19" s="1"/>
  <c r="C92" i="19" s="1"/>
  <c r="D54" i="11"/>
  <c r="D55" i="11" s="1"/>
  <c r="D63" i="11" s="1"/>
  <c r="C90" i="20"/>
  <c r="C91" i="20" s="1"/>
  <c r="C92" i="20" s="1"/>
  <c r="D54" i="20"/>
  <c r="D55" i="20" s="1"/>
  <c r="D63" i="20" s="1"/>
  <c r="C90" i="15"/>
  <c r="C91" i="15" s="1"/>
  <c r="C92" i="15" s="1"/>
  <c r="C90" i="23"/>
  <c r="C91" i="23" s="1"/>
  <c r="C92" i="23" s="1"/>
  <c r="C90" i="11"/>
  <c r="C91" i="11" s="1"/>
  <c r="C92" i="11" s="1"/>
  <c r="C90" i="29"/>
  <c r="C91" i="29" s="1"/>
  <c r="C92" i="29" s="1"/>
  <c r="D54" i="13"/>
  <c r="D55" i="13" s="1"/>
  <c r="D63" i="13" s="1"/>
  <c r="D54" i="19"/>
  <c r="D55" i="19" s="1"/>
  <c r="D63" i="19" s="1"/>
  <c r="D24" i="15"/>
  <c r="D25" i="15" s="1"/>
  <c r="D26" i="15" s="1"/>
  <c r="D61" i="15" s="1"/>
  <c r="D54" i="16"/>
  <c r="D55" i="16" s="1"/>
  <c r="D63" i="16" s="1"/>
  <c r="D40" i="15"/>
  <c r="D62" i="15" s="1"/>
  <c r="D55" i="15"/>
  <c r="D63" i="15" s="1"/>
  <c r="D24" i="29"/>
  <c r="D71" i="29"/>
  <c r="D40" i="29"/>
  <c r="D62" i="29" s="1"/>
  <c r="D90" i="29"/>
  <c r="D54" i="29"/>
  <c r="D55" i="29" s="1"/>
  <c r="D63" i="29" s="1"/>
  <c r="D88" i="23"/>
  <c r="D70" i="23"/>
  <c r="D35" i="23"/>
  <c r="D34" i="23"/>
  <c r="D38" i="23"/>
  <c r="D87" i="23"/>
  <c r="D33" i="23"/>
  <c r="D23" i="23"/>
  <c r="D39" i="23"/>
  <c r="D73" i="23"/>
  <c r="D74" i="23" s="1"/>
  <c r="C123" i="23"/>
  <c r="D32" i="23"/>
  <c r="D22" i="23"/>
  <c r="D86" i="23"/>
  <c r="D89" i="23"/>
  <c r="D85" i="23"/>
  <c r="D72" i="23"/>
  <c r="D37" i="23"/>
  <c r="D84" i="23"/>
  <c r="D36" i="23"/>
  <c r="D88" i="21"/>
  <c r="D70" i="21"/>
  <c r="D35" i="21"/>
  <c r="D36" i="21"/>
  <c r="D34" i="21"/>
  <c r="D87" i="21"/>
  <c r="D33" i="21"/>
  <c r="D23" i="21"/>
  <c r="D84" i="21"/>
  <c r="C123" i="21"/>
  <c r="D32" i="21"/>
  <c r="D22" i="21"/>
  <c r="D86" i="21"/>
  <c r="D39" i="21"/>
  <c r="D73" i="21"/>
  <c r="D74" i="21" s="1"/>
  <c r="D38" i="21"/>
  <c r="D89" i="21"/>
  <c r="D85" i="21"/>
  <c r="D72" i="21"/>
  <c r="D37" i="21"/>
  <c r="D88" i="20"/>
  <c r="D70" i="20"/>
  <c r="D35" i="20"/>
  <c r="D87" i="20"/>
  <c r="D34" i="20"/>
  <c r="D33" i="20"/>
  <c r="D23" i="20"/>
  <c r="C123" i="20"/>
  <c r="D32" i="20"/>
  <c r="D22" i="20"/>
  <c r="D86" i="20"/>
  <c r="D39" i="20"/>
  <c r="D36" i="20"/>
  <c r="D73" i="20"/>
  <c r="D74" i="20" s="1"/>
  <c r="D38" i="20"/>
  <c r="D84" i="20"/>
  <c r="D89" i="20"/>
  <c r="D85" i="20"/>
  <c r="D72" i="20"/>
  <c r="D37" i="20"/>
  <c r="D71" i="19"/>
  <c r="D75" i="19" s="1"/>
  <c r="C125" i="19" s="1"/>
  <c r="D24" i="19"/>
  <c r="D90" i="19"/>
  <c r="D40" i="19"/>
  <c r="D62" i="19" s="1"/>
  <c r="D88" i="16"/>
  <c r="D70" i="16"/>
  <c r="D35" i="16"/>
  <c r="D85" i="16"/>
  <c r="D34" i="16"/>
  <c r="D84" i="16"/>
  <c r="D87" i="16"/>
  <c r="D33" i="16"/>
  <c r="D23" i="16"/>
  <c r="D36" i="16"/>
  <c r="C123" i="16"/>
  <c r="D32" i="16"/>
  <c r="D22" i="16"/>
  <c r="D38" i="16"/>
  <c r="D37" i="16"/>
  <c r="D86" i="16"/>
  <c r="D39" i="16"/>
  <c r="D73" i="16"/>
  <c r="D74" i="16" s="1"/>
  <c r="D89" i="16"/>
  <c r="D72" i="16"/>
  <c r="D71" i="15"/>
  <c r="D75" i="15" s="1"/>
  <c r="C125" i="15" s="1"/>
  <c r="D90" i="15"/>
  <c r="D88" i="13"/>
  <c r="D70" i="13"/>
  <c r="D35" i="13"/>
  <c r="D34" i="13"/>
  <c r="D32" i="13"/>
  <c r="D36" i="13"/>
  <c r="D87" i="13"/>
  <c r="D33" i="13"/>
  <c r="D23" i="13"/>
  <c r="C123" i="13"/>
  <c r="D22" i="13"/>
  <c r="D86" i="13"/>
  <c r="D39" i="13"/>
  <c r="D89" i="13"/>
  <c r="D72" i="13"/>
  <c r="D37" i="13"/>
  <c r="D73" i="13"/>
  <c r="D74" i="13" s="1"/>
  <c r="D38" i="13"/>
  <c r="D85" i="13"/>
  <c r="D84" i="13"/>
  <c r="D88" i="11"/>
  <c r="D70" i="11"/>
  <c r="D35" i="11"/>
  <c r="D34" i="11"/>
  <c r="D38" i="11"/>
  <c r="D36" i="11"/>
  <c r="D87" i="11"/>
  <c r="D33" i="11"/>
  <c r="D23" i="11"/>
  <c r="C123" i="11"/>
  <c r="D32" i="11"/>
  <c r="D22" i="11"/>
  <c r="D73" i="11"/>
  <c r="D74" i="11" s="1"/>
  <c r="D37" i="11"/>
  <c r="D86" i="11"/>
  <c r="D39" i="11"/>
  <c r="D84" i="11"/>
  <c r="D89" i="11"/>
  <c r="D85" i="11"/>
  <c r="D72" i="11"/>
  <c r="D75" i="29" l="1"/>
  <c r="C125" i="29" s="1"/>
  <c r="D24" i="13"/>
  <c r="D24" i="16"/>
  <c r="D25" i="16" s="1"/>
  <c r="D26" i="16" s="1"/>
  <c r="D61" i="16" s="1"/>
  <c r="D24" i="23"/>
  <c r="D25" i="23" s="1"/>
  <c r="D26" i="23" s="1"/>
  <c r="D61" i="23" s="1"/>
  <c r="D40" i="23"/>
  <c r="D62" i="23" s="1"/>
  <c r="D24" i="21"/>
  <c r="D25" i="21" s="1"/>
  <c r="D26" i="21" s="1"/>
  <c r="D61" i="21" s="1"/>
  <c r="D64" i="15"/>
  <c r="C124" i="15" s="1"/>
  <c r="D24" i="11"/>
  <c r="D25" i="11" s="1"/>
  <c r="D26" i="11" s="1"/>
  <c r="D61" i="11" s="1"/>
  <c r="D91" i="29"/>
  <c r="D92" i="29" s="1"/>
  <c r="C97" i="29" s="1"/>
  <c r="C98" i="29" s="1"/>
  <c r="C126" i="29" s="1"/>
  <c r="D25" i="29"/>
  <c r="D26" i="29" s="1"/>
  <c r="D61" i="29" s="1"/>
  <c r="D64" i="29" s="1"/>
  <c r="D90" i="23"/>
  <c r="D71" i="23"/>
  <c r="D75" i="23" s="1"/>
  <c r="C125" i="23" s="1"/>
  <c r="D40" i="21"/>
  <c r="D62" i="21" s="1"/>
  <c r="D90" i="21"/>
  <c r="D71" i="21"/>
  <c r="D75" i="21" s="1"/>
  <c r="C125" i="21" s="1"/>
  <c r="D24" i="20"/>
  <c r="D40" i="20"/>
  <c r="D62" i="20" s="1"/>
  <c r="D71" i="20"/>
  <c r="D75" i="20" s="1"/>
  <c r="C125" i="20" s="1"/>
  <c r="D90" i="20"/>
  <c r="D25" i="19"/>
  <c r="D26" i="19" s="1"/>
  <c r="D61" i="19" s="1"/>
  <c r="D64" i="19" s="1"/>
  <c r="D91" i="19"/>
  <c r="D92" i="19" s="1"/>
  <c r="C97" i="19" s="1"/>
  <c r="C98" i="19" s="1"/>
  <c r="C126" i="19" s="1"/>
  <c r="D90" i="16"/>
  <c r="D40" i="16"/>
  <c r="D62" i="16" s="1"/>
  <c r="D71" i="16"/>
  <c r="D75" i="16" s="1"/>
  <c r="C125" i="16" s="1"/>
  <c r="D91" i="15"/>
  <c r="D92" i="15" s="1"/>
  <c r="C97" i="15" s="1"/>
  <c r="C98" i="15" s="1"/>
  <c r="C126" i="15" s="1"/>
  <c r="D40" i="13"/>
  <c r="D62" i="13" s="1"/>
  <c r="D90" i="13"/>
  <c r="D71" i="13"/>
  <c r="D75" i="13" s="1"/>
  <c r="C125" i="13" s="1"/>
  <c r="D25" i="13"/>
  <c r="D26" i="13" s="1"/>
  <c r="D61" i="13" s="1"/>
  <c r="D90" i="11"/>
  <c r="D71" i="11"/>
  <c r="D75" i="11" s="1"/>
  <c r="C125" i="11" s="1"/>
  <c r="D40" i="11"/>
  <c r="D62" i="11" s="1"/>
  <c r="D64" i="23" l="1"/>
  <c r="C124" i="23" s="1"/>
  <c r="D64" i="21"/>
  <c r="C124" i="21" s="1"/>
  <c r="D64" i="13"/>
  <c r="C124" i="13" s="1"/>
  <c r="D64" i="11"/>
  <c r="C124" i="11" s="1"/>
  <c r="C124" i="29"/>
  <c r="C128" i="29" s="1"/>
  <c r="D91" i="23"/>
  <c r="D92" i="23" s="1"/>
  <c r="C97" i="23" s="1"/>
  <c r="C98" i="23" s="1"/>
  <c r="D91" i="21"/>
  <c r="D92" i="21" s="1"/>
  <c r="C97" i="21" s="1"/>
  <c r="C98" i="21" s="1"/>
  <c r="D91" i="20"/>
  <c r="D92" i="20" s="1"/>
  <c r="C97" i="20" s="1"/>
  <c r="C98" i="20" s="1"/>
  <c r="C126" i="20" s="1"/>
  <c r="D25" i="20"/>
  <c r="D26" i="20" s="1"/>
  <c r="D61" i="20" s="1"/>
  <c r="D64" i="20" s="1"/>
  <c r="C124" i="19"/>
  <c r="C128" i="19" s="1"/>
  <c r="D91" i="16"/>
  <c r="D92" i="16" s="1"/>
  <c r="C97" i="16" s="1"/>
  <c r="C98" i="16" s="1"/>
  <c r="C126" i="16" s="1"/>
  <c r="D64" i="16"/>
  <c r="C128" i="15"/>
  <c r="D91" i="13"/>
  <c r="D92" i="13" s="1"/>
  <c r="C97" i="13" s="1"/>
  <c r="C98" i="13" s="1"/>
  <c r="D91" i="11"/>
  <c r="D92" i="11" s="1"/>
  <c r="C97" i="11" s="1"/>
  <c r="C98" i="11" s="1"/>
  <c r="D111" i="29" l="1"/>
  <c r="D112" i="29" s="1"/>
  <c r="D115" i="29" s="1"/>
  <c r="C126" i="23"/>
  <c r="C128" i="23" s="1"/>
  <c r="C126" i="21"/>
  <c r="C128" i="21" s="1"/>
  <c r="C124" i="20"/>
  <c r="C128" i="20" s="1"/>
  <c r="D111" i="19"/>
  <c r="C124" i="16"/>
  <c r="C128" i="16" s="1"/>
  <c r="D111" i="15"/>
  <c r="C126" i="13"/>
  <c r="C128" i="13"/>
  <c r="C126" i="11"/>
  <c r="C128" i="11" s="1"/>
  <c r="C134" i="29" l="1"/>
  <c r="C135" i="29" s="1"/>
  <c r="C136" i="29" s="1"/>
  <c r="D116" i="29"/>
  <c r="D114" i="29"/>
  <c r="D111" i="23"/>
  <c r="D112" i="23" s="1"/>
  <c r="D111" i="21"/>
  <c r="D111" i="20"/>
  <c r="D112" i="19"/>
  <c r="D111" i="16"/>
  <c r="D112" i="15"/>
  <c r="D114" i="15" s="1"/>
  <c r="D111" i="13"/>
  <c r="D112" i="13" s="1"/>
  <c r="D111" i="11"/>
  <c r="D113" i="29" l="1"/>
  <c r="D117" i="29" s="1"/>
  <c r="C129" i="29" s="1"/>
  <c r="C130" i="29" s="1"/>
  <c r="D10" i="8" s="1"/>
  <c r="D115" i="15"/>
  <c r="D116" i="23"/>
  <c r="D115" i="23"/>
  <c r="C134" i="23"/>
  <c r="C135" i="23" s="1"/>
  <c r="C136" i="23" s="1"/>
  <c r="D114" i="23"/>
  <c r="D112" i="21"/>
  <c r="D114" i="21" s="1"/>
  <c r="D112" i="20"/>
  <c r="D114" i="20" s="1"/>
  <c r="D115" i="19"/>
  <c r="D116" i="19"/>
  <c r="D114" i="19"/>
  <c r="C134" i="19"/>
  <c r="C135" i="19" s="1"/>
  <c r="C136" i="19" s="1"/>
  <c r="D112" i="16"/>
  <c r="D115" i="16" s="1"/>
  <c r="C134" i="15"/>
  <c r="C135" i="15" s="1"/>
  <c r="C136" i="15" s="1"/>
  <c r="D116" i="15"/>
  <c r="D116" i="13"/>
  <c r="C134" i="13"/>
  <c r="C135" i="13" s="1"/>
  <c r="C136" i="13" s="1"/>
  <c r="D115" i="13"/>
  <c r="D114" i="13"/>
  <c r="D112" i="11"/>
  <c r="D113" i="23" l="1"/>
  <c r="D117" i="23" s="1"/>
  <c r="C129" i="23" s="1"/>
  <c r="C130" i="23" s="1"/>
  <c r="D9" i="8" s="1"/>
  <c r="D116" i="20"/>
  <c r="D114" i="16"/>
  <c r="D113" i="15"/>
  <c r="D117" i="15" s="1"/>
  <c r="C129" i="15" s="1"/>
  <c r="C130" i="15" s="1"/>
  <c r="D4" i="8" s="1"/>
  <c r="D113" i="13"/>
  <c r="D117" i="13" s="1"/>
  <c r="C129" i="13" s="1"/>
  <c r="C130" i="13" s="1"/>
  <c r="D3" i="8" s="1"/>
  <c r="D115" i="21"/>
  <c r="D116" i="21"/>
  <c r="C134" i="21"/>
  <c r="C135" i="21" s="1"/>
  <c r="C136" i="21" s="1"/>
  <c r="D115" i="20"/>
  <c r="C134" i="20"/>
  <c r="C135" i="20" s="1"/>
  <c r="C136" i="20" s="1"/>
  <c r="D113" i="19"/>
  <c r="D117" i="19" s="1"/>
  <c r="C129" i="19" s="1"/>
  <c r="C130" i="19" s="1"/>
  <c r="D6" i="8" s="1"/>
  <c r="D116" i="16"/>
  <c r="C134" i="16"/>
  <c r="C135" i="16" s="1"/>
  <c r="C136" i="16" s="1"/>
  <c r="D114" i="11"/>
  <c r="D116" i="11"/>
  <c r="D115" i="11"/>
  <c r="C134" i="11"/>
  <c r="C135" i="11" s="1"/>
  <c r="C136" i="11" s="1"/>
  <c r="D113" i="21" l="1"/>
  <c r="D117" i="21" s="1"/>
  <c r="C129" i="21" s="1"/>
  <c r="C130" i="21" s="1"/>
  <c r="D8" i="8" s="1"/>
  <c r="D113" i="20"/>
  <c r="D117" i="20" s="1"/>
  <c r="C129" i="20" s="1"/>
  <c r="C130" i="20" s="1"/>
  <c r="D7" i="8" s="1"/>
  <c r="D113" i="16"/>
  <c r="D117" i="16" s="1"/>
  <c r="C129" i="16" s="1"/>
  <c r="C130" i="16" s="1"/>
  <c r="D5" i="8" s="1"/>
  <c r="D113" i="11"/>
  <c r="D117" i="11" s="1"/>
  <c r="C129" i="11" s="1"/>
  <c r="C130" i="11" s="1"/>
  <c r="D2" i="8" s="1"/>
  <c r="D11" i="8" l="1"/>
</calcChain>
</file>

<file path=xl/sharedStrings.xml><?xml version="1.0" encoding="utf-8"?>
<sst xmlns="http://schemas.openxmlformats.org/spreadsheetml/2006/main" count="1860" uniqueCount="154">
  <si>
    <t>Mão de Obra</t>
  </si>
  <si>
    <t>Cargo</t>
  </si>
  <si>
    <t>Módulo 1 - Composição da Remuneração</t>
  </si>
  <si>
    <t>Composição da Remuneração</t>
  </si>
  <si>
    <t>Valor (R$)</t>
  </si>
  <si>
    <t>Fundamentação Legal</t>
  </si>
  <si>
    <t>A</t>
  </si>
  <si>
    <t>Salário-Base</t>
  </si>
  <si>
    <t>Salário normativo da categoria de acorodo com a CCT</t>
  </si>
  <si>
    <t>B</t>
  </si>
  <si>
    <t>C</t>
  </si>
  <si>
    <t>D</t>
  </si>
  <si>
    <t>E</t>
  </si>
  <si>
    <t>F</t>
  </si>
  <si>
    <t>Total</t>
  </si>
  <si>
    <t>Módulo 2 - Encargos e Benefícios Anuais, Mensais e Diários</t>
  </si>
  <si>
    <t>2.1</t>
  </si>
  <si>
    <t>13º (décimo terceiro) Salário, Férias e Adicional de Férias</t>
  </si>
  <si>
    <t>Percentual (%)</t>
  </si>
  <si>
    <t>Lei 4090/62 Inciso VIII Art. 7 CF 88</t>
  </si>
  <si>
    <t>2.2</t>
  </si>
  <si>
    <t>13º (décimo terceiro) Salário</t>
  </si>
  <si>
    <t>2.3</t>
  </si>
  <si>
    <t>GPS, FGTS e outras contribuições</t>
  </si>
  <si>
    <t>INSS</t>
  </si>
  <si>
    <t>Art. 22, Inciso I, da Lei 8.212/91</t>
  </si>
  <si>
    <t>Salário Educação</t>
  </si>
  <si>
    <t>Artigo 3º Inciso I Decreto 87.043/82</t>
  </si>
  <si>
    <t>G</t>
  </si>
  <si>
    <t>SESC ou SESI</t>
  </si>
  <si>
    <t>Artigo 30 da Lei nº 8.036/90</t>
  </si>
  <si>
    <t>H</t>
  </si>
  <si>
    <t>SENAI - SENAC</t>
  </si>
  <si>
    <t>Decreto-Lei nº 2.318/86</t>
  </si>
  <si>
    <t>I</t>
  </si>
  <si>
    <t>SEBRAE</t>
  </si>
  <si>
    <t>Lei nº 8.029/90</t>
  </si>
  <si>
    <t>J</t>
  </si>
  <si>
    <t>INCRA</t>
  </si>
  <si>
    <t>Artigos 1º e 2º do Decreto-Lei nº 1.146/70.</t>
  </si>
  <si>
    <t>K</t>
  </si>
  <si>
    <t>FGTS</t>
  </si>
  <si>
    <t>Artigo 15 Lei 8036/90 e Art. 7º Inciso III CF/88</t>
  </si>
  <si>
    <t xml:space="preserve">Total </t>
  </si>
  <si>
    <t>2.4</t>
  </si>
  <si>
    <t>Benefícios Mensais e Diários</t>
  </si>
  <si>
    <t>Valor Total (R$)</t>
  </si>
  <si>
    <t>L</t>
  </si>
  <si>
    <t>Vale Transporte</t>
  </si>
  <si>
    <t>N</t>
  </si>
  <si>
    <t>Vale Refeição (Desconto)</t>
  </si>
  <si>
    <t>P</t>
  </si>
  <si>
    <t>R</t>
  </si>
  <si>
    <t>Custos dos exames admssional, períodicos e demissionais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</si>
  <si>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</si>
  <si>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</si>
  <si>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</si>
  <si>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</si>
  <si>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</si>
  <si>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</si>
  <si>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Trabalhado e Indenizado</t>
  </si>
  <si>
    <t>Aviso Prévio Trabalhado</t>
  </si>
  <si>
    <t>Incidência dos encargos do submódulo 2.2 sobre o Aviso Prévio Trabalhado</t>
  </si>
  <si>
    <t>Módulo 4 - Custo de Reposição do Profissional Ausente</t>
  </si>
  <si>
    <t>4.1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</si>
  <si>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</si>
  <si>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</si>
  <si>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</si>
  <si>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</si>
  <si>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Módulo 6 - Custos Indiretos, Tributos e Lucro</t>
  </si>
  <si>
    <t>Custos Indiretos, Tributos e Lucro</t>
  </si>
  <si>
    <t>Custos Indiretos</t>
  </si>
  <si>
    <t>Lucro</t>
  </si>
  <si>
    <t>Tributos</t>
  </si>
  <si>
    <t>C.3. ISS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</si>
  <si>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</si>
  <si>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</si>
  <si>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</si>
  <si>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</si>
  <si>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</si>
  <si>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a) Tributos</t>
  </si>
  <si>
    <t>b) Total dos Módulos 1,2,3,4,5+Custos indiretos+lucro)</t>
  </si>
  <si>
    <t>C)Po/(1-TO)=P1</t>
  </si>
  <si>
    <t>Valor dos Tributos = P1-Po</t>
  </si>
  <si>
    <t>Submódulo 2.1 - 13º (décimo terceiro) Salário, Férias e Adicional de Férias</t>
  </si>
  <si>
    <t>Submódulo 2.2 - Encargos Previdenciários (GPS), Fundo de Garantia por Tempo de Serviço (FGTS) e outras contribuições.</t>
  </si>
  <si>
    <t>Submódulo 2.3 - Benefícios Mensais e Diários.</t>
  </si>
  <si>
    <t>Seguro de vida</t>
  </si>
  <si>
    <t xml:space="preserve">Incidência do submódulo 2.2 sobre o submódulo 2.1 </t>
  </si>
  <si>
    <t>SUBTOTAL</t>
  </si>
  <si>
    <t>Subtotal</t>
  </si>
  <si>
    <t>Incidência do Submódulo 2.2 sobre o Submódulo 4.1</t>
  </si>
  <si>
    <r>
      <rPr>
        <sz val="12"/>
        <color rgb="FFFF0000"/>
        <rFont val="Times New Roman"/>
        <family val="1"/>
      </rPr>
      <t>40</t>
    </r>
    <r>
      <rPr>
        <sz val="12"/>
        <color theme="1"/>
        <rFont val="Times New Roman"/>
        <family val="1"/>
      </rPr>
      <t xml:space="preserve"> (Multa do FGTS)*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(Incidência do FGTS) = 3,20%</t>
    </r>
  </si>
  <si>
    <r>
      <t>[(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(dias do mês)) x </t>
    </r>
    <r>
      <rPr>
        <sz val="12"/>
        <color rgb="FFFF0000"/>
        <rFont val="Times New Roman"/>
        <family val="1"/>
      </rPr>
      <t>7</t>
    </r>
    <r>
      <rPr>
        <sz val="12"/>
        <color theme="1"/>
        <rFont val="Times New Roman"/>
        <family val="1"/>
      </rPr>
      <t xml:space="preserve"> (dias da semana)]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 do ano) = 1,94%</t>
    </r>
  </si>
  <si>
    <t>Férias e Adicional de Férias</t>
  </si>
  <si>
    <t>Substituto nas Ausências Legais</t>
  </si>
  <si>
    <t>Submódulo 4.1 - Substituto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</si>
  <si>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</si>
  <si>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</si>
  <si>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</si>
  <si>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Licença Maternidade</t>
  </si>
  <si>
    <t>Substituto na cobertura de Ausência por acidente de trabalho</t>
  </si>
  <si>
    <t>Substituto na cobertura de Ausência por Doença</t>
  </si>
  <si>
    <t>Memória de Cálculo</t>
  </si>
  <si>
    <t>Alíquota FGTS 8%</t>
  </si>
  <si>
    <t>Incidência dos encargos sociais sobre o aviso prévio trabalhado</t>
  </si>
  <si>
    <r>
      <t>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6,24%</t>
    </r>
    <r>
      <rPr>
        <sz val="12"/>
        <color theme="1"/>
        <rFont val="Times New Roman"/>
        <family val="1"/>
      </rPr>
      <t xml:space="preserve"> taxa de fecundidade x </t>
    </r>
    <r>
      <rPr>
        <sz val="12"/>
        <color rgb="FFFF0000"/>
        <rFont val="Times New Roman"/>
        <family val="1"/>
      </rPr>
      <t>4,96%</t>
    </r>
    <r>
      <rPr>
        <sz val="12"/>
        <color theme="1"/>
        <rFont val="Times New Roman"/>
        <family val="1"/>
      </rPr>
      <t xml:space="preserve"> participação masculina = </t>
    </r>
    <r>
      <rPr>
        <sz val="12"/>
        <color rgb="FFFF0000"/>
        <rFont val="Times New Roman"/>
        <family val="1"/>
      </rPr>
      <t>0,004%</t>
    </r>
  </si>
  <si>
    <r>
      <t>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100</t>
    </r>
    <r>
      <rPr>
        <sz val="12"/>
        <color theme="1"/>
        <rFont val="Times New Roman"/>
        <family val="1"/>
      </rPr>
      <t xml:space="preserve"> = </t>
    </r>
    <r>
      <rPr>
        <sz val="12"/>
        <color rgb="FFFF0000"/>
        <rFont val="Times New Roman"/>
        <family val="1"/>
      </rPr>
      <t>0,28%</t>
    </r>
  </si>
  <si>
    <r>
      <t>((</t>
    </r>
    <r>
      <rPr>
        <sz val="12"/>
        <color rgb="FFFF0000"/>
        <rFont val="Times New Roman"/>
        <family val="1"/>
      </rPr>
      <t>15</t>
    </r>
    <r>
      <rPr>
        <sz val="12"/>
        <color theme="1"/>
        <rFont val="Times New Roman"/>
        <family val="1"/>
      </rPr>
      <t xml:space="preserve"> dias de ausências INSS 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(estimativa IBGE) = </t>
    </r>
    <r>
      <rPr>
        <sz val="12"/>
        <color rgb="FFFF0000"/>
        <rFont val="Times New Roman"/>
        <family val="1"/>
      </rPr>
      <t>0,33%</t>
    </r>
  </si>
  <si>
    <r>
      <t>((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de ausência/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impacto sobre o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 do ano)*</t>
    </r>
    <r>
      <rPr>
        <sz val="12"/>
        <color rgb="FFFF0000"/>
        <rFont val="Times New Roman"/>
        <family val="1"/>
      </rPr>
      <t>2%</t>
    </r>
    <r>
      <rPr>
        <sz val="12"/>
        <color theme="1"/>
        <rFont val="Times New Roman"/>
        <family val="1"/>
      </rPr>
      <t xml:space="preserve"> estimativa de ocorrência=</t>
    </r>
    <r>
      <rPr>
        <sz val="12"/>
        <color rgb="FFFF0000"/>
        <rFont val="Times New Roman"/>
        <family val="1"/>
      </rPr>
      <t>0,028%</t>
    </r>
  </si>
  <si>
    <r>
      <t>(</t>
    </r>
    <r>
      <rPr>
        <sz val="12"/>
        <color rgb="FFFF0000"/>
        <rFont val="Times New Roman"/>
        <family val="1"/>
      </rPr>
      <t>5,96</t>
    </r>
    <r>
      <rPr>
        <sz val="12"/>
        <color theme="1"/>
        <rFont val="Times New Roman"/>
        <family val="1"/>
      </rPr>
      <t xml:space="preserve"> dias/ano IBGE/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= </t>
    </r>
    <r>
      <rPr>
        <sz val="12"/>
        <color rgb="FFFF0000"/>
        <rFont val="Times New Roman"/>
        <family val="1"/>
      </rPr>
      <t>1,66%</t>
    </r>
  </si>
  <si>
    <r>
      <t>((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remuneração + </t>
    </r>
    <r>
      <rPr>
        <sz val="12"/>
        <color rgb="FFFF0000"/>
        <rFont val="Times New Roman"/>
        <family val="1"/>
      </rPr>
      <t>1/3</t>
    </r>
    <r>
      <rPr>
        <sz val="12"/>
        <color theme="1"/>
        <rFont val="Times New Roman"/>
        <family val="1"/>
      </rPr>
      <t xml:space="preserve"> terço constitucional)/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rateio prov. p/ 12 meses)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corresponde a 1/12 de férias  + 1/3 do substituto=</t>
    </r>
    <r>
      <rPr>
        <sz val="12"/>
        <color rgb="FFFF0000"/>
        <rFont val="Times New Roman"/>
        <family val="1"/>
      </rPr>
      <t>0,93%</t>
    </r>
  </si>
  <si>
    <t>Cláusula 15a da CCT</t>
  </si>
  <si>
    <t>M</t>
  </si>
  <si>
    <t>O</t>
  </si>
  <si>
    <t>Q</t>
  </si>
  <si>
    <t>Lei 7.4118 (Considerar 22 dias)</t>
  </si>
  <si>
    <t>S</t>
  </si>
  <si>
    <t>Benefício Social Familiar</t>
  </si>
  <si>
    <t>T</t>
  </si>
  <si>
    <t>Cláusula 13a da CCT (no cálculo já foi considerado o valor do vale nas férias)</t>
  </si>
  <si>
    <t>Artigo 7, Inciso XVII CF/88 e Súmula 328/TST</t>
  </si>
  <si>
    <t>Benefício Social Odontológico</t>
  </si>
  <si>
    <t>Assistência à Saúde</t>
  </si>
  <si>
    <t>Crédito de PIS/COFINS 9,25% (quando existir para lucro real)</t>
  </si>
  <si>
    <t>-</t>
  </si>
  <si>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(mês não trabalhado)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(meses) x </t>
    </r>
    <r>
      <rPr>
        <sz val="12"/>
        <color rgb="FFFF0000"/>
        <rFont val="Times New Roman"/>
        <family val="1"/>
      </rPr>
      <t>100%</t>
    </r>
    <r>
      <rPr>
        <sz val="12"/>
        <color theme="1"/>
        <rFont val="Times New Roman"/>
        <family val="1"/>
      </rPr>
      <t xml:space="preserve"> (estatística) = 8,33%</t>
    </r>
  </si>
  <si>
    <t>RAT/FAP</t>
  </si>
  <si>
    <r>
      <t xml:space="preserve">Decreto 6.042/2007, Lei 10.666/2003 </t>
    </r>
    <r>
      <rPr>
        <sz val="12"/>
        <color rgb="FFFF0000"/>
        <rFont val="Times New Roman"/>
        <family val="1"/>
      </rPr>
      <t>(Apresentar memória de cálculo do RAT/FAP)</t>
    </r>
  </si>
  <si>
    <t>Cláusula 16a da CCT</t>
  </si>
  <si>
    <t>Cláusula 6a, Parágrafo 2º da CCT</t>
  </si>
  <si>
    <t>Fundo de Qualificação Profissional</t>
  </si>
  <si>
    <t>Cláusula 23a da CCT</t>
  </si>
  <si>
    <t>Salário</t>
  </si>
  <si>
    <t>Item</t>
  </si>
  <si>
    <t>Motorista</t>
  </si>
  <si>
    <t>Função</t>
  </si>
  <si>
    <t xml:space="preserve">Salário </t>
  </si>
  <si>
    <t>Base</t>
  </si>
  <si>
    <t>Valor Total Posto</t>
  </si>
  <si>
    <t>TOTAL</t>
  </si>
  <si>
    <t xml:space="preserve">C.1. PIS </t>
  </si>
  <si>
    <t xml:space="preserve">C.2. COFINS </t>
  </si>
  <si>
    <t>C.1. PIS</t>
  </si>
  <si>
    <t>C.2. COFINS</t>
  </si>
  <si>
    <t xml:space="preserve">Base </t>
  </si>
  <si>
    <t>Assistente 1</t>
  </si>
  <si>
    <t>Assistente 2</t>
  </si>
  <si>
    <t>Assistente 3</t>
  </si>
  <si>
    <t>Assistente 4</t>
  </si>
  <si>
    <t>Analista 1</t>
  </si>
  <si>
    <t>Analista 2</t>
  </si>
  <si>
    <t>Analista 3</t>
  </si>
  <si>
    <t>Analista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</si>
</sst>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1"/>
      <name val="Aptos"/>
      <family val="2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BED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0" borderId="4" xfId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vertical="center" wrapText="1"/>
    </xf>
    <xf numFmtId="44" fontId="2" fillId="0" borderId="4" xfId="1" applyFont="1" applyBorder="1" applyAlignment="1">
      <alignment vertical="center" wrapText="1"/>
    </xf>
    <xf numFmtId="10" fontId="2" fillId="0" borderId="0" xfId="0" applyNumberFormat="1" applyFont="1"/>
    <xf numFmtId="44" fontId="2" fillId="0" borderId="0" xfId="0" applyNumberFormat="1" applyFont="1"/>
    <xf numFmtId="10" fontId="2" fillId="0" borderId="4" xfId="2" applyNumberFormat="1" applyFont="1" applyBorder="1" applyAlignment="1">
      <alignment horizontal="center" vertical="center" wrapText="1"/>
    </xf>
    <xf numFmtId="10" fontId="2" fillId="3" borderId="4" xfId="2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0" fontId="2" fillId="3" borderId="8" xfId="2" applyNumberFormat="1" applyFont="1" applyFill="1" applyBorder="1" applyAlignment="1" applyProtection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44" fontId="2" fillId="3" borderId="4" xfId="1" applyFont="1" applyFill="1" applyBorder="1" applyAlignment="1" applyProtection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10" fontId="4" fillId="3" borderId="8" xfId="2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/>
    <xf numFmtId="0" fontId="2" fillId="0" borderId="4" xfId="0" applyFont="1" applyBorder="1"/>
    <xf numFmtId="0" fontId="2" fillId="0" borderId="12" xfId="0" applyFont="1" applyBorder="1"/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4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2" xfId="0" applyFont="1" applyBorder="1" applyProtection="1">
      <protection locked="0"/>
    </xf>
    <xf numFmtId="10" fontId="7" fillId="0" borderId="0" xfId="0" applyNumberFormat="1" applyFont="1"/>
    <xf numFmtId="0" fontId="0" fillId="0" borderId="6" xfId="0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Protection="1">
      <protection locked="0"/>
    </xf>
    <xf numFmtId="10" fontId="2" fillId="4" borderId="6" xfId="2" applyNumberFormat="1" applyFont="1" applyFill="1" applyBorder="1" applyAlignment="1" applyProtection="1">
      <alignment horizontal="center" vertical="center" wrapText="1"/>
      <protection locked="0"/>
    </xf>
    <xf numFmtId="164" fontId="2" fillId="4" borderId="6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vertical="center" wrapText="1"/>
    </xf>
    <xf numFmtId="10" fontId="2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44" fontId="2" fillId="3" borderId="4" xfId="1" applyFont="1" applyFill="1" applyBorder="1" applyAlignment="1" applyProtection="1">
      <alignment horizontal="center" vertical="center" wrapText="1"/>
      <protection locked="0"/>
    </xf>
    <xf numFmtId="10" fontId="2" fillId="3" borderId="8" xfId="2" applyNumberFormat="1" applyFont="1" applyFill="1" applyBorder="1" applyAlignment="1" applyProtection="1">
      <alignment horizontal="center" vertical="center" wrapText="1"/>
      <protection locked="0"/>
    </xf>
    <xf numFmtId="164" fontId="2" fillId="3" borderId="8" xfId="2" applyNumberFormat="1" applyFont="1" applyFill="1" applyBorder="1" applyAlignment="1" applyProtection="1">
      <alignment horizontal="center" vertical="center" wrapText="1"/>
      <protection locked="0"/>
    </xf>
    <xf numFmtId="10" fontId="2" fillId="3" borderId="1" xfId="2" applyNumberFormat="1" applyFont="1" applyFill="1" applyBorder="1" applyAlignment="1" applyProtection="1">
      <alignment horizontal="center" vertical="center" wrapText="1"/>
      <protection locked="0"/>
    </xf>
    <xf numFmtId="10" fontId="2" fillId="3" borderId="4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44" fontId="2" fillId="5" borderId="4" xfId="1" applyFont="1" applyFill="1" applyBorder="1" applyAlignment="1" applyProtection="1">
      <alignment horizontal="center" vertical="center" wrapText="1"/>
    </xf>
    <xf numFmtId="44" fontId="2" fillId="5" borderId="4" xfId="1" applyFont="1" applyFill="1" applyBorder="1" applyAlignment="1">
      <alignment horizontal="center" vertical="center" wrapText="1"/>
    </xf>
    <xf numFmtId="0" fontId="10" fillId="0" borderId="0" xfId="3" applyFont="1"/>
    <xf numFmtId="8" fontId="4" fillId="3" borderId="1" xfId="1" applyNumberFormat="1" applyFont="1" applyFill="1" applyBorder="1" applyAlignment="1" applyProtection="1">
      <alignment horizontal="center"/>
      <protection locked="0"/>
    </xf>
    <xf numFmtId="9" fontId="2" fillId="3" borderId="4" xfId="0" applyNumberFormat="1" applyFont="1" applyFill="1" applyBorder="1" applyAlignment="1">
      <alignment horizontal="center" vertical="center" wrapText="1"/>
    </xf>
    <xf numFmtId="8" fontId="2" fillId="3" borderId="2" xfId="0" applyNumberFormat="1" applyFont="1" applyFill="1" applyBorder="1" applyAlignment="1" applyProtection="1">
      <alignment horizontal="center" vertical="center"/>
      <protection locked="0"/>
    </xf>
    <xf numFmtId="44" fontId="2" fillId="3" borderId="4" xfId="1" applyFont="1" applyFill="1" applyBorder="1" applyAlignment="1">
      <alignment horizontal="center" vertical="center" wrapText="1"/>
    </xf>
    <xf numFmtId="10" fontId="2" fillId="3" borderId="4" xfId="2" applyNumberFormat="1" applyFont="1" applyFill="1" applyBorder="1" applyAlignment="1">
      <alignment horizontal="center" vertical="center" wrapText="1"/>
    </xf>
    <xf numFmtId="0" fontId="10" fillId="3" borderId="0" xfId="3" applyFont="1" applyFill="1"/>
    <xf numFmtId="10" fontId="2" fillId="6" borderId="4" xfId="2" applyNumberFormat="1" applyFont="1" applyFill="1" applyBorder="1" applyAlignment="1" applyProtection="1">
      <alignment horizontal="center" vertical="center" wrapText="1"/>
      <protection locked="0"/>
    </xf>
    <xf numFmtId="10" fontId="2" fillId="6" borderId="4" xfId="0" applyNumberFormat="1" applyFont="1" applyFill="1" applyBorder="1" applyAlignment="1">
      <alignment horizontal="center" vertical="center" wrapText="1"/>
    </xf>
    <xf numFmtId="44" fontId="0" fillId="5" borderId="6" xfId="1" applyFont="1" applyFill="1" applyBorder="1"/>
    <xf numFmtId="10" fontId="2" fillId="5" borderId="6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/>
    </xf>
    <xf numFmtId="44" fontId="6" fillId="0" borderId="1" xfId="0" applyNumberFormat="1" applyFont="1" applyBorder="1"/>
    <xf numFmtId="0" fontId="0" fillId="3" borderId="1" xfId="0" applyFill="1" applyBorder="1" applyAlignment="1">
      <alignment horizontal="center"/>
    </xf>
    <xf numFmtId="8" fontId="9" fillId="3" borderId="1" xfId="0" applyNumberFormat="1" applyFont="1" applyFill="1" applyBorder="1" applyAlignment="1">
      <alignment horizontal="center" vertical="center"/>
    </xf>
    <xf numFmtId="44" fontId="9" fillId="3" borderId="1" xfId="0" applyNumberFormat="1" applyFont="1" applyFill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/>
    </xf>
    <xf numFmtId="10" fontId="0" fillId="4" borderId="6" xfId="2" applyNumberFormat="1" applyFont="1" applyFill="1" applyBorder="1" applyProtection="1">
      <protection locked="0"/>
    </xf>
    <xf numFmtId="44" fontId="0" fillId="4" borderId="6" xfId="1" applyFont="1" applyFill="1" applyBorder="1" applyProtection="1">
      <protection locked="0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4">
    <cellStyle name="Hiperlink" xfId="3" builtinId="8"/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12</xdr:row>
      <xdr:rowOff>34925</xdr:rowOff>
    </xdr:from>
    <xdr:to>
      <xdr:col>12</xdr:col>
      <xdr:colOff>111125</xdr:colOff>
      <xdr:row>16</xdr:row>
      <xdr:rowOff>200024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53EAC7D-54D0-4374-8184-77714F9A77E6}"/>
            </a:ext>
          </a:extLst>
        </xdr:cNvPr>
        <xdr:cNvSpPr txBox="1"/>
      </xdr:nvSpPr>
      <xdr:spPr>
        <a:xfrm>
          <a:off x="15278100" y="2206625"/>
          <a:ext cx="2520950" cy="965199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900" b="1"/>
            <a:t>PARA</a:t>
          </a:r>
          <a:r>
            <a:rPr lang="pt-BR" sz="900" b="1" baseline="0"/>
            <a:t> O SUBMÓDULO 4.1 </a:t>
          </a:r>
          <a:r>
            <a:rPr lang="pt-BR" sz="9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32CAC5F6-D0A4-461E-8D8D-57741DFC65B9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B58EA3F-8485-4097-BC06-D386CCDAE604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35091FF4-988A-4813-BBFC-DE4FBABBF6D5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3F00E1AD-5B80-4E64-A5CC-9234C595CB8D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92D668D3-8411-4813-9608-A4416B99CE72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6983060A-E114-4C2B-AFF2-9D1D53BF6920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F62E2F3B-3E7E-430B-8703-EA6CEAF49203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9BDE99FD-B64C-431F-9E45-41D4E66ED64A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0</xdr:rowOff>
    </xdr:from>
    <xdr:to>
      <xdr:col>7</xdr:col>
      <xdr:colOff>368300</xdr:colOff>
      <xdr:row>92</xdr:row>
      <xdr:rowOff>22225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CB93A47-8A5C-4D48-A1D3-DE4C9526A96D}"/>
            </a:ext>
          </a:extLst>
        </xdr:cNvPr>
        <xdr:cNvSpPr txBox="1"/>
      </xdr:nvSpPr>
      <xdr:spPr>
        <a:xfrm>
          <a:off x="16878300" y="16602075"/>
          <a:ext cx="2266950" cy="2025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Azul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95E0-5B72-459E-AD69-9E615808DF20}">
  <dimension ref="A1:H25"/>
  <sheetViews>
    <sheetView showGridLines="0" tabSelected="1" workbookViewId="0">
      <selection activeCell="G8" sqref="G8"/>
    </sheetView>
  </sheetViews>
  <sheetFormatPr defaultRowHeight="14.5" x14ac:dyDescent="0.35"/>
  <cols>
    <col min="1" max="1" width="9" customWidth="1"/>
    <col min="2" max="2" width="12.1796875" bestFit="1" customWidth="1"/>
    <col min="3" max="3" width="12.453125" customWidth="1"/>
    <col min="4" max="4" width="15.453125" bestFit="1" customWidth="1"/>
    <col min="5" max="5" width="10.26953125" customWidth="1"/>
    <col min="6" max="6" width="60" bestFit="1" customWidth="1"/>
    <col min="7" max="7" width="20.54296875" customWidth="1"/>
    <col min="8" max="8" width="95.1796875" bestFit="1" customWidth="1"/>
  </cols>
  <sheetData>
    <row r="1" spans="1:8" ht="15" thickBot="1" x14ac:dyDescent="0.4">
      <c r="A1" s="81" t="s">
        <v>134</v>
      </c>
      <c r="B1" s="81" t="s">
        <v>136</v>
      </c>
      <c r="C1" s="81" t="s">
        <v>133</v>
      </c>
      <c r="D1" s="81" t="s">
        <v>139</v>
      </c>
      <c r="F1" s="89" t="s">
        <v>85</v>
      </c>
      <c r="G1" s="89"/>
      <c r="H1" s="89"/>
    </row>
    <row r="2" spans="1:8" ht="14.5" customHeight="1" thickBot="1" x14ac:dyDescent="0.4">
      <c r="A2" s="86">
        <v>1</v>
      </c>
      <c r="B2" s="83" t="s">
        <v>146</v>
      </c>
      <c r="C2" s="84">
        <v>3180</v>
      </c>
      <c r="D2" s="85">
        <f>'1'!C130</f>
        <v>6727.25</v>
      </c>
      <c r="F2" s="50" t="s">
        <v>127</v>
      </c>
      <c r="G2" s="87"/>
      <c r="H2" s="51" t="s">
        <v>128</v>
      </c>
    </row>
    <row r="3" spans="1:8" ht="15" thickBot="1" x14ac:dyDescent="0.4">
      <c r="A3" s="86">
        <v>2</v>
      </c>
      <c r="B3" s="83" t="s">
        <v>147</v>
      </c>
      <c r="C3" s="84">
        <v>3900</v>
      </c>
      <c r="D3" s="85">
        <f>'2'!C130</f>
        <v>7989.01</v>
      </c>
      <c r="F3" s="89" t="s">
        <v>86</v>
      </c>
      <c r="G3" s="89"/>
      <c r="H3" s="89"/>
    </row>
    <row r="4" spans="1:8" ht="15" thickBot="1" x14ac:dyDescent="0.4">
      <c r="A4" s="86">
        <v>3</v>
      </c>
      <c r="B4" s="83" t="s">
        <v>148</v>
      </c>
      <c r="C4" s="84">
        <v>4480</v>
      </c>
      <c r="D4" s="85">
        <f>'3'!C130</f>
        <v>9005.3799999999992</v>
      </c>
      <c r="F4" s="50" t="s">
        <v>48</v>
      </c>
      <c r="G4" s="79">
        <v>6</v>
      </c>
      <c r="H4" s="50"/>
    </row>
    <row r="5" spans="1:8" ht="15" thickBot="1" x14ac:dyDescent="0.4">
      <c r="A5" s="86">
        <v>4</v>
      </c>
      <c r="B5" s="83" t="s">
        <v>149</v>
      </c>
      <c r="C5" s="84">
        <v>5350</v>
      </c>
      <c r="D5" s="85">
        <f>'4'!C130</f>
        <v>10530.02</v>
      </c>
      <c r="F5" s="50" t="s">
        <v>50</v>
      </c>
      <c r="G5" s="79">
        <v>1090</v>
      </c>
      <c r="H5" s="50"/>
    </row>
    <row r="6" spans="1:8" ht="15" thickBot="1" x14ac:dyDescent="0.4">
      <c r="A6" s="86">
        <v>5</v>
      </c>
      <c r="B6" s="83" t="s">
        <v>150</v>
      </c>
      <c r="C6" s="84">
        <v>6000</v>
      </c>
      <c r="D6" s="85">
        <f>'5'!C130</f>
        <v>11669.07</v>
      </c>
      <c r="F6" s="50" t="s">
        <v>122</v>
      </c>
      <c r="G6" s="88"/>
      <c r="H6" s="50"/>
    </row>
    <row r="7" spans="1:8" ht="15" thickBot="1" x14ac:dyDescent="0.4">
      <c r="A7" s="86">
        <v>6</v>
      </c>
      <c r="B7" s="83" t="s">
        <v>151</v>
      </c>
      <c r="C7" s="84">
        <v>6840</v>
      </c>
      <c r="D7" s="85">
        <f>'6'!C130</f>
        <v>13141.08</v>
      </c>
      <c r="F7" s="50" t="s">
        <v>118</v>
      </c>
      <c r="G7" s="88"/>
      <c r="H7" s="50"/>
    </row>
    <row r="8" spans="1:8" ht="15" thickBot="1" x14ac:dyDescent="0.4">
      <c r="A8" s="86">
        <v>7</v>
      </c>
      <c r="B8" s="83" t="s">
        <v>152</v>
      </c>
      <c r="C8" s="84">
        <v>7500</v>
      </c>
      <c r="D8" s="85">
        <f>'7'!C130</f>
        <v>14297.67</v>
      </c>
      <c r="F8" s="50" t="s">
        <v>131</v>
      </c>
      <c r="G8" s="88"/>
      <c r="H8" s="50"/>
    </row>
    <row r="9" spans="1:8" ht="15" thickBot="1" x14ac:dyDescent="0.4">
      <c r="A9" s="86">
        <v>8</v>
      </c>
      <c r="B9" s="83" t="s">
        <v>153</v>
      </c>
      <c r="C9" s="84">
        <v>9350</v>
      </c>
      <c r="D9" s="85">
        <f>'8'!C130</f>
        <v>16637.25</v>
      </c>
      <c r="F9" s="50" t="s">
        <v>123</v>
      </c>
      <c r="G9" s="88"/>
      <c r="H9" s="50"/>
    </row>
    <row r="10" spans="1:8" ht="15" thickBot="1" x14ac:dyDescent="0.4">
      <c r="A10" s="86">
        <v>9</v>
      </c>
      <c r="B10" s="83" t="s">
        <v>135</v>
      </c>
      <c r="C10" s="84">
        <v>4350</v>
      </c>
      <c r="D10" s="85">
        <f>'9'!C130</f>
        <v>8777.6200000000008</v>
      </c>
      <c r="F10" s="50" t="s">
        <v>87</v>
      </c>
      <c r="G10" s="88"/>
      <c r="H10" s="50"/>
    </row>
    <row r="11" spans="1:8" ht="15" thickBot="1" x14ac:dyDescent="0.4">
      <c r="A11" s="90" t="s">
        <v>140</v>
      </c>
      <c r="B11" s="90"/>
      <c r="C11" s="90"/>
      <c r="D11" s="82">
        <f>SUM(D2:D10)</f>
        <v>98774.35</v>
      </c>
      <c r="F11" s="50" t="s">
        <v>53</v>
      </c>
      <c r="G11" s="88"/>
      <c r="H11" s="50"/>
    </row>
    <row r="12" spans="1:8" x14ac:dyDescent="0.35">
      <c r="F12" s="89" t="s">
        <v>96</v>
      </c>
      <c r="G12" s="89"/>
      <c r="H12" s="89"/>
    </row>
    <row r="13" spans="1:8" ht="15.5" x14ac:dyDescent="0.35">
      <c r="F13" s="50" t="s">
        <v>98</v>
      </c>
      <c r="G13" s="53">
        <v>2.8E-3</v>
      </c>
      <c r="H13" s="52" t="s">
        <v>107</v>
      </c>
    </row>
    <row r="14" spans="1:8" ht="15.5" x14ac:dyDescent="0.35">
      <c r="F14" s="50" t="s">
        <v>99</v>
      </c>
      <c r="G14" s="54">
        <f>((5/30)/12)*2%</f>
        <v>2.7777777777777778E-4</v>
      </c>
      <c r="H14" s="52" t="s">
        <v>109</v>
      </c>
    </row>
    <row r="15" spans="1:8" ht="15.5" x14ac:dyDescent="0.35">
      <c r="F15" s="50" t="s">
        <v>101</v>
      </c>
      <c r="G15" s="53">
        <f>((15/30)/12)*8%</f>
        <v>3.3333333333333331E-3</v>
      </c>
      <c r="H15" s="52" t="s">
        <v>108</v>
      </c>
    </row>
    <row r="16" spans="1:8" ht="15.5" x14ac:dyDescent="0.35">
      <c r="F16" s="50" t="s">
        <v>102</v>
      </c>
      <c r="G16" s="53">
        <f>(5.96/30)*(1/12)</f>
        <v>1.6555555555555553E-2</v>
      </c>
      <c r="H16" s="52" t="s">
        <v>110</v>
      </c>
    </row>
    <row r="17" spans="6:8" ht="15.5" x14ac:dyDescent="0.35">
      <c r="F17" s="50" t="s">
        <v>100</v>
      </c>
      <c r="G17" s="54">
        <f>(5/30)*(1/12)*6.24%*4.96%</f>
        <v>4.2986666666666666E-5</v>
      </c>
      <c r="H17" s="52" t="s">
        <v>106</v>
      </c>
    </row>
    <row r="18" spans="6:8" x14ac:dyDescent="0.35">
      <c r="F18" s="89" t="s">
        <v>69</v>
      </c>
      <c r="G18" s="89"/>
      <c r="H18" s="89"/>
    </row>
    <row r="19" spans="6:8" ht="15.5" x14ac:dyDescent="0.35">
      <c r="F19" s="50" t="s">
        <v>71</v>
      </c>
      <c r="G19" s="53"/>
      <c r="H19" s="50"/>
    </row>
    <row r="20" spans="6:8" ht="15.5" x14ac:dyDescent="0.35">
      <c r="F20" s="50" t="s">
        <v>72</v>
      </c>
      <c r="G20" s="53"/>
      <c r="H20" s="50"/>
    </row>
    <row r="21" spans="6:8" ht="15.5" x14ac:dyDescent="0.35">
      <c r="F21" s="50" t="s">
        <v>143</v>
      </c>
      <c r="G21" s="53"/>
      <c r="H21" s="50"/>
    </row>
    <row r="22" spans="6:8" ht="15.5" x14ac:dyDescent="0.35">
      <c r="F22" s="50" t="s">
        <v>142</v>
      </c>
      <c r="G22" s="53"/>
      <c r="H22" s="50"/>
    </row>
    <row r="23" spans="6:8" ht="15.5" x14ac:dyDescent="0.35">
      <c r="F23" s="50" t="s">
        <v>74</v>
      </c>
      <c r="G23" s="80">
        <v>0.05</v>
      </c>
      <c r="H23" s="50"/>
    </row>
    <row r="24" spans="6:8" ht="15.65" customHeight="1" x14ac:dyDescent="0.35"/>
    <row r="25" spans="6:8" ht="15.65" customHeight="1" x14ac:dyDescent="0.35"/>
  </sheetData>
  <sheetProtection algorithmName="SHA-512" hashValue="Vi8hCa2dmNu9mvN2v5Ndbwrg+Q/0CG3XZJJDRT48svK0Kll79YNQb4T8eUeMFtxiB9C3ciubuVwv6AauvOZD0Q==" saltValue="pcZUAkhkRZf6l3zmBwm41g==" spinCount="100000" sheet="1" objects="1" scenarios="1" selectLockedCells="1"/>
  <mergeCells count="5">
    <mergeCell ref="F1:H1"/>
    <mergeCell ref="F3:H3"/>
    <mergeCell ref="F12:H12"/>
    <mergeCell ref="F18:H18"/>
    <mergeCell ref="A11:C11"/>
  </mergeCells>
  <phoneticPr fontId="12" type="noConversion"/>
  <hyperlinks>
    <hyperlink ref="A2" location="'1'!A1" display="'1'!A1" xr:uid="{EAEF3D3F-175A-44A2-912D-7FF6E2B975BF}"/>
    <hyperlink ref="A3" location="'2'!A1" display="'2'!A1" xr:uid="{6E42FA7E-FBDF-4B88-B7D7-68675E314580}"/>
    <hyperlink ref="A4" location="'3'!A1" display="'3'!A1" xr:uid="{C6E6ECA0-1101-4ED7-B56C-F94099F35ED6}"/>
    <hyperlink ref="A5" location="'4'!A1" display="'4'!A1" xr:uid="{ABE384F2-8479-427B-9AA3-BFEDE32230E8}"/>
    <hyperlink ref="A6" location="'5'!A1" display="'5'!A1" xr:uid="{7A2C9EED-F0BB-49C6-8643-A994E8F9CF1E}"/>
    <hyperlink ref="A7" location="'6'!A1" display="'6'!A1" xr:uid="{71F30EBD-71F0-46DF-9D8F-4AC1F99E7E2C}"/>
    <hyperlink ref="A8" location="'7'!A1" display="'7'!A1" xr:uid="{1677A945-9A71-4359-9D46-D0C857D77CE6}"/>
    <hyperlink ref="A9" location="'8'!A1" display="'8'!A1" xr:uid="{10111477-D75E-468F-80C4-3BC8906FCD6B}"/>
    <hyperlink ref="A10" location="'9'!A1" display="'9'!A1" xr:uid="{43D164CA-6696-4A22-BD80-3A441047B55A}"/>
  </hyperlink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B59C-CCAF-46E6-9ECB-732BBAA02C9D}">
  <dimension ref="A1:N136"/>
  <sheetViews>
    <sheetView showGridLines="0" topLeftCell="A46" zoomScaleNormal="100" workbookViewId="0">
      <selection activeCell="C54" sqref="C54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Base!B2</f>
        <v>Assistente 1</v>
      </c>
    </row>
    <row r="6" spans="1:5" ht="15.65" customHeight="1" thickBot="1" x14ac:dyDescent="0.4">
      <c r="B6" s="55" t="s">
        <v>137</v>
      </c>
      <c r="C6" s="71">
        <f>Base!C2</f>
        <v>3180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3180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3180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264.89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353.3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618.19000000000005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40.619999999999997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658.81000000000006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636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79.5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47.7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31.8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19.079999999999998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6.36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254.4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1074.8400000000001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13">
        <f>ROUND((C46*2*22)-(D12*0.06),2)</f>
        <v>73.2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13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13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13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13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28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28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28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-94.15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923.72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658.81000000000006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1074.8400000000001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923.72</v>
      </c>
    </row>
    <row r="64" spans="1:5" ht="16" thickBot="1" x14ac:dyDescent="0.4">
      <c r="A64" s="91" t="s">
        <v>14</v>
      </c>
      <c r="B64" s="92"/>
      <c r="C64" s="9"/>
      <c r="D64" s="19">
        <f>SUM(D61:D63)</f>
        <v>2657.37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264.89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21.19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101.76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61.69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0.4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449.92999999999995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29.44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8.9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0.88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10.6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52.65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0.14000000000000001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102.47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1.1161404328148148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103.58614043281482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103.58614043281482</v>
      </c>
    </row>
    <row r="98" spans="1:4" ht="16" thickBot="1" x14ac:dyDescent="0.4">
      <c r="A98" s="91" t="s">
        <v>14</v>
      </c>
      <c r="B98" s="92"/>
      <c r="C98" s="19">
        <f>C97</f>
        <v>103.58614043281482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336.36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336.36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336.36</v>
      </c>
    </row>
    <row r="118" spans="1:11" x14ac:dyDescent="0.35">
      <c r="C118" s="49"/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3180</v>
      </c>
    </row>
    <row r="124" spans="1:11" ht="16" thickBot="1" x14ac:dyDescent="0.4">
      <c r="A124" s="23" t="s">
        <v>9</v>
      </c>
      <c r="B124" s="8" t="s">
        <v>15</v>
      </c>
      <c r="C124" s="24">
        <f>D64</f>
        <v>2657.37</v>
      </c>
    </row>
    <row r="125" spans="1:11" ht="16" thickBot="1" x14ac:dyDescent="0.4">
      <c r="A125" s="23" t="s">
        <v>10</v>
      </c>
      <c r="B125" s="8" t="s">
        <v>56</v>
      </c>
      <c r="C125" s="24">
        <f>D75</f>
        <v>449.92999999999995</v>
      </c>
    </row>
    <row r="126" spans="1:11" ht="16" thickBot="1" x14ac:dyDescent="0.4">
      <c r="A126" s="23" t="s">
        <v>11</v>
      </c>
      <c r="B126" s="8" t="s">
        <v>63</v>
      </c>
      <c r="C126" s="24">
        <f>C98</f>
        <v>103.58614043281482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6390.89</v>
      </c>
    </row>
    <row r="129" spans="1:3" ht="16" thickBot="1" x14ac:dyDescent="0.4">
      <c r="A129" s="23" t="s">
        <v>13</v>
      </c>
      <c r="B129" s="8" t="s">
        <v>78</v>
      </c>
      <c r="C129" s="25">
        <f>D117</f>
        <v>336.36</v>
      </c>
    </row>
    <row r="130" spans="1:3" ht="16" thickBot="1" x14ac:dyDescent="0.4">
      <c r="A130" s="91" t="s">
        <v>79</v>
      </c>
      <c r="B130" s="92"/>
      <c r="C130" s="24">
        <f>ROUND(C128+C129,2)</f>
        <v>6727.25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6390.8861404328154</v>
      </c>
    </row>
    <row r="135" spans="1:3" hidden="1" x14ac:dyDescent="0.35">
      <c r="A135" s="1" t="s">
        <v>82</v>
      </c>
      <c r="C135" s="1">
        <f>TRUNC(C134/(1-C133),2)</f>
        <v>6727.24</v>
      </c>
    </row>
    <row r="136" spans="1:3" hidden="1" x14ac:dyDescent="0.35">
      <c r="A136" s="1" t="s">
        <v>83</v>
      </c>
      <c r="C136" s="27">
        <f>C135-C134</f>
        <v>336.35385956718437</v>
      </c>
    </row>
  </sheetData>
  <sheetProtection algorithmName="SHA-512" hashValue="CuJsPPYd3lYFUzz1l8+DrQB9qwVocWCqmMJeEUvvQmfitVQHxoSgsNE9W3vN5QsKc2Hamtan7gUu3viCfVwDog==" saltValue="5hV07S528lGT0/ctU/8isQ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0EF841BD-3D54-4DC1-8E25-52DB010127EC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CA97A-5FDB-4443-9CEB-9D0D95CE22FD}">
  <dimension ref="A1:N136"/>
  <sheetViews>
    <sheetView showGridLines="0" topLeftCell="A34" zoomScaleNormal="100" workbookViewId="0">
      <selection activeCell="C54" sqref="C54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Base!B3</f>
        <v>Assistente 2</v>
      </c>
    </row>
    <row r="6" spans="1:5" ht="15.65" customHeight="1" thickBot="1" x14ac:dyDescent="0.4">
      <c r="B6" s="55" t="s">
        <v>137</v>
      </c>
      <c r="C6" s="71">
        <f>Base!C3</f>
        <v>3900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3900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3900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324.87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433.29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758.16000000000008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49.82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807.98000000000013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780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97.5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58.5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39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23.4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7.8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312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1318.1999999999998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13">
        <f>ROUND((C46*2*22)-(D12*0.06),2)</f>
        <v>30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13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13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13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13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28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28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28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-90.16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884.51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807.98000000000013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1318.1999999999998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884.51</v>
      </c>
    </row>
    <row r="64" spans="1:5" ht="16" thickBot="1" x14ac:dyDescent="0.4">
      <c r="A64" s="91" t="s">
        <v>14</v>
      </c>
      <c r="B64" s="92"/>
      <c r="C64" s="9"/>
      <c r="D64" s="19">
        <f>SUM(D61:D63)</f>
        <v>3010.6899999999996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324.87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25.99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124.8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75.66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0.5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551.82000000000005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36.11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10.92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1.08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13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64.569999999999993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0.17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125.67999999999999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1.3689521771851849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127.04895217718517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127.04895217718517</v>
      </c>
    </row>
    <row r="98" spans="1:4" ht="16" thickBot="1" x14ac:dyDescent="0.4">
      <c r="A98" s="91" t="s">
        <v>14</v>
      </c>
      <c r="B98" s="92"/>
      <c r="C98" s="19">
        <f>C97</f>
        <v>127.04895217718517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399.45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144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399.45</v>
      </c>
      <c r="K116" s="49">
        <f>C115+C114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399.45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3900</v>
      </c>
    </row>
    <row r="124" spans="1:11" ht="16" thickBot="1" x14ac:dyDescent="0.4">
      <c r="A124" s="23" t="s">
        <v>9</v>
      </c>
      <c r="B124" s="8" t="s">
        <v>15</v>
      </c>
      <c r="C124" s="24">
        <f>D64</f>
        <v>3010.6899999999996</v>
      </c>
    </row>
    <row r="125" spans="1:11" ht="16" thickBot="1" x14ac:dyDescent="0.4">
      <c r="A125" s="23" t="s">
        <v>10</v>
      </c>
      <c r="B125" s="8" t="s">
        <v>56</v>
      </c>
      <c r="C125" s="24">
        <f>D75</f>
        <v>551.82000000000005</v>
      </c>
    </row>
    <row r="126" spans="1:11" ht="16" thickBot="1" x14ac:dyDescent="0.4">
      <c r="A126" s="23" t="s">
        <v>11</v>
      </c>
      <c r="B126" s="8" t="s">
        <v>63</v>
      </c>
      <c r="C126" s="24">
        <f>C98</f>
        <v>127.04895217718517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7589.56</v>
      </c>
    </row>
    <row r="129" spans="1:3" ht="16" thickBot="1" x14ac:dyDescent="0.4">
      <c r="A129" s="23" t="s">
        <v>13</v>
      </c>
      <c r="B129" s="8" t="s">
        <v>78</v>
      </c>
      <c r="C129" s="25">
        <f>D117</f>
        <v>399.45</v>
      </c>
    </row>
    <row r="130" spans="1:3" ht="16" thickBot="1" x14ac:dyDescent="0.4">
      <c r="A130" s="91" t="s">
        <v>79</v>
      </c>
      <c r="B130" s="92"/>
      <c r="C130" s="24">
        <f>ROUND(C128+C129,2)</f>
        <v>7989.01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7589.5589521771844</v>
      </c>
    </row>
    <row r="135" spans="1:3" hidden="1" x14ac:dyDescent="0.35">
      <c r="A135" s="1" t="s">
        <v>82</v>
      </c>
      <c r="C135" s="1">
        <f>TRUNC(C134/(1-C133),2)</f>
        <v>7989</v>
      </c>
    </row>
    <row r="136" spans="1:3" hidden="1" x14ac:dyDescent="0.35">
      <c r="A136" s="1" t="s">
        <v>83</v>
      </c>
      <c r="C136" s="27">
        <f>C135-C134</f>
        <v>399.44104782281556</v>
      </c>
    </row>
  </sheetData>
  <sheetProtection algorithmName="SHA-512" hashValue="hQezomNx2qL2wB1ibIFEDwKpaOOXHWsSd754csoY1nQiMmXp6GmDI/HnwYo9LIJrMHRaueuuwCjO0w0BW5J4fQ==" saltValue="1i4uBlWjdQa9FJFckvV5NA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04DB69DF-B51C-4E50-B813-997B9F8FAF48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BF07-4640-43D2-8232-3AF11DD55150}">
  <dimension ref="A1:N136"/>
  <sheetViews>
    <sheetView showGridLines="0" topLeftCell="A31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73" t="str">
        <f>Base!B4</f>
        <v>Assistente 3</v>
      </c>
    </row>
    <row r="6" spans="1:5" ht="15.65" customHeight="1" thickBot="1" x14ac:dyDescent="0.4">
      <c r="B6" s="55" t="s">
        <v>137</v>
      </c>
      <c r="C6" s="71">
        <f>Base!C4</f>
        <v>4480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4480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4480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373.18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497.73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870.91000000000008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57.23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928.1400000000001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896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112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67.2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44.8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26.88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8.9600000000000009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358.4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1514.2400000000002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13">
        <f>ROUND((C46*2*22)-(D12*0.06),2)</f>
        <v>-4.8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13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13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13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13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28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28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28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-86.94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852.93000000000006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928.1400000000001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1514.2400000000002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852.93000000000006</v>
      </c>
    </row>
    <row r="64" spans="1:5" ht="16" thickBot="1" x14ac:dyDescent="0.4">
      <c r="A64" s="91" t="s">
        <v>14</v>
      </c>
      <c r="B64" s="92"/>
      <c r="C64" s="9"/>
      <c r="D64" s="19">
        <f>SUM(D61:D63)</f>
        <v>3295.3100000000004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373.18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29.85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143.36000000000001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86.91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0.56999999999999995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633.87000000000012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41.48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12.54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1.24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14.93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74.17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0.19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144.36000000000001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1.5724215173333334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145.93242151733335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145.93242151733335</v>
      </c>
    </row>
    <row r="98" spans="1:4" ht="16" thickBot="1" x14ac:dyDescent="0.4">
      <c r="A98" s="91" t="s">
        <v>14</v>
      </c>
      <c r="B98" s="92"/>
      <c r="C98" s="19">
        <f>C97</f>
        <v>145.93242151733335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450.27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450.27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72"/>
      <c r="D117" s="13">
        <f>ROUND(SUM(D111:D113),2)</f>
        <v>450.27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4480</v>
      </c>
    </row>
    <row r="124" spans="1:11" ht="16" thickBot="1" x14ac:dyDescent="0.4">
      <c r="A124" s="23" t="s">
        <v>9</v>
      </c>
      <c r="B124" s="8" t="s">
        <v>15</v>
      </c>
      <c r="C124" s="24">
        <f>D64</f>
        <v>3295.3100000000004</v>
      </c>
    </row>
    <row r="125" spans="1:11" ht="16" thickBot="1" x14ac:dyDescent="0.4">
      <c r="A125" s="23" t="s">
        <v>10</v>
      </c>
      <c r="B125" s="8" t="s">
        <v>56</v>
      </c>
      <c r="C125" s="24">
        <f>D75</f>
        <v>633.87000000000012</v>
      </c>
    </row>
    <row r="126" spans="1:11" ht="16" thickBot="1" x14ac:dyDescent="0.4">
      <c r="A126" s="23" t="s">
        <v>11</v>
      </c>
      <c r="B126" s="8" t="s">
        <v>63</v>
      </c>
      <c r="C126" s="24">
        <f>C98</f>
        <v>145.93242151733335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8555.11</v>
      </c>
    </row>
    <row r="129" spans="1:3" ht="16" thickBot="1" x14ac:dyDescent="0.4">
      <c r="A129" s="23" t="s">
        <v>13</v>
      </c>
      <c r="B129" s="8" t="s">
        <v>78</v>
      </c>
      <c r="C129" s="25">
        <f>D117</f>
        <v>450.27</v>
      </c>
    </row>
    <row r="130" spans="1:3" ht="16" thickBot="1" x14ac:dyDescent="0.4">
      <c r="A130" s="91" t="s">
        <v>79</v>
      </c>
      <c r="B130" s="92"/>
      <c r="C130" s="24">
        <f>ROUND(C128+C129,2)</f>
        <v>9005.3799999999992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8555.1124215173331</v>
      </c>
    </row>
    <row r="135" spans="1:3" hidden="1" x14ac:dyDescent="0.35">
      <c r="A135" s="1" t="s">
        <v>82</v>
      </c>
      <c r="C135" s="1">
        <f>TRUNC(C134/(1-C133),2)</f>
        <v>9005.3799999999992</v>
      </c>
    </row>
    <row r="136" spans="1:3" hidden="1" x14ac:dyDescent="0.35">
      <c r="A136" s="1" t="s">
        <v>83</v>
      </c>
      <c r="C136" s="27">
        <f>C135-C134</f>
        <v>450.26757848266607</v>
      </c>
    </row>
  </sheetData>
  <sheetProtection algorithmName="SHA-512" hashValue="98lVQTyiUJk9w4KqSp2dXxe0WQUJrwT/3brDAosZatgUbaymns4SnhooKbErQtokAuPF8KFc2hFs912q80xeng==" saltValue="dkH0zd7CPP8mUApQhvnk2A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AFEC1755-8CAA-4ADF-9CA3-F7255B69E40F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2952A-20E9-42F0-B91C-15AB24BB1BAF}">
  <dimension ref="A1:N136"/>
  <sheetViews>
    <sheetView showGridLines="0" topLeftCell="A34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145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Base!B5</f>
        <v>Assistente 4</v>
      </c>
    </row>
    <row r="6" spans="1:5" ht="15.65" customHeight="1" thickBot="1" x14ac:dyDescent="0.4">
      <c r="B6" s="55" t="s">
        <v>137</v>
      </c>
      <c r="C6" s="71">
        <f>Base!C5</f>
        <v>5350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5350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5350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445.66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594.39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1040.05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68.34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1108.3899999999999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1070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133.75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80.25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53.5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32.1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10.7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428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1808.3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13">
        <f>ROUND((C46*2*22)-(D12*0.06),2)</f>
        <v>-57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13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13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13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13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28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28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28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-82.11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805.56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1108.3899999999999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1808.3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805.56</v>
      </c>
    </row>
    <row r="64" spans="1:5" ht="16" thickBot="1" x14ac:dyDescent="0.4">
      <c r="A64" s="91" t="s">
        <v>14</v>
      </c>
      <c r="B64" s="92"/>
      <c r="C64" s="9"/>
      <c r="D64" s="19">
        <f>SUM(D61:D63)</f>
        <v>3722.2499999999995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445.66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35.65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171.2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103.79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0.68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756.9799999999999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49.54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14.98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1.49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17.829999999999998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88.57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0.23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172.40999999999997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1.8779522984444439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174.28795229844442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174.28795229844442</v>
      </c>
    </row>
    <row r="98" spans="1:4" ht="16" thickBot="1" x14ac:dyDescent="0.4">
      <c r="A98" s="91" t="s">
        <v>14</v>
      </c>
      <c r="B98" s="92"/>
      <c r="C98" s="19">
        <f>C97</f>
        <v>174.28795229844442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526.5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144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526.5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526.5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5350</v>
      </c>
    </row>
    <row r="124" spans="1:11" ht="16" thickBot="1" x14ac:dyDescent="0.4">
      <c r="A124" s="23" t="s">
        <v>9</v>
      </c>
      <c r="B124" s="8" t="s">
        <v>15</v>
      </c>
      <c r="C124" s="24">
        <f>D64</f>
        <v>3722.2499999999995</v>
      </c>
    </row>
    <row r="125" spans="1:11" ht="16" thickBot="1" x14ac:dyDescent="0.4">
      <c r="A125" s="23" t="s">
        <v>10</v>
      </c>
      <c r="B125" s="8" t="s">
        <v>56</v>
      </c>
      <c r="C125" s="24">
        <f>D75</f>
        <v>756.9799999999999</v>
      </c>
    </row>
    <row r="126" spans="1:11" ht="16" thickBot="1" x14ac:dyDescent="0.4">
      <c r="A126" s="23" t="s">
        <v>11</v>
      </c>
      <c r="B126" s="8" t="s">
        <v>63</v>
      </c>
      <c r="C126" s="24">
        <f>C98</f>
        <v>174.28795229844442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10003.52</v>
      </c>
    </row>
    <row r="129" spans="1:3" ht="16" thickBot="1" x14ac:dyDescent="0.4">
      <c r="A129" s="23" t="s">
        <v>13</v>
      </c>
      <c r="B129" s="8" t="s">
        <v>78</v>
      </c>
      <c r="C129" s="25">
        <f>D117</f>
        <v>526.5</v>
      </c>
    </row>
    <row r="130" spans="1:3" ht="16" thickBot="1" x14ac:dyDescent="0.4">
      <c r="A130" s="91" t="s">
        <v>79</v>
      </c>
      <c r="B130" s="92"/>
      <c r="C130" s="24">
        <f>ROUND(C128+C129,2)</f>
        <v>10530.02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10003.517952298444</v>
      </c>
    </row>
    <row r="135" spans="1:3" hidden="1" x14ac:dyDescent="0.35">
      <c r="A135" s="1" t="s">
        <v>82</v>
      </c>
      <c r="C135" s="1">
        <f>TRUNC(C134/(1-C133),2)</f>
        <v>10530.01</v>
      </c>
    </row>
    <row r="136" spans="1:3" hidden="1" x14ac:dyDescent="0.35">
      <c r="A136" s="1" t="s">
        <v>83</v>
      </c>
      <c r="C136" s="27">
        <f>C135-C134</f>
        <v>526.49204770155666</v>
      </c>
    </row>
  </sheetData>
  <sheetProtection algorithmName="SHA-512" hashValue="QKu+KeOtxisVHBNTcaXTfMgv8qM/9tx1m/iZK3SwHqAbWBOSEUvhHBaE/UDxPS7+DmrguSCIoEGgO7TJ4vY4LA==" saltValue="myvGtUxoc6tX6gAX8WlTww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 " xr:uid="{2A82AC26-1ADF-4F64-B259-476149A0331A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E5F05-430C-40E4-A47E-847ECB9DDD51}">
  <dimension ref="A1:N136"/>
  <sheetViews>
    <sheetView showGridLines="0" topLeftCell="A37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Base!B6</f>
        <v>Analista 1</v>
      </c>
    </row>
    <row r="6" spans="1:5" ht="15.65" customHeight="1" thickBot="1" x14ac:dyDescent="0.4">
      <c r="B6" s="55" t="s">
        <v>137</v>
      </c>
      <c r="C6" s="71">
        <f>Base!C6</f>
        <v>6000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6000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6000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499.8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666.6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1166.4000000000001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76.64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1243.0400000000002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1200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150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90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60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36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12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480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2028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74">
        <f>ROUND((C46*2*22)-(D12*0.06),2)</f>
        <v>-96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74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74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74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74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75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75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75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-78.5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770.17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1243.0400000000002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2028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770.17</v>
      </c>
    </row>
    <row r="64" spans="1:5" ht="16" thickBot="1" x14ac:dyDescent="0.4">
      <c r="A64" s="91" t="s">
        <v>14</v>
      </c>
      <c r="B64" s="92"/>
      <c r="C64" s="9"/>
      <c r="D64" s="19">
        <f>SUM(D61:D63)</f>
        <v>4041.21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499.8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39.979999999999997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192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116.4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0.76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848.93999999999994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55.56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16.8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1.67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20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99.33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0.26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193.36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2.1061473025185187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195.46614730251852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195.46614730251852</v>
      </c>
    </row>
    <row r="98" spans="1:4" ht="16" thickBot="1" x14ac:dyDescent="0.4">
      <c r="A98" s="91" t="s">
        <v>14</v>
      </c>
      <c r="B98" s="92"/>
      <c r="C98" s="19">
        <f>C97</f>
        <v>195.46614730251852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583.45000000000005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144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583.45000000000005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583.45000000000005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6000</v>
      </c>
    </row>
    <row r="124" spans="1:11" ht="16" thickBot="1" x14ac:dyDescent="0.4">
      <c r="A124" s="23" t="s">
        <v>9</v>
      </c>
      <c r="B124" s="8" t="s">
        <v>15</v>
      </c>
      <c r="C124" s="24">
        <f>D64</f>
        <v>4041.21</v>
      </c>
    </row>
    <row r="125" spans="1:11" ht="16" thickBot="1" x14ac:dyDescent="0.4">
      <c r="A125" s="23" t="s">
        <v>10</v>
      </c>
      <c r="B125" s="8" t="s">
        <v>56</v>
      </c>
      <c r="C125" s="24">
        <f>D75</f>
        <v>848.93999999999994</v>
      </c>
    </row>
    <row r="126" spans="1:11" ht="16" thickBot="1" x14ac:dyDescent="0.4">
      <c r="A126" s="23" t="s">
        <v>11</v>
      </c>
      <c r="B126" s="8" t="s">
        <v>63</v>
      </c>
      <c r="C126" s="24">
        <f>C98</f>
        <v>195.46614730251852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11085.62</v>
      </c>
    </row>
    <row r="129" spans="1:3" ht="16" thickBot="1" x14ac:dyDescent="0.4">
      <c r="A129" s="23" t="s">
        <v>13</v>
      </c>
      <c r="B129" s="8" t="s">
        <v>78</v>
      </c>
      <c r="C129" s="25">
        <f>D117</f>
        <v>583.45000000000005</v>
      </c>
    </row>
    <row r="130" spans="1:3" ht="16" thickBot="1" x14ac:dyDescent="0.4">
      <c r="A130" s="91" t="s">
        <v>79</v>
      </c>
      <c r="B130" s="92"/>
      <c r="C130" s="24">
        <f>ROUND(C128+C129,2)</f>
        <v>11669.07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11085.616147302519</v>
      </c>
    </row>
    <row r="135" spans="1:3" hidden="1" x14ac:dyDescent="0.35">
      <c r="A135" s="1" t="s">
        <v>82</v>
      </c>
      <c r="C135" s="1">
        <f>TRUNC(C134/(1-C133),2)</f>
        <v>11669.06</v>
      </c>
    </row>
    <row r="136" spans="1:3" hidden="1" x14ac:dyDescent="0.35">
      <c r="A136" s="1" t="s">
        <v>83</v>
      </c>
      <c r="C136" s="27">
        <f>C135-C134</f>
        <v>583.44385269748091</v>
      </c>
    </row>
  </sheetData>
  <sheetProtection algorithmName="SHA-512" hashValue="JQdlRnoRBNlfUEUI9g1Wl1mH/zccMYZFP6Uu6W/5HuoiWgDo3rnTR4Z6wlB2rgRcGcx86L2AMpmcnez7tYay7Q==" saltValue="+fWviLJF8nfEAfgFegOvJQ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CF8E77D7-D068-4FD6-B239-6940AF2220ED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C1B0A-B0B6-46BD-8A57-C3170DEE72B2}">
  <dimension ref="A1:N136"/>
  <sheetViews>
    <sheetView showGridLines="0" topLeftCell="A34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6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Base!B7</f>
        <v>Analista 2</v>
      </c>
    </row>
    <row r="6" spans="1:5" ht="15.65" customHeight="1" thickBot="1" x14ac:dyDescent="0.4">
      <c r="B6" s="55" t="s">
        <v>137</v>
      </c>
      <c r="C6" s="71">
        <f>Base!C7</f>
        <v>6840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6840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6840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569.77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759.92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1329.69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87.37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1417.06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1368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171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102.6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68.400000000000006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41.04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13.68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547.20000000000005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2311.92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74">
        <f>ROUND((C46*2*22)-(D12*0.06),2)</f>
        <v>-146.4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74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74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74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74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75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75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75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-73.84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724.43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1417.06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2311.92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724.43</v>
      </c>
    </row>
    <row r="64" spans="1:5" ht="16" thickBot="1" x14ac:dyDescent="0.4">
      <c r="A64" s="91" t="s">
        <v>14</v>
      </c>
      <c r="B64" s="92"/>
      <c r="C64" s="9"/>
      <c r="D64" s="19">
        <f>SUM(D61:D63)</f>
        <v>4453.41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569.77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45.58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218.88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132.69999999999999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0.87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967.80000000000007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63.33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19.149999999999999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1.9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22.8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113.24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0.28999999999999998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220.42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2.400894644296296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222.82089464429629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222.82089464429629</v>
      </c>
    </row>
    <row r="98" spans="1:4" ht="16" thickBot="1" x14ac:dyDescent="0.4">
      <c r="A98" s="91" t="s">
        <v>14</v>
      </c>
      <c r="B98" s="92"/>
      <c r="C98" s="19">
        <f>C97</f>
        <v>222.82089464429629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657.05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657.05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657.05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6840</v>
      </c>
    </row>
    <row r="124" spans="1:11" ht="16" thickBot="1" x14ac:dyDescent="0.4">
      <c r="A124" s="23" t="s">
        <v>9</v>
      </c>
      <c r="B124" s="8" t="s">
        <v>15</v>
      </c>
      <c r="C124" s="24">
        <f>D64</f>
        <v>4453.41</v>
      </c>
    </row>
    <row r="125" spans="1:11" ht="16" thickBot="1" x14ac:dyDescent="0.4">
      <c r="A125" s="23" t="s">
        <v>10</v>
      </c>
      <c r="B125" s="8" t="s">
        <v>56</v>
      </c>
      <c r="C125" s="24">
        <f>D75</f>
        <v>967.80000000000007</v>
      </c>
    </row>
    <row r="126" spans="1:11" ht="16" thickBot="1" x14ac:dyDescent="0.4">
      <c r="A126" s="23" t="s">
        <v>11</v>
      </c>
      <c r="B126" s="8" t="s">
        <v>63</v>
      </c>
      <c r="C126" s="24">
        <f>C98</f>
        <v>222.82089464429629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12484.03</v>
      </c>
    </row>
    <row r="129" spans="1:3" ht="16" thickBot="1" x14ac:dyDescent="0.4">
      <c r="A129" s="23" t="s">
        <v>13</v>
      </c>
      <c r="B129" s="8" t="s">
        <v>78</v>
      </c>
      <c r="C129" s="25">
        <f>D117</f>
        <v>657.05</v>
      </c>
    </row>
    <row r="130" spans="1:3" ht="16" thickBot="1" x14ac:dyDescent="0.4">
      <c r="A130" s="91" t="s">
        <v>79</v>
      </c>
      <c r="B130" s="92"/>
      <c r="C130" s="24">
        <f>ROUND(C128+C129,2)</f>
        <v>13141.08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12484.030894644295</v>
      </c>
    </row>
    <row r="135" spans="1:3" hidden="1" x14ac:dyDescent="0.35">
      <c r="A135" s="1" t="s">
        <v>82</v>
      </c>
      <c r="C135" s="1">
        <f>TRUNC(C134/(1-C133),2)</f>
        <v>13141.08</v>
      </c>
    </row>
    <row r="136" spans="1:3" hidden="1" x14ac:dyDescent="0.35">
      <c r="A136" s="1" t="s">
        <v>83</v>
      </c>
      <c r="C136" s="27">
        <f>C135-C134</f>
        <v>657.04910535570525</v>
      </c>
    </row>
  </sheetData>
  <sheetProtection algorithmName="SHA-512" hashValue="giAkhu0ytMJ1uiHxvimfHPyOYsBdN9yguO9kL8+LXYrHC71sWR/TAD8ZMoYy57HzzWKo0/L8jhCM+KqBlIIykw==" saltValue="AGfZ5o5Rh+zUTuiy27TYmA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A428044C-508A-4F55-91F8-B7612C7B7B05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3C43-90F4-4D9F-9DBD-35BE68E2A31B}">
  <dimension ref="A1:N136"/>
  <sheetViews>
    <sheetView showGridLines="0" topLeftCell="A40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Base!B8</f>
        <v>Analista 3</v>
      </c>
    </row>
    <row r="6" spans="1:5" ht="15.65" customHeight="1" thickBot="1" x14ac:dyDescent="0.4">
      <c r="B6" s="55" t="s">
        <v>137</v>
      </c>
      <c r="C6" s="71">
        <f>Base!C8</f>
        <v>7500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7500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7500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624.75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833.25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1458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95.8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1553.8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1500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187.5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112.5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75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45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15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600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2535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74">
        <f>ROUND((C46*2*22)-(D12*0.06),2)</f>
        <v>-186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74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74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74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74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75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75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75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-70.180000000000007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688.49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1553.8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2535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688.49</v>
      </c>
    </row>
    <row r="64" spans="1:5" ht="16" thickBot="1" x14ac:dyDescent="0.4">
      <c r="A64" s="91" t="s">
        <v>14</v>
      </c>
      <c r="B64" s="92"/>
      <c r="C64" s="9"/>
      <c r="D64" s="19">
        <f>SUM(D61:D63)</f>
        <v>4777.29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624.75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49.98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240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145.5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0.95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1061.18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69.44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21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2.08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25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124.17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0.32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241.69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2.6325752045185182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244.32257520451853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244.32257520451853</v>
      </c>
    </row>
    <row r="98" spans="1:4" ht="16" thickBot="1" x14ac:dyDescent="0.4">
      <c r="A98" s="91" t="s">
        <v>14</v>
      </c>
      <c r="B98" s="92"/>
      <c r="C98" s="19">
        <f>C97</f>
        <v>244.32257520451853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714.88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714.88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714.88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7500</v>
      </c>
    </row>
    <row r="124" spans="1:11" ht="16" thickBot="1" x14ac:dyDescent="0.4">
      <c r="A124" s="23" t="s">
        <v>9</v>
      </c>
      <c r="B124" s="8" t="s">
        <v>15</v>
      </c>
      <c r="C124" s="24">
        <f>D64</f>
        <v>4777.29</v>
      </c>
    </row>
    <row r="125" spans="1:11" ht="16" thickBot="1" x14ac:dyDescent="0.4">
      <c r="A125" s="23" t="s">
        <v>10</v>
      </c>
      <c r="B125" s="8" t="s">
        <v>56</v>
      </c>
      <c r="C125" s="24">
        <f>D75</f>
        <v>1061.18</v>
      </c>
    </row>
    <row r="126" spans="1:11" ht="16" thickBot="1" x14ac:dyDescent="0.4">
      <c r="A126" s="23" t="s">
        <v>11</v>
      </c>
      <c r="B126" s="8" t="s">
        <v>63</v>
      </c>
      <c r="C126" s="24">
        <f>C98</f>
        <v>244.32257520451853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13582.79</v>
      </c>
    </row>
    <row r="129" spans="1:3" ht="16" thickBot="1" x14ac:dyDescent="0.4">
      <c r="A129" s="23" t="s">
        <v>13</v>
      </c>
      <c r="B129" s="8" t="s">
        <v>78</v>
      </c>
      <c r="C129" s="25">
        <f>D117</f>
        <v>714.88</v>
      </c>
    </row>
    <row r="130" spans="1:3" ht="16" thickBot="1" x14ac:dyDescent="0.4">
      <c r="A130" s="91" t="s">
        <v>79</v>
      </c>
      <c r="B130" s="92"/>
      <c r="C130" s="24">
        <f>ROUND(C128+C129,2)</f>
        <v>14297.67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13582.792575204519</v>
      </c>
    </row>
    <row r="135" spans="1:3" hidden="1" x14ac:dyDescent="0.35">
      <c r="A135" s="1" t="s">
        <v>82</v>
      </c>
      <c r="C135" s="1">
        <f>TRUNC(C134/(1-C133),2)</f>
        <v>14297.67</v>
      </c>
    </row>
    <row r="136" spans="1:3" hidden="1" x14ac:dyDescent="0.35">
      <c r="A136" s="1" t="s">
        <v>83</v>
      </c>
      <c r="C136" s="27">
        <f>C135-C134</f>
        <v>714.87742479548069</v>
      </c>
    </row>
  </sheetData>
  <sheetProtection algorithmName="SHA-512" hashValue="KUXw8DX6BgEiuTkMMwmZXQcPIPAYg61eNELEgD2+rP5Rqto5p04CRkzcrF6/fbksCpAK4bmXwZ+ZNgP+JFEQcA==" saltValue="JCJ3EfWtlzC+YBCUinJ7qw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DE23A5D2-B489-4FA2-90E9-27E8E1C7B33A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D1D02-ACF0-4E8B-BFC4-AD892A2667E3}">
  <dimension ref="A1:N136"/>
  <sheetViews>
    <sheetView showGridLines="0" topLeftCell="A52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1" spans="1:5" x14ac:dyDescent="0.35">
      <c r="A1" s="70" t="s">
        <v>138</v>
      </c>
    </row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Base!B9</f>
        <v>Analista 4</v>
      </c>
    </row>
    <row r="6" spans="1:5" ht="15.65" customHeight="1" thickBot="1" x14ac:dyDescent="0.4">
      <c r="B6" s="55" t="s">
        <v>137</v>
      </c>
      <c r="C6" s="71">
        <f>Base!C9</f>
        <v>9350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9350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9350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778.86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1038.79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1817.65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119.43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1937.0800000000002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1870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233.75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140.25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93.5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56.1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18.7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748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3160.2999999999997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74">
        <f>ROUND((C46*2*22)-(D12*0.06),2)</f>
        <v>-297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Base!G9</f>
        <v>0</v>
      </c>
      <c r="D47" s="74">
        <f>ROUND(((C47+(C47/12))*0.8),2)</f>
        <v>0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74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74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74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75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75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75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27.47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-269.52999999999997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1937.0800000000002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3160.2999999999997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-269.52999999999997</v>
      </c>
    </row>
    <row r="64" spans="1:5" ht="16" thickBot="1" x14ac:dyDescent="0.4">
      <c r="A64" s="91" t="s">
        <v>14</v>
      </c>
      <c r="B64" s="92"/>
      <c r="C64" s="9"/>
      <c r="D64" s="19">
        <f>SUM(D61:D63)</f>
        <v>4827.8500000000004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778.86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62.31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299.2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181.39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1.19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1322.9500000000003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86.57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26.18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2.6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31.17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154.79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0.4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301.30999999999995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3.2819778843703693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304.59197788437029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304.59197788437029</v>
      </c>
    </row>
    <row r="98" spans="1:4" ht="16" thickBot="1" x14ac:dyDescent="0.4">
      <c r="A98" s="91" t="s">
        <v>14</v>
      </c>
      <c r="B98" s="92"/>
      <c r="C98" s="19">
        <f>C97</f>
        <v>304.59197788437029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77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77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78">
        <f>SUM(C114:C116)</f>
        <v>0.05</v>
      </c>
      <c r="D113" s="13">
        <f>ROUND(SUM(D114:D116),2)</f>
        <v>831.86</v>
      </c>
    </row>
    <row r="114" spans="1:11" ht="16" thickBot="1" x14ac:dyDescent="0.4">
      <c r="A114" s="7"/>
      <c r="B114" s="8" t="s">
        <v>141</v>
      </c>
      <c r="C114" s="77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77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77">
        <f>Base!G23</f>
        <v>0.05</v>
      </c>
      <c r="D116" s="13">
        <f>ROUND(C116*((C128+D111+D112)/(1-C133)),2)</f>
        <v>831.86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831.86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9350</v>
      </c>
    </row>
    <row r="124" spans="1:11" ht="16" thickBot="1" x14ac:dyDescent="0.4">
      <c r="A124" s="23" t="s">
        <v>9</v>
      </c>
      <c r="B124" s="8" t="s">
        <v>15</v>
      </c>
      <c r="C124" s="24">
        <f>D64</f>
        <v>4827.8500000000004</v>
      </c>
    </row>
    <row r="125" spans="1:11" ht="16" thickBot="1" x14ac:dyDescent="0.4">
      <c r="A125" s="23" t="s">
        <v>10</v>
      </c>
      <c r="B125" s="8" t="s">
        <v>56</v>
      </c>
      <c r="C125" s="24">
        <f>D75</f>
        <v>1322.9500000000003</v>
      </c>
    </row>
    <row r="126" spans="1:11" ht="16" thickBot="1" x14ac:dyDescent="0.4">
      <c r="A126" s="23" t="s">
        <v>11</v>
      </c>
      <c r="B126" s="8" t="s">
        <v>63</v>
      </c>
      <c r="C126" s="24">
        <f>C98</f>
        <v>304.59197788437029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15805.39</v>
      </c>
    </row>
    <row r="129" spans="1:3" ht="16" thickBot="1" x14ac:dyDescent="0.4">
      <c r="A129" s="23" t="s">
        <v>13</v>
      </c>
      <c r="B129" s="8" t="s">
        <v>78</v>
      </c>
      <c r="C129" s="25">
        <f>D117</f>
        <v>831.86</v>
      </c>
    </row>
    <row r="130" spans="1:3" ht="16" thickBot="1" x14ac:dyDescent="0.4">
      <c r="A130" s="91" t="s">
        <v>79</v>
      </c>
      <c r="B130" s="92"/>
      <c r="C130" s="24">
        <f>ROUND(C128+C129,2)</f>
        <v>16637.25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15805.391977884372</v>
      </c>
    </row>
    <row r="135" spans="1:3" hidden="1" x14ac:dyDescent="0.35">
      <c r="A135" s="1" t="s">
        <v>82</v>
      </c>
      <c r="C135" s="1">
        <f>TRUNC(C134/(1-C133),2)</f>
        <v>16637.25</v>
      </c>
    </row>
    <row r="136" spans="1:3" hidden="1" x14ac:dyDescent="0.35">
      <c r="A136" s="1" t="s">
        <v>83</v>
      </c>
      <c r="C136" s="27">
        <f>C135-C134</f>
        <v>831.85802211562805</v>
      </c>
    </row>
  </sheetData>
  <sheetProtection algorithmName="SHA-512" hashValue="LZOpelh4CVTfT8ZMrywd+2to+jDcLiHyeq+y5q6hblffZwxx00VyfWIfx/A64D5nV4nZslfFgNtwJb6XQMT22g==" saltValue="87HI1aNNXAOS4S91bLUvlw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hyperlinks>
    <hyperlink ref="A1" location="Base!A1" display="Base" xr:uid="{3292EAB0-B536-49DF-A80F-52CF8D7A8674}"/>
  </hyperlink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1D26B-12D0-490B-9C89-543200906B0B}">
  <dimension ref="A3:N136"/>
  <sheetViews>
    <sheetView showGridLines="0" topLeftCell="A55" zoomScaleNormal="100" workbookViewId="0">
      <selection activeCell="C55" sqref="C5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18" style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3" t="s">
        <v>0</v>
      </c>
      <c r="C3" s="93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7" t="str">
        <f>Base!B10</f>
        <v>Motorista</v>
      </c>
    </row>
    <row r="6" spans="1:5" ht="15.65" customHeight="1" thickBot="1" x14ac:dyDescent="0.4">
      <c r="B6" s="55" t="s">
        <v>137</v>
      </c>
      <c r="C6" s="71">
        <f>Base!C10</f>
        <v>4350</v>
      </c>
    </row>
    <row r="7" spans="1:5" x14ac:dyDescent="0.35">
      <c r="B7" s="4"/>
    </row>
    <row r="8" spans="1:5" x14ac:dyDescent="0.35">
      <c r="B8" s="4"/>
    </row>
    <row r="9" spans="1:5" x14ac:dyDescent="0.35">
      <c r="A9" s="93" t="s">
        <v>2</v>
      </c>
      <c r="B9" s="93"/>
      <c r="C9" s="93"/>
      <c r="D9" s="93"/>
      <c r="E9" s="93"/>
    </row>
    <row r="10" spans="1:5" ht="16" thickBot="1" x14ac:dyDescent="0.4"/>
    <row r="11" spans="1:5" ht="16" thickBot="1" x14ac:dyDescent="0.4">
      <c r="A11" s="5">
        <v>1</v>
      </c>
      <c r="B11" s="6" t="s">
        <v>3</v>
      </c>
      <c r="C11" s="5" t="s">
        <v>4</v>
      </c>
      <c r="D11" s="5" t="s">
        <v>4</v>
      </c>
      <c r="E11" s="6" t="s">
        <v>5</v>
      </c>
    </row>
    <row r="12" spans="1:5" ht="15.65" customHeight="1" thickBot="1" x14ac:dyDescent="0.4">
      <c r="A12" s="7" t="s">
        <v>6</v>
      </c>
      <c r="B12" s="8" t="s">
        <v>7</v>
      </c>
      <c r="C12" s="9"/>
      <c r="D12" s="10">
        <f>C6</f>
        <v>4350</v>
      </c>
      <c r="E12" s="8" t="s">
        <v>8</v>
      </c>
    </row>
    <row r="13" spans="1:5" ht="16" thickBot="1" x14ac:dyDescent="0.4">
      <c r="A13" s="91" t="s">
        <v>14</v>
      </c>
      <c r="B13" s="92"/>
      <c r="C13" s="9"/>
      <c r="D13" s="10">
        <f>SUM(D12:D12)</f>
        <v>4350</v>
      </c>
      <c r="E13" s="6"/>
    </row>
    <row r="16" spans="1:5" x14ac:dyDescent="0.35">
      <c r="A16" s="93" t="s">
        <v>15</v>
      </c>
      <c r="B16" s="93"/>
      <c r="C16" s="93"/>
      <c r="D16" s="93"/>
      <c r="E16" s="93"/>
    </row>
    <row r="17" spans="1:5" x14ac:dyDescent="0.35">
      <c r="A17" s="12"/>
    </row>
    <row r="18" spans="1:5" x14ac:dyDescent="0.35">
      <c r="A18" s="15"/>
      <c r="B18" s="15"/>
      <c r="C18" s="16"/>
      <c r="D18" s="17"/>
      <c r="E18" s="15"/>
    </row>
    <row r="19" spans="1:5" x14ac:dyDescent="0.35">
      <c r="A19" s="93" t="s">
        <v>84</v>
      </c>
      <c r="B19" s="93"/>
      <c r="C19" s="93"/>
      <c r="D19" s="93"/>
      <c r="E19" s="93"/>
    </row>
    <row r="20" spans="1:5" ht="16" thickBot="1" x14ac:dyDescent="0.4"/>
    <row r="21" spans="1:5" ht="16" thickBot="1" x14ac:dyDescent="0.4">
      <c r="A21" s="5" t="s">
        <v>20</v>
      </c>
      <c r="B21" s="6" t="s">
        <v>17</v>
      </c>
      <c r="C21" s="6" t="s">
        <v>18</v>
      </c>
      <c r="D21" s="6" t="s">
        <v>4</v>
      </c>
      <c r="E21" s="6" t="s">
        <v>5</v>
      </c>
    </row>
    <row r="22" spans="1:5" ht="16" thickBot="1" x14ac:dyDescent="0.4">
      <c r="A22" s="7" t="s">
        <v>6</v>
      </c>
      <c r="B22" s="8" t="s">
        <v>21</v>
      </c>
      <c r="C22" s="14">
        <v>8.3299999999999999E-2</v>
      </c>
      <c r="D22" s="13">
        <f>ROUND(D13*C22,2)</f>
        <v>362.36</v>
      </c>
      <c r="E22" s="8" t="s">
        <v>19</v>
      </c>
    </row>
    <row r="23" spans="1:5" ht="16" thickBot="1" x14ac:dyDescent="0.4">
      <c r="A23" s="7" t="s">
        <v>9</v>
      </c>
      <c r="B23" s="8" t="s">
        <v>94</v>
      </c>
      <c r="C23" s="14">
        <v>0.1111</v>
      </c>
      <c r="D23" s="13">
        <f>ROUND(D13*C23,2)</f>
        <v>483.29</v>
      </c>
      <c r="E23" s="8" t="s">
        <v>121</v>
      </c>
    </row>
    <row r="24" spans="1:5" ht="16" thickBot="1" x14ac:dyDescent="0.4">
      <c r="A24" s="97" t="s">
        <v>89</v>
      </c>
      <c r="B24" s="98"/>
      <c r="C24" s="14">
        <f>SUM(C22:C23)</f>
        <v>0.19440000000000002</v>
      </c>
      <c r="D24" s="13">
        <f>SUM(D22:D23)</f>
        <v>845.65000000000009</v>
      </c>
      <c r="E24" s="8"/>
    </row>
    <row r="25" spans="1:5" ht="16" thickBot="1" x14ac:dyDescent="0.4">
      <c r="A25" s="7" t="s">
        <v>10</v>
      </c>
      <c r="B25" s="8" t="s">
        <v>88</v>
      </c>
      <c r="C25" s="14">
        <f>(C24*C40)</f>
        <v>6.5707200000000007E-2</v>
      </c>
      <c r="D25" s="13">
        <f>ROUND(D24*C25,2)</f>
        <v>55.57</v>
      </c>
      <c r="E25" s="8"/>
    </row>
    <row r="26" spans="1:5" ht="16" thickBot="1" x14ac:dyDescent="0.4">
      <c r="A26" s="91" t="s">
        <v>14</v>
      </c>
      <c r="B26" s="92"/>
      <c r="C26" s="14">
        <f>SUM(C24:C25)</f>
        <v>0.26010720000000004</v>
      </c>
      <c r="D26" s="13">
        <f>SUM(D24:D25)</f>
        <v>901.22000000000014</v>
      </c>
      <c r="E26" s="6"/>
    </row>
    <row r="29" spans="1:5" ht="15.65" customHeight="1" x14ac:dyDescent="0.35">
      <c r="A29" s="96" t="s">
        <v>85</v>
      </c>
      <c r="B29" s="96"/>
      <c r="C29" s="96"/>
      <c r="D29" s="96"/>
      <c r="E29" s="96"/>
    </row>
    <row r="30" spans="1:5" ht="16" thickBot="1" x14ac:dyDescent="0.4"/>
    <row r="31" spans="1:5" ht="16" thickBot="1" x14ac:dyDescent="0.4">
      <c r="A31" s="5" t="s">
        <v>22</v>
      </c>
      <c r="B31" s="6" t="s">
        <v>23</v>
      </c>
      <c r="C31" s="6" t="s">
        <v>18</v>
      </c>
      <c r="D31" s="6" t="s">
        <v>4</v>
      </c>
      <c r="E31" s="6" t="s">
        <v>5</v>
      </c>
    </row>
    <row r="32" spans="1:5" ht="16" thickBot="1" x14ac:dyDescent="0.4">
      <c r="A32" s="7" t="s">
        <v>11</v>
      </c>
      <c r="B32" s="8" t="s">
        <v>24</v>
      </c>
      <c r="C32" s="14">
        <v>0.2</v>
      </c>
      <c r="D32" s="13">
        <f>ROUND(D13*C32,2)</f>
        <v>870</v>
      </c>
      <c r="E32" s="8" t="s">
        <v>25</v>
      </c>
    </row>
    <row r="33" spans="1:5" ht="16" thickBot="1" x14ac:dyDescent="0.4">
      <c r="A33" s="7" t="s">
        <v>12</v>
      </c>
      <c r="B33" s="8" t="s">
        <v>26</v>
      </c>
      <c r="C33" s="14">
        <v>2.5000000000000001E-2</v>
      </c>
      <c r="D33" s="13">
        <f>ROUND(D13*C33,2)</f>
        <v>108.75</v>
      </c>
      <c r="E33" s="8" t="s">
        <v>27</v>
      </c>
    </row>
    <row r="34" spans="1:5" ht="16" thickBot="1" x14ac:dyDescent="0.4">
      <c r="A34" s="7" t="s">
        <v>13</v>
      </c>
      <c r="B34" s="8" t="s">
        <v>127</v>
      </c>
      <c r="C34" s="56">
        <f>Base!G2</f>
        <v>0</v>
      </c>
      <c r="D34" s="13">
        <f>ROUND(D13*C34,2)</f>
        <v>0</v>
      </c>
      <c r="E34" s="8" t="s">
        <v>128</v>
      </c>
    </row>
    <row r="35" spans="1:5" ht="16" thickBot="1" x14ac:dyDescent="0.4">
      <c r="A35" s="7" t="s">
        <v>28</v>
      </c>
      <c r="B35" s="8" t="s">
        <v>29</v>
      </c>
      <c r="C35" s="14">
        <v>1.4999999999999999E-2</v>
      </c>
      <c r="D35" s="13">
        <f>ROUND(D13*C35,2)</f>
        <v>65.25</v>
      </c>
      <c r="E35" s="8" t="s">
        <v>30</v>
      </c>
    </row>
    <row r="36" spans="1:5" ht="16" thickBot="1" x14ac:dyDescent="0.4">
      <c r="A36" s="7" t="s">
        <v>31</v>
      </c>
      <c r="B36" s="8" t="s">
        <v>32</v>
      </c>
      <c r="C36" s="14">
        <v>0.01</v>
      </c>
      <c r="D36" s="13">
        <f>ROUND(D13*C36,2)</f>
        <v>43.5</v>
      </c>
      <c r="E36" s="8" t="s">
        <v>33</v>
      </c>
    </row>
    <row r="37" spans="1:5" ht="16" thickBot="1" x14ac:dyDescent="0.4">
      <c r="A37" s="7" t="s">
        <v>34</v>
      </c>
      <c r="B37" s="8" t="s">
        <v>35</v>
      </c>
      <c r="C37" s="14">
        <v>6.0000000000000001E-3</v>
      </c>
      <c r="D37" s="13">
        <f>ROUND(D13*C37,2)</f>
        <v>26.1</v>
      </c>
      <c r="E37" s="8" t="s">
        <v>36</v>
      </c>
    </row>
    <row r="38" spans="1:5" ht="16" thickBot="1" x14ac:dyDescent="0.4">
      <c r="A38" s="7" t="s">
        <v>37</v>
      </c>
      <c r="B38" s="8" t="s">
        <v>38</v>
      </c>
      <c r="C38" s="14">
        <v>2E-3</v>
      </c>
      <c r="D38" s="13">
        <f>ROUND(D13*C38,2)</f>
        <v>8.6999999999999993</v>
      </c>
      <c r="E38" s="8" t="s">
        <v>39</v>
      </c>
    </row>
    <row r="39" spans="1:5" ht="16" thickBot="1" x14ac:dyDescent="0.4">
      <c r="A39" s="7" t="s">
        <v>40</v>
      </c>
      <c r="B39" s="8" t="s">
        <v>41</v>
      </c>
      <c r="C39" s="14">
        <v>0.08</v>
      </c>
      <c r="D39" s="13">
        <f>ROUND(D13*C39,2)</f>
        <v>348</v>
      </c>
      <c r="E39" s="8" t="s">
        <v>42</v>
      </c>
    </row>
    <row r="40" spans="1:5" ht="16" thickBot="1" x14ac:dyDescent="0.4">
      <c r="A40" s="91" t="s">
        <v>43</v>
      </c>
      <c r="B40" s="92"/>
      <c r="C40" s="14">
        <f>SUM(C32:C39)</f>
        <v>0.33800000000000002</v>
      </c>
      <c r="D40" s="13">
        <f>SUM(D32:D39)</f>
        <v>1470.3</v>
      </c>
      <c r="E40" s="6"/>
    </row>
    <row r="43" spans="1:5" x14ac:dyDescent="0.35">
      <c r="A43" s="93" t="s">
        <v>86</v>
      </c>
      <c r="B43" s="93"/>
      <c r="C43" s="93"/>
      <c r="D43" s="93"/>
      <c r="E43" s="93"/>
    </row>
    <row r="44" spans="1:5" ht="16" thickBot="1" x14ac:dyDescent="0.4"/>
    <row r="45" spans="1:5" ht="16" thickBot="1" x14ac:dyDescent="0.4">
      <c r="A45" s="5" t="s">
        <v>44</v>
      </c>
      <c r="B45" s="6" t="s">
        <v>45</v>
      </c>
      <c r="C45" s="6" t="s">
        <v>4</v>
      </c>
      <c r="D45" s="6" t="s">
        <v>46</v>
      </c>
      <c r="E45" s="6" t="s">
        <v>5</v>
      </c>
    </row>
    <row r="46" spans="1:5" ht="16" thickBot="1" x14ac:dyDescent="0.4">
      <c r="A46" s="7" t="s">
        <v>47</v>
      </c>
      <c r="B46" s="8" t="s">
        <v>48</v>
      </c>
      <c r="C46" s="58">
        <f>Base!G4</f>
        <v>6</v>
      </c>
      <c r="D46" s="74">
        <f>ROUND((C46*2*22)-(D12*0.06),2)</f>
        <v>3</v>
      </c>
      <c r="E46" s="8" t="s">
        <v>116</v>
      </c>
    </row>
    <row r="47" spans="1:5" ht="16" thickBot="1" x14ac:dyDescent="0.4">
      <c r="A47" s="7" t="s">
        <v>113</v>
      </c>
      <c r="B47" s="8" t="s">
        <v>50</v>
      </c>
      <c r="C47" s="58">
        <f>Base!G5</f>
        <v>1090</v>
      </c>
      <c r="D47" s="74">
        <f>ROUND(((C47+(C47/12))*0.8),2)</f>
        <v>944.67</v>
      </c>
      <c r="E47" s="8" t="s">
        <v>120</v>
      </c>
    </row>
    <row r="48" spans="1:5" ht="16" thickBot="1" x14ac:dyDescent="0.4">
      <c r="A48" s="7" t="s">
        <v>49</v>
      </c>
      <c r="B48" s="8" t="s">
        <v>122</v>
      </c>
      <c r="C48" s="74"/>
      <c r="D48" s="58">
        <f>Base!G6</f>
        <v>0</v>
      </c>
      <c r="E48" s="8" t="s">
        <v>112</v>
      </c>
    </row>
    <row r="49" spans="1:5" ht="16" thickBot="1" x14ac:dyDescent="0.4">
      <c r="A49" s="7" t="s">
        <v>114</v>
      </c>
      <c r="B49" s="8" t="s">
        <v>118</v>
      </c>
      <c r="C49" s="74"/>
      <c r="D49" s="58">
        <f>Base!G7</f>
        <v>0</v>
      </c>
      <c r="E49" s="8" t="s">
        <v>129</v>
      </c>
    </row>
    <row r="50" spans="1:5" ht="16" thickBot="1" x14ac:dyDescent="0.4">
      <c r="A50" s="7" t="s">
        <v>51</v>
      </c>
      <c r="B50" s="8" t="s">
        <v>131</v>
      </c>
      <c r="C50" s="74"/>
      <c r="D50" s="58">
        <f>Base!G8</f>
        <v>0</v>
      </c>
      <c r="E50" s="8" t="s">
        <v>132</v>
      </c>
    </row>
    <row r="51" spans="1:5" ht="16" thickBot="1" x14ac:dyDescent="0.4">
      <c r="A51" s="7" t="s">
        <v>115</v>
      </c>
      <c r="B51" s="8" t="s">
        <v>123</v>
      </c>
      <c r="C51" s="75"/>
      <c r="D51" s="58">
        <f>Base!G9</f>
        <v>0</v>
      </c>
      <c r="E51" s="8" t="s">
        <v>112</v>
      </c>
    </row>
    <row r="52" spans="1:5" ht="16" thickBot="1" x14ac:dyDescent="0.4">
      <c r="A52" s="7" t="s">
        <v>52</v>
      </c>
      <c r="B52" s="8" t="s">
        <v>87</v>
      </c>
      <c r="C52" s="75"/>
      <c r="D52" s="58">
        <f>Base!G10</f>
        <v>0</v>
      </c>
      <c r="E52" s="8" t="s">
        <v>130</v>
      </c>
    </row>
    <row r="53" spans="1:5" ht="16" thickBot="1" x14ac:dyDescent="0.4">
      <c r="A53" s="7" t="s">
        <v>117</v>
      </c>
      <c r="B53" s="8" t="s">
        <v>53</v>
      </c>
      <c r="C53" s="75"/>
      <c r="D53" s="58">
        <f>Base!G11</f>
        <v>0</v>
      </c>
      <c r="E53" s="8"/>
    </row>
    <row r="54" spans="1:5" ht="16" thickBot="1" x14ac:dyDescent="0.4">
      <c r="A54" s="7" t="s">
        <v>119</v>
      </c>
      <c r="B54" s="44" t="s">
        <v>124</v>
      </c>
      <c r="C54" s="29">
        <f>IF(K116+9.25%,-9.25%,0)</f>
        <v>-9.2499999999999999E-2</v>
      </c>
      <c r="D54" s="34">
        <f>ROUND(C54*(D46+D47+D52+D51),2)</f>
        <v>-87.66</v>
      </c>
      <c r="E54" s="8"/>
    </row>
    <row r="55" spans="1:5" ht="16" thickBot="1" x14ac:dyDescent="0.4">
      <c r="A55" s="91" t="s">
        <v>14</v>
      </c>
      <c r="B55" s="92"/>
      <c r="C55" s="13"/>
      <c r="D55" s="13">
        <f>SUM(D46:D54)</f>
        <v>860.01</v>
      </c>
      <c r="E55" s="18"/>
    </row>
    <row r="56" spans="1:5" x14ac:dyDescent="0.35">
      <c r="E56" s="15"/>
    </row>
    <row r="58" spans="1:5" x14ac:dyDescent="0.35">
      <c r="A58" s="93" t="s">
        <v>54</v>
      </c>
      <c r="B58" s="93"/>
      <c r="C58" s="93"/>
      <c r="D58" s="93"/>
    </row>
    <row r="59" spans="1:5" ht="16" thickBot="1" x14ac:dyDescent="0.4"/>
    <row r="60" spans="1:5" ht="16" thickBot="1" x14ac:dyDescent="0.4">
      <c r="A60" s="5">
        <v>2</v>
      </c>
      <c r="B60" s="6" t="s">
        <v>55</v>
      </c>
      <c r="C60" s="6" t="s">
        <v>18</v>
      </c>
      <c r="D60" s="6" t="s">
        <v>4</v>
      </c>
    </row>
    <row r="61" spans="1:5" ht="16" thickBot="1" x14ac:dyDescent="0.4">
      <c r="A61" s="7" t="s">
        <v>16</v>
      </c>
      <c r="B61" s="8" t="s">
        <v>17</v>
      </c>
      <c r="C61" s="9"/>
      <c r="D61" s="19">
        <f>D26</f>
        <v>901.22000000000014</v>
      </c>
    </row>
    <row r="62" spans="1:5" ht="16" thickBot="1" x14ac:dyDescent="0.4">
      <c r="A62" s="7" t="s">
        <v>20</v>
      </c>
      <c r="B62" s="8" t="s">
        <v>23</v>
      </c>
      <c r="C62" s="9"/>
      <c r="D62" s="19">
        <f>D40</f>
        <v>1470.3</v>
      </c>
    </row>
    <row r="63" spans="1:5" ht="16" thickBot="1" x14ac:dyDescent="0.4">
      <c r="A63" s="7" t="s">
        <v>22</v>
      </c>
      <c r="B63" s="8" t="s">
        <v>45</v>
      </c>
      <c r="C63" s="9"/>
      <c r="D63" s="19">
        <f>D55</f>
        <v>860.01</v>
      </c>
    </row>
    <row r="64" spans="1:5" ht="16" thickBot="1" x14ac:dyDescent="0.4">
      <c r="A64" s="91" t="s">
        <v>14</v>
      </c>
      <c r="B64" s="92"/>
      <c r="C64" s="9"/>
      <c r="D64" s="19">
        <f>SUM(D61:D63)</f>
        <v>3231.5299999999997</v>
      </c>
    </row>
    <row r="65" spans="1:12" x14ac:dyDescent="0.35">
      <c r="A65" s="20"/>
    </row>
    <row r="67" spans="1:12" x14ac:dyDescent="0.35">
      <c r="A67" s="93" t="s">
        <v>56</v>
      </c>
      <c r="B67" s="93"/>
      <c r="C67" s="93"/>
      <c r="D67" s="93"/>
      <c r="I67" s="30"/>
      <c r="J67" s="30"/>
      <c r="K67" s="30"/>
      <c r="L67" s="30"/>
    </row>
    <row r="68" spans="1:12" ht="16" thickBot="1" x14ac:dyDescent="0.4">
      <c r="I68" s="30"/>
      <c r="J68" s="30"/>
      <c r="K68" s="30"/>
      <c r="L68" s="30"/>
    </row>
    <row r="69" spans="1:12" ht="16" customHeight="1" thickBot="1" x14ac:dyDescent="0.4">
      <c r="A69" s="5">
        <v>3</v>
      </c>
      <c r="B69" s="6" t="s">
        <v>57</v>
      </c>
      <c r="C69" s="31" t="s">
        <v>18</v>
      </c>
      <c r="D69" s="5" t="s">
        <v>4</v>
      </c>
      <c r="E69" s="35" t="s">
        <v>103</v>
      </c>
      <c r="I69" s="30"/>
      <c r="J69" s="30"/>
      <c r="K69" s="30"/>
      <c r="L69" s="30"/>
    </row>
    <row r="70" spans="1:12" ht="16" thickBot="1" x14ac:dyDescent="0.4">
      <c r="A70" s="7" t="s">
        <v>6</v>
      </c>
      <c r="B70" s="21" t="s">
        <v>58</v>
      </c>
      <c r="C70" s="32">
        <v>8.3299999999999999E-2</v>
      </c>
      <c r="D70" s="36">
        <f>ROUND(C70*$D$13,2)</f>
        <v>362.36</v>
      </c>
      <c r="E70" s="45" t="s">
        <v>126</v>
      </c>
      <c r="I70" s="30"/>
      <c r="J70" s="30"/>
      <c r="K70" s="30"/>
      <c r="L70" s="30"/>
    </row>
    <row r="71" spans="1:12" ht="16" thickBot="1" x14ac:dyDescent="0.4">
      <c r="A71" s="7" t="s">
        <v>9</v>
      </c>
      <c r="B71" s="21" t="s">
        <v>59</v>
      </c>
      <c r="C71" s="32">
        <v>0.08</v>
      </c>
      <c r="D71" s="37">
        <f>ROUND(D70*C71,2)</f>
        <v>28.99</v>
      </c>
      <c r="E71" s="39" t="s">
        <v>104</v>
      </c>
      <c r="I71" s="30"/>
      <c r="J71" s="30"/>
      <c r="K71" s="30"/>
      <c r="L71" s="30"/>
    </row>
    <row r="72" spans="1:12" ht="16" thickBot="1" x14ac:dyDescent="0.4">
      <c r="A72" s="7" t="s">
        <v>10</v>
      </c>
      <c r="B72" s="21" t="s">
        <v>60</v>
      </c>
      <c r="C72" s="32">
        <v>3.2000000000000001E-2</v>
      </c>
      <c r="D72" s="37">
        <f t="shared" ref="D72:D73" si="0">ROUND(C72*$D$13,2)</f>
        <v>139.19999999999999</v>
      </c>
      <c r="E72" s="45" t="s">
        <v>92</v>
      </c>
      <c r="I72" s="30"/>
      <c r="J72" s="30"/>
      <c r="K72" s="30"/>
      <c r="L72" s="30"/>
    </row>
    <row r="73" spans="1:12" ht="16" thickBot="1" x14ac:dyDescent="0.4">
      <c r="A73" s="7" t="s">
        <v>11</v>
      </c>
      <c r="B73" s="21" t="s">
        <v>61</v>
      </c>
      <c r="C73" s="32">
        <v>1.9400000000000001E-2</v>
      </c>
      <c r="D73" s="38">
        <f t="shared" si="0"/>
        <v>84.39</v>
      </c>
      <c r="E73" s="45" t="s">
        <v>93</v>
      </c>
      <c r="I73" s="30"/>
      <c r="J73" s="30"/>
      <c r="K73" s="30"/>
      <c r="L73" s="30"/>
    </row>
    <row r="74" spans="1:12" ht="16" thickBot="1" x14ac:dyDescent="0.4">
      <c r="A74" s="7" t="s">
        <v>12</v>
      </c>
      <c r="B74" s="21" t="s">
        <v>62</v>
      </c>
      <c r="C74" s="32">
        <f>C73*C40</f>
        <v>6.5572000000000009E-3</v>
      </c>
      <c r="D74" s="38">
        <f>ROUND(D73*C74,2)</f>
        <v>0.55000000000000004</v>
      </c>
      <c r="E74" s="3" t="s">
        <v>105</v>
      </c>
      <c r="I74" s="30"/>
      <c r="J74" s="30"/>
      <c r="K74" s="30"/>
      <c r="L74" s="30"/>
    </row>
    <row r="75" spans="1:12" ht="16" thickBot="1" x14ac:dyDescent="0.4">
      <c r="A75" s="91" t="s">
        <v>14</v>
      </c>
      <c r="B75" s="92"/>
      <c r="C75" s="33">
        <f>SUM(C70:C74)</f>
        <v>0.22125720000000001</v>
      </c>
      <c r="D75" s="10">
        <f>SUM(D70:D74)</f>
        <v>615.4899999999999</v>
      </c>
      <c r="E75" s="3"/>
    </row>
    <row r="78" spans="1:12" x14ac:dyDescent="0.35">
      <c r="A78" s="93" t="s">
        <v>63</v>
      </c>
      <c r="B78" s="93"/>
      <c r="C78" s="93"/>
      <c r="D78" s="93"/>
    </row>
    <row r="81" spans="1:14" x14ac:dyDescent="0.35">
      <c r="A81" s="93" t="s">
        <v>96</v>
      </c>
      <c r="B81" s="93"/>
      <c r="C81" s="93"/>
      <c r="D81" s="93"/>
    </row>
    <row r="82" spans="1:14" ht="16" thickBot="1" x14ac:dyDescent="0.4">
      <c r="A82" s="12"/>
    </row>
    <row r="83" spans="1:14" ht="16" thickBot="1" x14ac:dyDescent="0.4">
      <c r="A83" s="5" t="s">
        <v>64</v>
      </c>
      <c r="B83" s="6" t="s">
        <v>95</v>
      </c>
      <c r="C83" s="31" t="s">
        <v>18</v>
      </c>
      <c r="D83" s="5" t="s">
        <v>4</v>
      </c>
      <c r="E83" s="35" t="s">
        <v>103</v>
      </c>
      <c r="K83" s="30"/>
      <c r="L83" s="30"/>
      <c r="M83" s="30"/>
      <c r="N83" s="30"/>
    </row>
    <row r="84" spans="1:14" ht="16" thickBot="1" x14ac:dyDescent="0.4">
      <c r="A84" s="7" t="s">
        <v>6</v>
      </c>
      <c r="B84" s="8" t="s">
        <v>97</v>
      </c>
      <c r="C84" s="40">
        <f>((1+1/3)/12)/12</f>
        <v>9.2592592592592587E-3</v>
      </c>
      <c r="D84" s="10">
        <f>ROUND(($D$13)*C84,2)</f>
        <v>40.28</v>
      </c>
      <c r="E84" s="41" t="s">
        <v>111</v>
      </c>
      <c r="K84" s="30"/>
      <c r="L84" s="30"/>
      <c r="M84" s="30"/>
      <c r="N84" s="30"/>
    </row>
    <row r="85" spans="1:14" ht="16" thickBot="1" x14ac:dyDescent="0.4">
      <c r="A85" s="7" t="s">
        <v>9</v>
      </c>
      <c r="B85" s="8" t="s">
        <v>98</v>
      </c>
      <c r="C85" s="59">
        <f>Base!G13</f>
        <v>2.8E-3</v>
      </c>
      <c r="D85" s="10">
        <f t="shared" ref="D85:D89" si="1">ROUND(($D$13)*C85,2)</f>
        <v>12.18</v>
      </c>
      <c r="E85" s="46" t="s">
        <v>107</v>
      </c>
      <c r="K85" s="30"/>
      <c r="L85" s="30"/>
      <c r="M85" s="30"/>
      <c r="N85" s="30"/>
    </row>
    <row r="86" spans="1:14" ht="16" thickBot="1" x14ac:dyDescent="0.4">
      <c r="A86" s="7" t="s">
        <v>10</v>
      </c>
      <c r="B86" s="8" t="s">
        <v>99</v>
      </c>
      <c r="C86" s="60">
        <f>Base!G14</f>
        <v>2.7777777777777778E-4</v>
      </c>
      <c r="D86" s="38">
        <f t="shared" si="1"/>
        <v>1.21</v>
      </c>
      <c r="E86" s="47" t="s">
        <v>109</v>
      </c>
      <c r="K86" s="30"/>
      <c r="L86" s="30"/>
      <c r="M86" s="30"/>
      <c r="N86" s="30"/>
    </row>
    <row r="87" spans="1:14" ht="16" thickBot="1" x14ac:dyDescent="0.4">
      <c r="A87" s="7" t="s">
        <v>11</v>
      </c>
      <c r="B87" s="8" t="s">
        <v>101</v>
      </c>
      <c r="C87" s="61">
        <f>Base!G15</f>
        <v>3.3333333333333331E-3</v>
      </c>
      <c r="D87" s="36">
        <f t="shared" si="1"/>
        <v>14.5</v>
      </c>
      <c r="E87" s="48" t="s">
        <v>108</v>
      </c>
      <c r="K87" s="30"/>
      <c r="L87" s="30"/>
      <c r="M87" s="30"/>
      <c r="N87" s="30"/>
    </row>
    <row r="88" spans="1:14" ht="16" thickBot="1" x14ac:dyDescent="0.4">
      <c r="A88" s="7" t="s">
        <v>12</v>
      </c>
      <c r="B88" s="8" t="s">
        <v>102</v>
      </c>
      <c r="C88" s="59">
        <f>Base!G16</f>
        <v>1.6555555555555553E-2</v>
      </c>
      <c r="D88" s="38">
        <f t="shared" si="1"/>
        <v>72.02</v>
      </c>
      <c r="E88" s="48" t="s">
        <v>110</v>
      </c>
      <c r="K88" s="30"/>
      <c r="L88" s="30"/>
      <c r="M88" s="30"/>
      <c r="N88" s="30"/>
    </row>
    <row r="89" spans="1:14" ht="16" thickBot="1" x14ac:dyDescent="0.4">
      <c r="A89" s="7" t="s">
        <v>13</v>
      </c>
      <c r="B89" s="8" t="s">
        <v>100</v>
      </c>
      <c r="C89" s="60">
        <f>Base!G17</f>
        <v>4.2986666666666666E-5</v>
      </c>
      <c r="D89" s="10">
        <f t="shared" si="1"/>
        <v>0.19</v>
      </c>
      <c r="E89" s="48" t="s">
        <v>106</v>
      </c>
      <c r="K89" s="30"/>
      <c r="L89" s="30"/>
      <c r="M89" s="30"/>
      <c r="N89" s="30"/>
    </row>
    <row r="90" spans="1:14" ht="16" thickBot="1" x14ac:dyDescent="0.4">
      <c r="A90" s="91" t="s">
        <v>90</v>
      </c>
      <c r="B90" s="92"/>
      <c r="C90" s="32">
        <f>SUM(C84:C88)</f>
        <v>3.2225925925925922E-2</v>
      </c>
      <c r="D90" s="10">
        <f>SUM(D84:D88)</f>
        <v>140.19</v>
      </c>
      <c r="E90" s="42"/>
      <c r="K90" s="30"/>
      <c r="L90" s="30"/>
      <c r="M90" s="30"/>
      <c r="N90" s="30"/>
    </row>
    <row r="91" spans="1:14" ht="16" thickBot="1" x14ac:dyDescent="0.4">
      <c r="A91" s="7" t="s">
        <v>28</v>
      </c>
      <c r="B91" s="8" t="s">
        <v>91</v>
      </c>
      <c r="C91" s="32">
        <f>C90*C40</f>
        <v>1.0892362962962962E-2</v>
      </c>
      <c r="D91" s="10">
        <f>D90*C91</f>
        <v>1.5270003637777776</v>
      </c>
      <c r="E91" s="43"/>
    </row>
    <row r="92" spans="1:14" ht="16" thickBot="1" x14ac:dyDescent="0.4">
      <c r="A92" s="91" t="s">
        <v>43</v>
      </c>
      <c r="B92" s="92"/>
      <c r="C92" s="33">
        <f>SUM(C90:C91)</f>
        <v>4.3118288888888884E-2</v>
      </c>
      <c r="D92" s="10">
        <f>SUM(D90:D91)</f>
        <v>141.71700036377777</v>
      </c>
      <c r="E92" s="41"/>
    </row>
    <row r="94" spans="1:14" x14ac:dyDescent="0.35">
      <c r="A94" s="93" t="s">
        <v>65</v>
      </c>
      <c r="B94" s="93"/>
      <c r="C94" s="93"/>
    </row>
    <row r="95" spans="1:14" ht="16" thickBot="1" x14ac:dyDescent="0.4">
      <c r="A95" s="12"/>
    </row>
    <row r="96" spans="1:14" ht="16" thickBot="1" x14ac:dyDescent="0.4">
      <c r="A96" s="5">
        <v>4</v>
      </c>
      <c r="B96" s="6" t="s">
        <v>66</v>
      </c>
      <c r="C96" s="6" t="s">
        <v>4</v>
      </c>
    </row>
    <row r="97" spans="1:4" ht="16" thickBot="1" x14ac:dyDescent="0.4">
      <c r="A97" s="7" t="s">
        <v>64</v>
      </c>
      <c r="B97" s="8" t="s">
        <v>95</v>
      </c>
      <c r="C97" s="19">
        <f>D92</f>
        <v>141.71700036377777</v>
      </c>
    </row>
    <row r="98" spans="1:4" ht="16" thickBot="1" x14ac:dyDescent="0.4">
      <c r="A98" s="91" t="s">
        <v>14</v>
      </c>
      <c r="B98" s="92"/>
      <c r="C98" s="19">
        <f>C97</f>
        <v>141.71700036377777</v>
      </c>
    </row>
    <row r="101" spans="1:4" x14ac:dyDescent="0.35">
      <c r="A101" s="93" t="s">
        <v>67</v>
      </c>
      <c r="B101" s="93"/>
      <c r="C101" s="93"/>
    </row>
    <row r="102" spans="1:4" ht="16" thickBot="1" x14ac:dyDescent="0.4"/>
    <row r="103" spans="1:4" ht="16" thickBot="1" x14ac:dyDescent="0.4">
      <c r="A103" s="63">
        <v>5</v>
      </c>
      <c r="B103" s="64" t="s">
        <v>68</v>
      </c>
      <c r="C103" s="65" t="s">
        <v>4</v>
      </c>
    </row>
    <row r="104" spans="1:4" ht="16" thickBot="1" x14ac:dyDescent="0.4">
      <c r="A104" s="66" t="s">
        <v>6</v>
      </c>
      <c r="B104" s="67" t="s">
        <v>125</v>
      </c>
      <c r="C104" s="68" t="s">
        <v>125</v>
      </c>
    </row>
    <row r="105" spans="1:4" ht="16" thickBot="1" x14ac:dyDescent="0.4">
      <c r="A105" s="94" t="s">
        <v>43</v>
      </c>
      <c r="B105" s="95"/>
      <c r="C105" s="69">
        <f>SUM(C104:C104)</f>
        <v>0</v>
      </c>
    </row>
    <row r="108" spans="1:4" x14ac:dyDescent="0.35">
      <c r="A108" s="93" t="s">
        <v>69</v>
      </c>
      <c r="B108" s="93"/>
      <c r="C108" s="93"/>
      <c r="D108" s="93"/>
    </row>
    <row r="109" spans="1:4" ht="16" thickBot="1" x14ac:dyDescent="0.4"/>
    <row r="110" spans="1:4" ht="16" thickBot="1" x14ac:dyDescent="0.4">
      <c r="A110" s="5">
        <v>6</v>
      </c>
      <c r="B110" s="22" t="s">
        <v>70</v>
      </c>
      <c r="C110" s="6" t="s">
        <v>18</v>
      </c>
      <c r="D110" s="6" t="s">
        <v>4</v>
      </c>
    </row>
    <row r="111" spans="1:4" ht="16" thickBot="1" x14ac:dyDescent="0.4">
      <c r="A111" s="7" t="s">
        <v>6</v>
      </c>
      <c r="B111" s="8" t="s">
        <v>71</v>
      </c>
      <c r="C111" s="56">
        <f>Base!G19</f>
        <v>0</v>
      </c>
      <c r="D111" s="13">
        <f>ROUND(((C128)*C111),2)</f>
        <v>0</v>
      </c>
    </row>
    <row r="112" spans="1:4" ht="16" thickBot="1" x14ac:dyDescent="0.4">
      <c r="A112" s="7" t="s">
        <v>9</v>
      </c>
      <c r="B112" s="8" t="s">
        <v>72</v>
      </c>
      <c r="C112" s="56">
        <f>Base!G20</f>
        <v>0</v>
      </c>
      <c r="D112" s="13">
        <f>ROUND(((C128+D111)*C112),2)</f>
        <v>0</v>
      </c>
    </row>
    <row r="113" spans="1:11" ht="16" thickBot="1" x14ac:dyDescent="0.4">
      <c r="A113" s="7" t="s">
        <v>10</v>
      </c>
      <c r="B113" s="8" t="s">
        <v>73</v>
      </c>
      <c r="C113" s="62">
        <f>SUM(C114:C116)</f>
        <v>0.05</v>
      </c>
      <c r="D113" s="13">
        <f>ROUND(SUM(D114:D116),2)</f>
        <v>438.88</v>
      </c>
    </row>
    <row r="114" spans="1:11" ht="16" thickBot="1" x14ac:dyDescent="0.4">
      <c r="A114" s="7"/>
      <c r="B114" s="8" t="s">
        <v>141</v>
      </c>
      <c r="C114" s="56">
        <f>Base!G21</f>
        <v>0</v>
      </c>
      <c r="D114" s="13">
        <f>ROUND(C114*((C128+D111+D112)/(1-C133)),2)</f>
        <v>0</v>
      </c>
    </row>
    <row r="115" spans="1:11" ht="16" thickBot="1" x14ac:dyDescent="0.4">
      <c r="A115" s="7"/>
      <c r="B115" s="8" t="s">
        <v>142</v>
      </c>
      <c r="C115" s="56">
        <f>Base!G22</f>
        <v>0</v>
      </c>
      <c r="D115" s="13">
        <f>ROUND(C115*((C128+D111+D112)/(1-C133)),2)</f>
        <v>0</v>
      </c>
    </row>
    <row r="116" spans="1:11" ht="16" thickBot="1" x14ac:dyDescent="0.4">
      <c r="A116" s="7"/>
      <c r="B116" s="8" t="s">
        <v>74</v>
      </c>
      <c r="C116" s="56">
        <f>Base!G23</f>
        <v>0.05</v>
      </c>
      <c r="D116" s="13">
        <f>ROUND(C116*((C128+D111+D112)/(1-C133)),2)</f>
        <v>438.88</v>
      </c>
      <c r="K116" s="49">
        <f>C114+C115</f>
        <v>0</v>
      </c>
    </row>
    <row r="117" spans="1:11" ht="16" thickBot="1" x14ac:dyDescent="0.4">
      <c r="A117" s="91" t="s">
        <v>43</v>
      </c>
      <c r="B117" s="92"/>
      <c r="C117" s="11"/>
      <c r="D117" s="13">
        <f>ROUND(SUM(D111:D113),2)</f>
        <v>438.88</v>
      </c>
    </row>
    <row r="120" spans="1:11" x14ac:dyDescent="0.35">
      <c r="A120" s="93" t="s">
        <v>75</v>
      </c>
      <c r="B120" s="93"/>
      <c r="C120" s="93"/>
    </row>
    <row r="121" spans="1:11" ht="16" thickBot="1" x14ac:dyDescent="0.4"/>
    <row r="122" spans="1:11" ht="16" thickBot="1" x14ac:dyDescent="0.4">
      <c r="A122" s="5"/>
      <c r="B122" s="6" t="s">
        <v>76</v>
      </c>
      <c r="C122" s="6" t="s">
        <v>4</v>
      </c>
    </row>
    <row r="123" spans="1:11" ht="16" thickBot="1" x14ac:dyDescent="0.4">
      <c r="A123" s="23" t="s">
        <v>6</v>
      </c>
      <c r="B123" s="8" t="s">
        <v>2</v>
      </c>
      <c r="C123" s="24">
        <f>D13</f>
        <v>4350</v>
      </c>
    </row>
    <row r="124" spans="1:11" ht="16" thickBot="1" x14ac:dyDescent="0.4">
      <c r="A124" s="23" t="s">
        <v>9</v>
      </c>
      <c r="B124" s="8" t="s">
        <v>15</v>
      </c>
      <c r="C124" s="24">
        <f>D64</f>
        <v>3231.5299999999997</v>
      </c>
    </row>
    <row r="125" spans="1:11" ht="16" thickBot="1" x14ac:dyDescent="0.4">
      <c r="A125" s="23" t="s">
        <v>10</v>
      </c>
      <c r="B125" s="8" t="s">
        <v>56</v>
      </c>
      <c r="C125" s="24">
        <f>D75</f>
        <v>615.4899999999999</v>
      </c>
    </row>
    <row r="126" spans="1:11" ht="16" thickBot="1" x14ac:dyDescent="0.4">
      <c r="A126" s="23" t="s">
        <v>11</v>
      </c>
      <c r="B126" s="8" t="s">
        <v>63</v>
      </c>
      <c r="C126" s="24">
        <f>C98</f>
        <v>141.71700036377777</v>
      </c>
    </row>
    <row r="127" spans="1:11" ht="16" thickBot="1" x14ac:dyDescent="0.4">
      <c r="A127" s="23" t="s">
        <v>12</v>
      </c>
      <c r="B127" s="8" t="s">
        <v>67</v>
      </c>
      <c r="C127" s="24">
        <f>C105</f>
        <v>0</v>
      </c>
    </row>
    <row r="128" spans="1:11" ht="16" thickBot="1" x14ac:dyDescent="0.4">
      <c r="A128" s="91" t="s">
        <v>77</v>
      </c>
      <c r="B128" s="92"/>
      <c r="C128" s="24">
        <f>ROUND(C123+C124+C125+C126+C127,2)</f>
        <v>8338.74</v>
      </c>
    </row>
    <row r="129" spans="1:3" ht="16" thickBot="1" x14ac:dyDescent="0.4">
      <c r="A129" s="23" t="s">
        <v>13</v>
      </c>
      <c r="B129" s="8" t="s">
        <v>78</v>
      </c>
      <c r="C129" s="25">
        <f>D117</f>
        <v>438.88</v>
      </c>
    </row>
    <row r="130" spans="1:3" ht="16" thickBot="1" x14ac:dyDescent="0.4">
      <c r="A130" s="91" t="s">
        <v>79</v>
      </c>
      <c r="B130" s="92"/>
      <c r="C130" s="24">
        <f>ROUND(C128+C129,2)</f>
        <v>8777.6200000000008</v>
      </c>
    </row>
    <row r="133" spans="1:3" hidden="1" x14ac:dyDescent="0.35">
      <c r="A133" s="1" t="s">
        <v>80</v>
      </c>
      <c r="C133" s="26">
        <f>C113</f>
        <v>0.05</v>
      </c>
    </row>
    <row r="134" spans="1:3" hidden="1" x14ac:dyDescent="0.35">
      <c r="A134" s="1" t="s">
        <v>81</v>
      </c>
      <c r="C134" s="27">
        <f>D13+D64+D75+C98+C105+D111+D112</f>
        <v>8338.7370003637789</v>
      </c>
    </row>
    <row r="135" spans="1:3" hidden="1" x14ac:dyDescent="0.35">
      <c r="A135" s="1" t="s">
        <v>82</v>
      </c>
      <c r="C135" s="1">
        <f>TRUNC(C134/(1-C133),2)</f>
        <v>8777.61</v>
      </c>
    </row>
    <row r="136" spans="1:3" hidden="1" x14ac:dyDescent="0.35">
      <c r="A136" s="1" t="s">
        <v>83</v>
      </c>
      <c r="C136" s="27">
        <f>C135-C134</f>
        <v>438.87299963622172</v>
      </c>
    </row>
  </sheetData>
  <sheetProtection algorithmName="SHA-512" hashValue="b9nwIpQTSSTDo/sV5DB8xdLFrpD7Gnh9xJghjQffIfvk1hbXOruxEIFTFGKFkI1lcObdiTmXRQa4dWzTnNM+9Q==" saltValue="E1PhvkZUsn3FywURxaWvJg==" spinCount="100000" sheet="1" objects="1" scenarios="1" selectLockedCells="1" selectUnlockedCells="1"/>
  <protectedRanges>
    <protectedRange algorithmName="SHA-512" hashValue="DTBgpaHhc9nEoKLGjHatGhRXNTNOGWWhyoMlimvXfB33n6TdEsBn1EGaaKdtAgwVI/wzYa/LHnrei0wXE60UFA==" saltValue="MjcTX6eLnyf4eF8erjOakA==" spinCount="100000" sqref="A12:D12 A13 D13" name="Intervalo2"/>
    <protectedRange algorithmName="SHA-512" hashValue="xnqye0zzuEsJ5+2oYzqX+qnSX1pyDiUdwgcXvT3bbZx4Ki9MNkk3bDrNvMPw+swgOr7oO7f3gPiUaGsamZmqBQ==" saltValue="g5tvExNTSJVdZ2A3KoDzbA==" spinCount="100000" sqref="B6" name="Intervalo1"/>
  </protectedRanges>
  <mergeCells count="28">
    <mergeCell ref="A24:B24"/>
    <mergeCell ref="B3:C3"/>
    <mergeCell ref="A9:E9"/>
    <mergeCell ref="A13:B13"/>
    <mergeCell ref="A16:E16"/>
    <mergeCell ref="A19:E19"/>
    <mergeCell ref="A90:B90"/>
    <mergeCell ref="A26:B26"/>
    <mergeCell ref="A29:E29"/>
    <mergeCell ref="A40:B40"/>
    <mergeCell ref="A43:E43"/>
    <mergeCell ref="A55:B55"/>
    <mergeCell ref="A58:D58"/>
    <mergeCell ref="A64:B64"/>
    <mergeCell ref="A67:D67"/>
    <mergeCell ref="A75:B75"/>
    <mergeCell ref="A78:D78"/>
    <mergeCell ref="A81:D81"/>
    <mergeCell ref="A117:B117"/>
    <mergeCell ref="A120:C120"/>
    <mergeCell ref="A128:B128"/>
    <mergeCell ref="A130:B130"/>
    <mergeCell ref="A92:B92"/>
    <mergeCell ref="A94:C94"/>
    <mergeCell ref="A98:B98"/>
    <mergeCell ref="A101:C101"/>
    <mergeCell ref="A105:B105"/>
    <mergeCell ref="A108:D108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6A64BF-968F-48C4-9877-75B730928E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a6fd5b-3eb0-4ab6-b0bd-3d44e9cd361b"/>
    <ds:schemaRef ds:uri="a825b47f-d537-4ba3-ae70-a25b86e5b96f"/>
    <ds:schemaRef ds:uri="4972bdeb-71e7-4f78-a412-0e79ef21ab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7309BD-84DA-4BDB-B8C1-D289DBA5DA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1BD271-E363-447E-A23A-E5EEA3CB8010}">
  <ds:schemaRefs>
    <ds:schemaRef ds:uri="http://schemas.microsoft.com/sharepoint/v3"/>
    <ds:schemaRef ds:uri="4972bdeb-71e7-4f78-a412-0e79ef21ab88"/>
    <ds:schemaRef ds:uri="http://schemas.microsoft.com/office/2006/metadata/properties"/>
    <ds:schemaRef ds:uri="http://purl.org/dc/dcmitype/"/>
    <ds:schemaRef ds:uri="a825b47f-d537-4ba3-ae70-a25b86e5b96f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8a6fd5b-3eb0-4ab6-b0bd-3d44e9cd361b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317d0ede-aeba-4cac-a28d-f0cae284d260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Base</vt:lpstr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de Almeida Rampa Pires</dc:creator>
  <cp:lastModifiedBy>Martina Dummer</cp:lastModifiedBy>
  <dcterms:created xsi:type="dcterms:W3CDTF">2023-05-26T19:08:05Z</dcterms:created>
  <dcterms:modified xsi:type="dcterms:W3CDTF">2026-04-23T19:06:14Z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17d0ede-aeba-4cac-a28d-f0cae284d260_Enabled">
    <vt:lpwstr>true</vt:lpwstr>
  </property>
  <property fmtid="{D5CDD505-2E9C-101B-9397-08002B2CF9AE}" pid="3" name="MSIP_Label_317d0ede-aeba-4cac-a28d-f0cae284d260_SetDate">
    <vt:lpwstr>2023-05-26T19:08:14Z</vt:lpwstr>
  </property>
  <property fmtid="{D5CDD505-2E9C-101B-9397-08002B2CF9AE}" pid="4" name="MSIP_Label_317d0ede-aeba-4cac-a28d-f0cae284d260_Method">
    <vt:lpwstr>Privileged</vt:lpwstr>
  </property>
  <property fmtid="{D5CDD505-2E9C-101B-9397-08002B2CF9AE}" pid="5" name="MSIP_Label_317d0ede-aeba-4cac-a28d-f0cae284d260_Name">
    <vt:lpwstr>PR - Interno</vt:lpwstr>
  </property>
  <property fmtid="{D5CDD505-2E9C-101B-9397-08002B2CF9AE}" pid="6" name="MSIP_Label_317d0ede-aeba-4cac-a28d-f0cae284d260_SiteId">
    <vt:lpwstr>97298271-1bd7-4ac5-935b-88addef636cc</vt:lpwstr>
  </property>
  <property fmtid="{D5CDD505-2E9C-101B-9397-08002B2CF9AE}" pid="7" name="MSIP_Label_317d0ede-aeba-4cac-a28d-f0cae284d260_ActionId">
    <vt:lpwstr>2af241b4-3a71-4a26-9f83-cd92f4b79e7c</vt:lpwstr>
  </property>
  <property fmtid="{D5CDD505-2E9C-101B-9397-08002B2CF9AE}" pid="8" name="MSIP_Label_317d0ede-aeba-4cac-a28d-f0cae284d260_ContentBits">
    <vt:lpwstr>1</vt:lpwstr>
  </property>
  <property fmtid="{D5CDD505-2E9C-101B-9397-08002B2CF9AE}" pid="9" name="ContentTypeId">
    <vt:lpwstr>0x0101008495AE8EAD09A743B5D1E46D9C2600C2</vt:lpwstr>
  </property>
  <property fmtid="{D5CDD505-2E9C-101B-9397-08002B2CF9AE}" pid="10" name="MediaServiceImageTags">
    <vt:lpwstr/>
  </property>
</Properties>
</file>