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embeddings/oleObject5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X:\sec-dg-dfil\DFIL\Daniele\NOVO\Campo Mourao\Pavimentacao\Orcamento\Custos indiretos\"/>
    </mc:Choice>
  </mc:AlternateContent>
  <xr:revisionPtr revIDLastSave="0" documentId="13_ncr:1_{BAA0B1C0-5F90-4E54-96E9-2DA92352DCF2}" xr6:coauthVersionLast="47" xr6:coauthVersionMax="47" xr10:uidLastSave="{00000000-0000-0000-0000-000000000000}"/>
  <bookViews>
    <workbookView xWindow="-28920" yWindow="-195" windowWidth="29040" windowHeight="15720" activeTab="4" xr2:uid="{00000000-000D-0000-FFFF-FFFF00000000}"/>
  </bookViews>
  <sheets>
    <sheet name="DMT" sheetId="2" r:id="rId1"/>
    <sheet name="DER-PR_FU" sheetId="3" r:id="rId2"/>
    <sheet name="Transporte - FU" sheetId="4" r:id="rId3"/>
    <sheet name="CHP" sheetId="5" r:id="rId4"/>
    <sheet name="MD_EQ" sheetId="7" r:id="rId5"/>
    <sheet name="MO" sheetId="8" r:id="rId6"/>
    <sheet name="MD_MO" sheetId="9" r:id="rId7"/>
    <sheet name="hora.Equip.obra" sheetId="10" r:id="rId8"/>
    <sheet name="Pedagios" sheetId="11" r:id="rId9"/>
    <sheet name="hora.mo.obra" sheetId="12" r:id="rId10"/>
  </sheets>
  <externalReferences>
    <externalReference r:id="rId11"/>
  </externalReferences>
  <definedNames>
    <definedName name="_xlnm.Print_Area" localSheetId="4">MD_EQ!$A$1:$M$167</definedName>
    <definedName name="_xlnm.Print_Area" localSheetId="6">MD_MO!$A$1:$L$91</definedName>
    <definedName name="EQUIP" localSheetId="4">#REF!</definedName>
    <definedName name="EQUIP" localSheetId="6">#REF!</definedName>
    <definedName name="EQUIP">[1]Equip!$A$1:$F$500</definedName>
    <definedName name="MO" localSheetId="4">#REF!</definedName>
    <definedName name="MO" localSheetId="6">#REF!</definedName>
    <definedName name="MO">[1]MO!$A$1:$D$500</definedName>
    <definedName name="PEM" localSheetId="4">#REF!</definedName>
    <definedName name="PEM" localSheetId="6">#REF!</definedName>
    <definedName name="PEM">#REF!</definedName>
    <definedName name="_xlnm.Print_Titles" localSheetId="4">MD_EQ!$1:$6</definedName>
    <definedName name="_xlnm.Print_Titles" localSheetId="6">MD_MO!$1:$3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151" i="7" l="1"/>
  <c r="L152" i="7"/>
  <c r="L154" i="7"/>
  <c r="L155" i="7"/>
  <c r="F206" i="11" a="1"/>
  <c r="F206" i="11" s="1"/>
  <c r="E13" i="7" l="1"/>
  <c r="L13" i="7" s="1"/>
  <c r="E14" i="7"/>
  <c r="L14" i="7" s="1"/>
  <c r="E15" i="7"/>
  <c r="L15" i="7" s="1"/>
  <c r="E16" i="7"/>
  <c r="E17" i="7"/>
  <c r="L17" i="7" s="1"/>
  <c r="E18" i="7"/>
  <c r="L18" i="7" s="1"/>
  <c r="E19" i="7"/>
  <c r="L19" i="7" s="1"/>
  <c r="E20" i="7"/>
  <c r="L20" i="7" s="1"/>
  <c r="E21" i="7"/>
  <c r="L21" i="7" s="1"/>
  <c r="E22" i="7"/>
  <c r="L22" i="7" s="1"/>
  <c r="E23" i="7"/>
  <c r="E24" i="7"/>
  <c r="L24" i="7" s="1"/>
  <c r="E25" i="7"/>
  <c r="L25" i="7" s="1"/>
  <c r="E26" i="7"/>
  <c r="L26" i="7" s="1"/>
  <c r="E27" i="7"/>
  <c r="E28" i="7"/>
  <c r="L28" i="7" s="1"/>
  <c r="E29" i="7"/>
  <c r="L29" i="7" s="1"/>
  <c r="E30" i="7"/>
  <c r="L30" i="7" s="1"/>
  <c r="E31" i="7"/>
  <c r="L31" i="7" s="1"/>
  <c r="E32" i="7"/>
  <c r="L32" i="7" s="1"/>
  <c r="E33" i="7"/>
  <c r="L33" i="7" s="1"/>
  <c r="E34" i="7"/>
  <c r="E35" i="7"/>
  <c r="E36" i="7"/>
  <c r="L36" i="7" s="1"/>
  <c r="E37" i="7"/>
  <c r="L37" i="7" s="1"/>
  <c r="E38" i="7"/>
  <c r="E39" i="7"/>
  <c r="L39" i="7" s="1"/>
  <c r="E40" i="7"/>
  <c r="E41" i="7"/>
  <c r="L41" i="7" s="1"/>
  <c r="E42" i="7"/>
  <c r="L42" i="7" s="1"/>
  <c r="E43" i="7"/>
  <c r="E44" i="7"/>
  <c r="L44" i="7" s="1"/>
  <c r="E45" i="7"/>
  <c r="L45" i="7" s="1"/>
  <c r="E46" i="7"/>
  <c r="L46" i="7" s="1"/>
  <c r="E47" i="7"/>
  <c r="L47" i="7" s="1"/>
  <c r="E48" i="7"/>
  <c r="L48" i="7" s="1"/>
  <c r="E49" i="7"/>
  <c r="L49" i="7" s="1"/>
  <c r="E50" i="7"/>
  <c r="L50" i="7" s="1"/>
  <c r="E51" i="7"/>
  <c r="L51" i="7" s="1"/>
  <c r="E52" i="7"/>
  <c r="L52" i="7" s="1"/>
  <c r="E53" i="7"/>
  <c r="L53" i="7" s="1"/>
  <c r="E54" i="7"/>
  <c r="L54" i="7" s="1"/>
  <c r="E55" i="7"/>
  <c r="L55" i="7" s="1"/>
  <c r="E56" i="7"/>
  <c r="L56" i="7" s="1"/>
  <c r="E57" i="7"/>
  <c r="E58" i="7"/>
  <c r="L58" i="7" s="1"/>
  <c r="E59" i="7"/>
  <c r="L59" i="7" s="1"/>
  <c r="E60" i="7"/>
  <c r="E61" i="7"/>
  <c r="L61" i="7" s="1"/>
  <c r="E62" i="7"/>
  <c r="L62" i="7" s="1"/>
  <c r="E63" i="7"/>
  <c r="E64" i="7"/>
  <c r="L64" i="7" s="1"/>
  <c r="E65" i="7"/>
  <c r="L65" i="7" s="1"/>
  <c r="E66" i="7"/>
  <c r="L66" i="7" s="1"/>
  <c r="E67" i="7"/>
  <c r="L67" i="7" s="1"/>
  <c r="E68" i="7"/>
  <c r="L68" i="7" s="1"/>
  <c r="E69" i="7"/>
  <c r="E70" i="7"/>
  <c r="L70" i="7" s="1"/>
  <c r="E71" i="7"/>
  <c r="L71" i="7" s="1"/>
  <c r="E72" i="7"/>
  <c r="E73" i="7"/>
  <c r="L73" i="7" s="1"/>
  <c r="E74" i="7"/>
  <c r="L74" i="7" s="1"/>
  <c r="E75" i="7"/>
  <c r="L75" i="7" s="1"/>
  <c r="E76" i="7"/>
  <c r="E77" i="7"/>
  <c r="L77" i="7" s="1"/>
  <c r="E78" i="7"/>
  <c r="L78" i="7" s="1"/>
  <c r="E79" i="7"/>
  <c r="L79" i="7" s="1"/>
  <c r="E80" i="7"/>
  <c r="L80" i="7" s="1"/>
  <c r="E81" i="7"/>
  <c r="L81" i="7" s="1"/>
  <c r="E82" i="7"/>
  <c r="E83" i="7"/>
  <c r="L83" i="7" s="1"/>
  <c r="E84" i="7"/>
  <c r="E85" i="7"/>
  <c r="E86" i="7"/>
  <c r="L86" i="7" s="1"/>
  <c r="E87" i="7"/>
  <c r="E88" i="7"/>
  <c r="L88" i="7" s="1"/>
  <c r="E89" i="7"/>
  <c r="L89" i="7" s="1"/>
  <c r="E90" i="7"/>
  <c r="L90" i="7" s="1"/>
  <c r="E91" i="7"/>
  <c r="L91" i="7" s="1"/>
  <c r="E92" i="7"/>
  <c r="L92" i="7" s="1"/>
  <c r="E93" i="7"/>
  <c r="L93" i="7" s="1"/>
  <c r="E94" i="7"/>
  <c r="L94" i="7" s="1"/>
  <c r="E95" i="7"/>
  <c r="L95" i="7" s="1"/>
  <c r="E96" i="7"/>
  <c r="L96" i="7" s="1"/>
  <c r="E97" i="7"/>
  <c r="L97" i="7" s="1"/>
  <c r="E98" i="7"/>
  <c r="E99" i="7"/>
  <c r="E100" i="7"/>
  <c r="L100" i="7" s="1"/>
  <c r="E101" i="7"/>
  <c r="L101" i="7" s="1"/>
  <c r="E102" i="7"/>
  <c r="L102" i="7" s="1"/>
  <c r="E103" i="7"/>
  <c r="L103" i="7" s="1"/>
  <c r="E104" i="7"/>
  <c r="L104" i="7" s="1"/>
  <c r="E105" i="7"/>
  <c r="E106" i="7"/>
  <c r="L106" i="7" s="1"/>
  <c r="E107" i="7"/>
  <c r="E108" i="7"/>
  <c r="L108" i="7" s="1"/>
  <c r="E109" i="7"/>
  <c r="L109" i="7" s="1"/>
  <c r="E110" i="7"/>
  <c r="E111" i="7"/>
  <c r="L111" i="7" s="1"/>
  <c r="E112" i="7"/>
  <c r="L112" i="7" s="1"/>
  <c r="E113" i="7"/>
  <c r="L113" i="7" s="1"/>
  <c r="E114" i="7"/>
  <c r="E115" i="7"/>
  <c r="L115" i="7" s="1"/>
  <c r="E116" i="7"/>
  <c r="L116" i="7" s="1"/>
  <c r="E117" i="7"/>
  <c r="L117" i="7" s="1"/>
  <c r="E118" i="7"/>
  <c r="E119" i="7"/>
  <c r="E120" i="7"/>
  <c r="E121" i="7"/>
  <c r="E122" i="7"/>
  <c r="L122" i="7" s="1"/>
  <c r="E123" i="7"/>
  <c r="L123" i="7" s="1"/>
  <c r="E124" i="7"/>
  <c r="L124" i="7" s="1"/>
  <c r="E125" i="7"/>
  <c r="L125" i="7" s="1"/>
  <c r="E126" i="7"/>
  <c r="L126" i="7" s="1"/>
  <c r="E127" i="7"/>
  <c r="L127" i="7" s="1"/>
  <c r="E128" i="7"/>
  <c r="L128" i="7" s="1"/>
  <c r="E129" i="7"/>
  <c r="L129" i="7" s="1"/>
  <c r="E130" i="7"/>
  <c r="L130" i="7" s="1"/>
  <c r="E131" i="7"/>
  <c r="L131" i="7" s="1"/>
  <c r="E132" i="7"/>
  <c r="L132" i="7" s="1"/>
  <c r="E133" i="7"/>
  <c r="L133" i="7" s="1"/>
  <c r="E134" i="7"/>
  <c r="E135" i="7"/>
  <c r="L135" i="7" s="1"/>
  <c r="E136" i="7"/>
  <c r="L136" i="7" s="1"/>
  <c r="E137" i="7"/>
  <c r="L137" i="7" s="1"/>
  <c r="E138" i="7"/>
  <c r="L138" i="7" s="1"/>
  <c r="E139" i="7"/>
  <c r="L139" i="7" s="1"/>
  <c r="E140" i="7"/>
  <c r="L140" i="7" s="1"/>
  <c r="E141" i="7"/>
  <c r="L141" i="7" s="1"/>
  <c r="E142" i="7"/>
  <c r="L142" i="7" s="1"/>
  <c r="E143" i="7"/>
  <c r="E144" i="7"/>
  <c r="L144" i="7" s="1"/>
  <c r="E145" i="7"/>
  <c r="L145" i="7" s="1"/>
  <c r="E146" i="7"/>
  <c r="L146" i="7" s="1"/>
  <c r="E147" i="7"/>
  <c r="E148" i="7"/>
  <c r="L148" i="7" s="1"/>
  <c r="E149" i="7"/>
  <c r="L149" i="7" s="1"/>
  <c r="E12" i="7"/>
  <c r="L12" i="7" s="1"/>
  <c r="F39" i="9"/>
  <c r="F40" i="9"/>
  <c r="F41" i="9"/>
  <c r="F42" i="9"/>
  <c r="F43" i="9"/>
  <c r="F44" i="9"/>
  <c r="F45" i="9"/>
  <c r="F46" i="9"/>
  <c r="F47" i="9"/>
  <c r="F48" i="9"/>
  <c r="F49" i="9"/>
  <c r="F50" i="9"/>
  <c r="F51" i="9"/>
  <c r="F52" i="9"/>
  <c r="F53" i="9"/>
  <c r="F54" i="9"/>
  <c r="F55" i="9"/>
  <c r="F56" i="9"/>
  <c r="F57" i="9"/>
  <c r="F58" i="9"/>
  <c r="F59" i="9"/>
  <c r="F60" i="9"/>
  <c r="F61" i="9"/>
  <c r="F62" i="9"/>
  <c r="F63" i="9"/>
  <c r="F64" i="9"/>
  <c r="F65" i="9"/>
  <c r="F66" i="9"/>
  <c r="F67" i="9"/>
  <c r="F68" i="9"/>
  <c r="F69" i="9"/>
  <c r="F38" i="9"/>
  <c r="A2" i="9" l="1"/>
  <c r="A1" i="9"/>
  <c r="J83" i="9" l="1"/>
  <c r="J82" i="9"/>
  <c r="G78" i="9" l="1"/>
  <c r="G77" i="9"/>
  <c r="G76" i="9"/>
  <c r="AJ206" i="11" l="1"/>
  <c r="AI206" i="11"/>
  <c r="AH206" i="11"/>
  <c r="AG206" i="11"/>
  <c r="AF206" i="11"/>
  <c r="AE206" i="11"/>
  <c r="AC206" i="11"/>
  <c r="Z206" i="11"/>
  <c r="Y206" i="11"/>
  <c r="X206" i="11"/>
  <c r="W206" i="11"/>
  <c r="U206" i="11"/>
  <c r="T206" i="11"/>
  <c r="S206" i="11"/>
  <c r="Q206" i="11"/>
  <c r="P206" i="11"/>
  <c r="O206" i="11"/>
  <c r="N206" i="11"/>
  <c r="M206" i="11"/>
  <c r="L206" i="11"/>
  <c r="K206" i="11"/>
  <c r="J206" i="11"/>
  <c r="I206" i="11"/>
  <c r="H206" i="11"/>
  <c r="G206" i="11"/>
  <c r="D206" i="11"/>
  <c r="F205" i="11" a="1"/>
  <c r="F205" i="11" s="1"/>
  <c r="F204" i="11" a="1"/>
  <c r="F204" i="11" s="1"/>
  <c r="AJ203" i="11"/>
  <c r="AI203" i="11"/>
  <c r="AH203" i="11"/>
  <c r="AG203" i="11"/>
  <c r="AF203" i="11"/>
  <c r="AE203" i="11"/>
  <c r="AC203" i="11"/>
  <c r="Z203" i="11"/>
  <c r="Y203" i="11"/>
  <c r="X203" i="11"/>
  <c r="W203" i="11"/>
  <c r="U203" i="11"/>
  <c r="T203" i="11"/>
  <c r="S203" i="11"/>
  <c r="Q203" i="11"/>
  <c r="P203" i="11"/>
  <c r="O203" i="11"/>
  <c r="N203" i="11"/>
  <c r="M203" i="11"/>
  <c r="L203" i="11"/>
  <c r="K203" i="11"/>
  <c r="J203" i="11"/>
  <c r="I203" i="11"/>
  <c r="H203" i="11"/>
  <c r="G203" i="11"/>
  <c r="F203" i="11" s="1" a="1"/>
  <c r="F203" i="11" s="1"/>
  <c r="D203" i="11"/>
  <c r="AJ202" i="11"/>
  <c r="AI202" i="11"/>
  <c r="AH202" i="11"/>
  <c r="AG202" i="11"/>
  <c r="AF202" i="11"/>
  <c r="AE202" i="11"/>
  <c r="AC202" i="11"/>
  <c r="Z202" i="11"/>
  <c r="Y202" i="11"/>
  <c r="X202" i="11"/>
  <c r="W202" i="11"/>
  <c r="U202" i="11"/>
  <c r="T202" i="11"/>
  <c r="S202" i="11"/>
  <c r="Q202" i="11"/>
  <c r="P202" i="11"/>
  <c r="O202" i="11"/>
  <c r="N202" i="11"/>
  <c r="M202" i="11"/>
  <c r="L202" i="11"/>
  <c r="K202" i="11"/>
  <c r="J202" i="11"/>
  <c r="I202" i="11"/>
  <c r="H202" i="11"/>
  <c r="F202" i="11" s="1" a="1"/>
  <c r="F202" i="11" s="1"/>
  <c r="G202" i="11"/>
  <c r="D202" i="11"/>
  <c r="AJ201" i="11"/>
  <c r="AI201" i="11"/>
  <c r="AH201" i="11"/>
  <c r="AG201" i="11"/>
  <c r="AF201" i="11"/>
  <c r="AE201" i="11"/>
  <c r="AC201" i="11"/>
  <c r="Z201" i="11"/>
  <c r="Y201" i="11"/>
  <c r="X201" i="11"/>
  <c r="W201" i="11"/>
  <c r="U201" i="11"/>
  <c r="T201" i="11"/>
  <c r="S201" i="11"/>
  <c r="Q201" i="11"/>
  <c r="P201" i="11"/>
  <c r="O201" i="11"/>
  <c r="N201" i="11"/>
  <c r="M201" i="11"/>
  <c r="L201" i="11"/>
  <c r="K201" i="11"/>
  <c r="J201" i="11"/>
  <c r="I201" i="11"/>
  <c r="H201" i="11"/>
  <c r="F201" i="11" s="1" a="1"/>
  <c r="F201" i="11" s="1"/>
  <c r="G201" i="11"/>
  <c r="D201" i="11"/>
  <c r="F200" i="11" a="1"/>
  <c r="F200" i="11" s="1"/>
  <c r="AJ199" i="11"/>
  <c r="AI199" i="11"/>
  <c r="AH199" i="11"/>
  <c r="AG199" i="11"/>
  <c r="AF199" i="11"/>
  <c r="AE199" i="11"/>
  <c r="AC199" i="11"/>
  <c r="Z199" i="11"/>
  <c r="Y199" i="11"/>
  <c r="X199" i="11"/>
  <c r="W199" i="11"/>
  <c r="U199" i="11"/>
  <c r="T199" i="11"/>
  <c r="S199" i="11"/>
  <c r="Q199" i="11"/>
  <c r="P199" i="11"/>
  <c r="O199" i="11"/>
  <c r="N199" i="11"/>
  <c r="M199" i="11"/>
  <c r="L199" i="11"/>
  <c r="K199" i="11"/>
  <c r="J199" i="11"/>
  <c r="I199" i="11"/>
  <c r="H199" i="11"/>
  <c r="G199" i="11"/>
  <c r="F199" i="11" s="1" a="1"/>
  <c r="F199" i="11" s="1"/>
  <c r="AJ198" i="11"/>
  <c r="AI198" i="11"/>
  <c r="AH198" i="11"/>
  <c r="AG198" i="11"/>
  <c r="AF198" i="11"/>
  <c r="AE198" i="11"/>
  <c r="AC198" i="11"/>
  <c r="Z198" i="11"/>
  <c r="Y198" i="11"/>
  <c r="X198" i="11"/>
  <c r="W198" i="11"/>
  <c r="U198" i="11"/>
  <c r="T198" i="11"/>
  <c r="S198" i="11"/>
  <c r="Q198" i="11"/>
  <c r="P198" i="11"/>
  <c r="O198" i="11"/>
  <c r="N198" i="11"/>
  <c r="M198" i="11"/>
  <c r="L198" i="11"/>
  <c r="K198" i="11"/>
  <c r="J198" i="11"/>
  <c r="I198" i="11"/>
  <c r="F198" i="11" s="1" a="1"/>
  <c r="F198" i="11" s="1"/>
  <c r="L147" i="7" s="1"/>
  <c r="H198" i="11"/>
  <c r="G198" i="11"/>
  <c r="AJ197" i="11"/>
  <c r="AI197" i="11"/>
  <c r="AH197" i="11"/>
  <c r="AG197" i="11"/>
  <c r="AF197" i="11"/>
  <c r="AE197" i="11"/>
  <c r="AC197" i="11"/>
  <c r="Z197" i="11"/>
  <c r="Y197" i="11"/>
  <c r="X197" i="11"/>
  <c r="W197" i="11"/>
  <c r="U197" i="11"/>
  <c r="T197" i="11"/>
  <c r="S197" i="11"/>
  <c r="Q197" i="11"/>
  <c r="P197" i="11"/>
  <c r="O197" i="11"/>
  <c r="N197" i="11"/>
  <c r="M197" i="11"/>
  <c r="L197" i="11"/>
  <c r="K197" i="11"/>
  <c r="J197" i="11"/>
  <c r="I197" i="11"/>
  <c r="H197" i="11"/>
  <c r="F197" i="11" s="1" a="1"/>
  <c r="F197" i="11" s="1"/>
  <c r="G197" i="11"/>
  <c r="AJ196" i="11"/>
  <c r="AI196" i="11"/>
  <c r="AH196" i="11"/>
  <c r="AG196" i="11"/>
  <c r="AF196" i="11"/>
  <c r="AE196" i="11"/>
  <c r="AC196" i="11"/>
  <c r="Z196" i="11"/>
  <c r="Y196" i="11"/>
  <c r="X196" i="11"/>
  <c r="W196" i="11"/>
  <c r="U196" i="11"/>
  <c r="T196" i="11"/>
  <c r="S196" i="11"/>
  <c r="Q196" i="11"/>
  <c r="P196" i="11"/>
  <c r="O196" i="11"/>
  <c r="N196" i="11"/>
  <c r="M196" i="11"/>
  <c r="L196" i="11"/>
  <c r="K196" i="11"/>
  <c r="J196" i="11"/>
  <c r="I196" i="11"/>
  <c r="H196" i="11"/>
  <c r="F196" i="11" s="1" a="1"/>
  <c r="F196" i="11" s="1"/>
  <c r="G196" i="11"/>
  <c r="D196" i="11"/>
  <c r="AJ195" i="11"/>
  <c r="AI195" i="11"/>
  <c r="AH195" i="11"/>
  <c r="AG195" i="11"/>
  <c r="AF195" i="11"/>
  <c r="AE195" i="11"/>
  <c r="AC195" i="11"/>
  <c r="Z195" i="11"/>
  <c r="Y195" i="11"/>
  <c r="X195" i="11"/>
  <c r="W195" i="11"/>
  <c r="U195" i="11"/>
  <c r="T195" i="11"/>
  <c r="S195" i="11"/>
  <c r="Q195" i="11"/>
  <c r="P195" i="11"/>
  <c r="O195" i="11"/>
  <c r="N195" i="11"/>
  <c r="M195" i="11"/>
  <c r="L195" i="11"/>
  <c r="K195" i="11"/>
  <c r="J195" i="11"/>
  <c r="I195" i="11"/>
  <c r="H195" i="11"/>
  <c r="G195" i="11"/>
  <c r="F195" i="11" s="1" a="1"/>
  <c r="F195" i="11" s="1"/>
  <c r="D195" i="11"/>
  <c r="AJ194" i="11"/>
  <c r="AI194" i="11"/>
  <c r="AH194" i="11"/>
  <c r="AG194" i="11"/>
  <c r="AF194" i="11"/>
  <c r="AE194" i="11"/>
  <c r="AC194" i="11"/>
  <c r="Z194" i="11"/>
  <c r="Y194" i="11"/>
  <c r="X194" i="11"/>
  <c r="W194" i="11"/>
  <c r="U194" i="11"/>
  <c r="T194" i="11"/>
  <c r="S194" i="11"/>
  <c r="Q194" i="11"/>
  <c r="P194" i="11"/>
  <c r="O194" i="11"/>
  <c r="N194" i="11"/>
  <c r="M194" i="11"/>
  <c r="L194" i="11"/>
  <c r="K194" i="11"/>
  <c r="J194" i="11"/>
  <c r="I194" i="11"/>
  <c r="H194" i="11"/>
  <c r="G194" i="11"/>
  <c r="F194" i="11" s="1" a="1"/>
  <c r="F194" i="11" s="1"/>
  <c r="L143" i="7" s="1"/>
  <c r="D194" i="11"/>
  <c r="AJ193" i="11"/>
  <c r="AI193" i="11"/>
  <c r="AH193" i="11"/>
  <c r="AG193" i="11"/>
  <c r="AF193" i="11"/>
  <c r="AE193" i="11"/>
  <c r="AC193" i="11"/>
  <c r="Z193" i="11"/>
  <c r="Y193" i="11"/>
  <c r="X193" i="11"/>
  <c r="W193" i="11"/>
  <c r="U193" i="11"/>
  <c r="T193" i="11"/>
  <c r="S193" i="11"/>
  <c r="Q193" i="11"/>
  <c r="P193" i="11"/>
  <c r="O193" i="11"/>
  <c r="N193" i="11"/>
  <c r="M193" i="11"/>
  <c r="L193" i="11"/>
  <c r="K193" i="11"/>
  <c r="J193" i="11"/>
  <c r="I193" i="11"/>
  <c r="H193" i="11"/>
  <c r="F193" i="11" s="1" a="1"/>
  <c r="F193" i="11" s="1"/>
  <c r="G193" i="11"/>
  <c r="AJ192" i="11"/>
  <c r="AI192" i="11"/>
  <c r="AH192" i="11"/>
  <c r="AG192" i="11"/>
  <c r="AF192" i="11"/>
  <c r="AE192" i="11"/>
  <c r="AC192" i="11"/>
  <c r="Z192" i="11"/>
  <c r="Y192" i="11"/>
  <c r="X192" i="11"/>
  <c r="W192" i="11"/>
  <c r="U192" i="11"/>
  <c r="T192" i="11"/>
  <c r="S192" i="11"/>
  <c r="Q192" i="11"/>
  <c r="P192" i="11"/>
  <c r="O192" i="11"/>
  <c r="N192" i="11"/>
  <c r="M192" i="11"/>
  <c r="L192" i="11"/>
  <c r="K192" i="11"/>
  <c r="J192" i="11"/>
  <c r="I192" i="11"/>
  <c r="H192" i="11"/>
  <c r="F192" i="11" s="1" a="1"/>
  <c r="F192" i="11" s="1"/>
  <c r="G192" i="11"/>
  <c r="AJ191" i="11"/>
  <c r="AI191" i="11"/>
  <c r="AH191" i="11"/>
  <c r="AG191" i="11"/>
  <c r="AF191" i="11"/>
  <c r="AE191" i="11"/>
  <c r="AC191" i="11"/>
  <c r="Z191" i="11"/>
  <c r="Y191" i="11"/>
  <c r="X191" i="11"/>
  <c r="W191" i="11"/>
  <c r="U191" i="11"/>
  <c r="T191" i="11"/>
  <c r="S191" i="11"/>
  <c r="Q191" i="11"/>
  <c r="P191" i="11"/>
  <c r="O191" i="11"/>
  <c r="N191" i="11"/>
  <c r="M191" i="11"/>
  <c r="L191" i="11"/>
  <c r="K191" i="11"/>
  <c r="J191" i="11"/>
  <c r="I191" i="11"/>
  <c r="F191" i="11" s="1" a="1"/>
  <c r="F191" i="11" s="1"/>
  <c r="H191" i="11"/>
  <c r="G191" i="11"/>
  <c r="AJ190" i="11"/>
  <c r="AI190" i="11"/>
  <c r="AH190" i="11"/>
  <c r="AG190" i="11"/>
  <c r="AF190" i="11"/>
  <c r="AE190" i="11"/>
  <c r="AC190" i="11"/>
  <c r="Z190" i="11"/>
  <c r="Y190" i="11"/>
  <c r="X190" i="11"/>
  <c r="W190" i="11"/>
  <c r="U190" i="11"/>
  <c r="T190" i="11"/>
  <c r="S190" i="11"/>
  <c r="Q190" i="11"/>
  <c r="P190" i="11"/>
  <c r="O190" i="11"/>
  <c r="N190" i="11"/>
  <c r="M190" i="11"/>
  <c r="L190" i="11"/>
  <c r="K190" i="11"/>
  <c r="J190" i="11"/>
  <c r="I190" i="11"/>
  <c r="H190" i="11"/>
  <c r="F190" i="11" s="1" a="1"/>
  <c r="F190" i="11" s="1"/>
  <c r="G190" i="11"/>
  <c r="AJ189" i="11"/>
  <c r="AI189" i="11"/>
  <c r="AH189" i="11"/>
  <c r="AG189" i="11"/>
  <c r="AF189" i="11"/>
  <c r="AE189" i="11"/>
  <c r="AC189" i="11"/>
  <c r="Z189" i="11"/>
  <c r="Y189" i="11"/>
  <c r="X189" i="11"/>
  <c r="W189" i="11"/>
  <c r="U189" i="11"/>
  <c r="T189" i="11"/>
  <c r="S189" i="11"/>
  <c r="Q189" i="11"/>
  <c r="P189" i="11"/>
  <c r="O189" i="11"/>
  <c r="N189" i="11"/>
  <c r="M189" i="11"/>
  <c r="L189" i="11"/>
  <c r="K189" i="11"/>
  <c r="J189" i="11"/>
  <c r="I189" i="11"/>
  <c r="H189" i="11"/>
  <c r="F189" i="11" s="1" a="1"/>
  <c r="F189" i="11" s="1"/>
  <c r="G189" i="11"/>
  <c r="AJ188" i="11"/>
  <c r="AI188" i="11"/>
  <c r="AH188" i="11"/>
  <c r="AG188" i="11"/>
  <c r="AF188" i="11"/>
  <c r="AE188" i="11"/>
  <c r="AC188" i="11"/>
  <c r="Z188" i="11"/>
  <c r="Y188" i="11"/>
  <c r="X188" i="11"/>
  <c r="W188" i="11"/>
  <c r="U188" i="11"/>
  <c r="T188" i="11"/>
  <c r="S188" i="11"/>
  <c r="Q188" i="11"/>
  <c r="P188" i="11"/>
  <c r="O188" i="11"/>
  <c r="N188" i="11"/>
  <c r="M188" i="11"/>
  <c r="L188" i="11"/>
  <c r="K188" i="11"/>
  <c r="J188" i="11"/>
  <c r="I188" i="11"/>
  <c r="H188" i="11"/>
  <c r="F188" i="11" s="1" a="1"/>
  <c r="F188" i="11" s="1"/>
  <c r="G188" i="11"/>
  <c r="AJ187" i="11"/>
  <c r="AI187" i="11"/>
  <c r="AH187" i="11"/>
  <c r="AG187" i="11"/>
  <c r="AF187" i="11"/>
  <c r="AE187" i="11"/>
  <c r="AC187" i="11"/>
  <c r="Z187" i="11"/>
  <c r="Y187" i="11"/>
  <c r="X187" i="11"/>
  <c r="W187" i="11"/>
  <c r="U187" i="11"/>
  <c r="T187" i="11"/>
  <c r="S187" i="11"/>
  <c r="Q187" i="11"/>
  <c r="P187" i="11"/>
  <c r="O187" i="11"/>
  <c r="N187" i="11"/>
  <c r="M187" i="11"/>
  <c r="L187" i="11"/>
  <c r="K187" i="11"/>
  <c r="J187" i="11"/>
  <c r="I187" i="11"/>
  <c r="F187" i="11" s="1" a="1"/>
  <c r="F187" i="11" s="1"/>
  <c r="H187" i="11"/>
  <c r="G187" i="11"/>
  <c r="AJ186" i="11"/>
  <c r="AI186" i="11"/>
  <c r="AH186" i="11"/>
  <c r="AG186" i="11"/>
  <c r="AF186" i="11"/>
  <c r="AE186" i="11"/>
  <c r="AC186" i="11"/>
  <c r="Z186" i="11"/>
  <c r="Y186" i="11"/>
  <c r="X186" i="11"/>
  <c r="W186" i="11"/>
  <c r="U186" i="11"/>
  <c r="T186" i="11"/>
  <c r="S186" i="11"/>
  <c r="Q186" i="11"/>
  <c r="P186" i="11"/>
  <c r="O186" i="11"/>
  <c r="N186" i="11"/>
  <c r="M186" i="11"/>
  <c r="L186" i="11"/>
  <c r="K186" i="11"/>
  <c r="J186" i="11"/>
  <c r="I186" i="11"/>
  <c r="H186" i="11"/>
  <c r="F186" i="11" s="1" a="1"/>
  <c r="F186" i="11" s="1"/>
  <c r="G186" i="11"/>
  <c r="AJ185" i="11"/>
  <c r="AI185" i="11"/>
  <c r="AH185" i="11"/>
  <c r="AG185" i="11"/>
  <c r="AF185" i="11"/>
  <c r="AE185" i="11"/>
  <c r="AC185" i="11"/>
  <c r="Z185" i="11"/>
  <c r="Y185" i="11"/>
  <c r="X185" i="11"/>
  <c r="W185" i="11"/>
  <c r="U185" i="11"/>
  <c r="T185" i="11"/>
  <c r="S185" i="11"/>
  <c r="Q185" i="11"/>
  <c r="P185" i="11"/>
  <c r="O185" i="11"/>
  <c r="N185" i="11"/>
  <c r="M185" i="11"/>
  <c r="L185" i="11"/>
  <c r="K185" i="11"/>
  <c r="J185" i="11"/>
  <c r="I185" i="11"/>
  <c r="H185" i="11"/>
  <c r="F185" i="11" s="1" a="1"/>
  <c r="F185" i="11" s="1"/>
  <c r="L134" i="7" s="1"/>
  <c r="G185" i="11"/>
  <c r="AJ184" i="11"/>
  <c r="AI184" i="11"/>
  <c r="AH184" i="11"/>
  <c r="AG184" i="11"/>
  <c r="AF184" i="11"/>
  <c r="AE184" i="11"/>
  <c r="AC184" i="11"/>
  <c r="Z184" i="11"/>
  <c r="Y184" i="11"/>
  <c r="X184" i="11"/>
  <c r="W184" i="11"/>
  <c r="U184" i="11"/>
  <c r="T184" i="11"/>
  <c r="S184" i="11"/>
  <c r="Q184" i="11"/>
  <c r="P184" i="11"/>
  <c r="O184" i="11"/>
  <c r="N184" i="11"/>
  <c r="M184" i="11"/>
  <c r="L184" i="11"/>
  <c r="K184" i="11"/>
  <c r="J184" i="11"/>
  <c r="I184" i="11"/>
  <c r="H184" i="11"/>
  <c r="F184" i="11" s="1" a="1"/>
  <c r="F184" i="11" s="1"/>
  <c r="G184" i="11"/>
  <c r="AJ183" i="11"/>
  <c r="AI183" i="11"/>
  <c r="AH183" i="11"/>
  <c r="AG183" i="11"/>
  <c r="AF183" i="11"/>
  <c r="AE183" i="11"/>
  <c r="AC183" i="11"/>
  <c r="Z183" i="11"/>
  <c r="Y183" i="11"/>
  <c r="X183" i="11"/>
  <c r="W183" i="11"/>
  <c r="U183" i="11"/>
  <c r="T183" i="11"/>
  <c r="S183" i="11"/>
  <c r="Q183" i="11"/>
  <c r="P183" i="11"/>
  <c r="O183" i="11"/>
  <c r="N183" i="11"/>
  <c r="M183" i="11"/>
  <c r="L183" i="11"/>
  <c r="K183" i="11"/>
  <c r="J183" i="11"/>
  <c r="I183" i="11"/>
  <c r="F183" i="11" s="1" a="1"/>
  <c r="F183" i="11" s="1"/>
  <c r="H183" i="11"/>
  <c r="G183" i="11"/>
  <c r="AJ182" i="11"/>
  <c r="AI182" i="11"/>
  <c r="AH182" i="11"/>
  <c r="AG182" i="11"/>
  <c r="AF182" i="11"/>
  <c r="AE182" i="11"/>
  <c r="AC182" i="11"/>
  <c r="Z182" i="11"/>
  <c r="Y182" i="11"/>
  <c r="X182" i="11"/>
  <c r="W182" i="11"/>
  <c r="U182" i="11"/>
  <c r="T182" i="11"/>
  <c r="S182" i="11"/>
  <c r="Q182" i="11"/>
  <c r="P182" i="11"/>
  <c r="O182" i="11"/>
  <c r="N182" i="11"/>
  <c r="M182" i="11"/>
  <c r="L182" i="11"/>
  <c r="K182" i="11"/>
  <c r="J182" i="11"/>
  <c r="I182" i="11"/>
  <c r="H182" i="11"/>
  <c r="F182" i="11" s="1" a="1"/>
  <c r="F182" i="11" s="1"/>
  <c r="G182" i="11"/>
  <c r="AJ181" i="11"/>
  <c r="AI181" i="11"/>
  <c r="AH181" i="11"/>
  <c r="AG181" i="11"/>
  <c r="AF181" i="11"/>
  <c r="AE181" i="11"/>
  <c r="AC181" i="11"/>
  <c r="Z181" i="11"/>
  <c r="Y181" i="11"/>
  <c r="X181" i="11"/>
  <c r="W181" i="11"/>
  <c r="U181" i="11"/>
  <c r="T181" i="11"/>
  <c r="S181" i="11"/>
  <c r="Q181" i="11"/>
  <c r="P181" i="11"/>
  <c r="O181" i="11"/>
  <c r="N181" i="11"/>
  <c r="M181" i="11"/>
  <c r="L181" i="11"/>
  <c r="K181" i="11"/>
  <c r="J181" i="11"/>
  <c r="I181" i="11"/>
  <c r="H181" i="11"/>
  <c r="F181" i="11" s="1" a="1"/>
  <c r="F181" i="11" s="1"/>
  <c r="G181" i="11"/>
  <c r="AJ180" i="11"/>
  <c r="AI180" i="11"/>
  <c r="AH180" i="11"/>
  <c r="AG180" i="11"/>
  <c r="AF180" i="11"/>
  <c r="AE180" i="11"/>
  <c r="AC180" i="11"/>
  <c r="Z180" i="11"/>
  <c r="Y180" i="11"/>
  <c r="X180" i="11"/>
  <c r="W180" i="11"/>
  <c r="U180" i="11"/>
  <c r="T180" i="11"/>
  <c r="S180" i="11"/>
  <c r="Q180" i="11"/>
  <c r="P180" i="11"/>
  <c r="O180" i="11"/>
  <c r="N180" i="11"/>
  <c r="M180" i="11"/>
  <c r="L180" i="11"/>
  <c r="K180" i="11"/>
  <c r="J180" i="11"/>
  <c r="I180" i="11"/>
  <c r="H180" i="11"/>
  <c r="F180" i="11" s="1" a="1"/>
  <c r="F180" i="11" s="1"/>
  <c r="G180" i="11"/>
  <c r="AJ179" i="11"/>
  <c r="AI179" i="11"/>
  <c r="AH179" i="11"/>
  <c r="AG179" i="11"/>
  <c r="AF179" i="11"/>
  <c r="AE179" i="11"/>
  <c r="AC179" i="11"/>
  <c r="Z179" i="11"/>
  <c r="Y179" i="11"/>
  <c r="X179" i="11"/>
  <c r="W179" i="11"/>
  <c r="U179" i="11"/>
  <c r="T179" i="11"/>
  <c r="S179" i="11"/>
  <c r="Q179" i="11"/>
  <c r="P179" i="11"/>
  <c r="O179" i="11"/>
  <c r="N179" i="11"/>
  <c r="M179" i="11"/>
  <c r="L179" i="11"/>
  <c r="K179" i="11"/>
  <c r="J179" i="11"/>
  <c r="I179" i="11"/>
  <c r="F179" i="11" s="1" a="1"/>
  <c r="F179" i="11" s="1"/>
  <c r="H179" i="11"/>
  <c r="G179" i="11"/>
  <c r="AJ178" i="11"/>
  <c r="AI178" i="11"/>
  <c r="AH178" i="11"/>
  <c r="AG178" i="11"/>
  <c r="AF178" i="11"/>
  <c r="AE178" i="11"/>
  <c r="AC178" i="11"/>
  <c r="Z178" i="11"/>
  <c r="Y178" i="11"/>
  <c r="X178" i="11"/>
  <c r="W178" i="11"/>
  <c r="U178" i="11"/>
  <c r="T178" i="11"/>
  <c r="S178" i="11"/>
  <c r="Q178" i="11"/>
  <c r="P178" i="11"/>
  <c r="O178" i="11"/>
  <c r="N178" i="11"/>
  <c r="M178" i="11"/>
  <c r="L178" i="11"/>
  <c r="K178" i="11"/>
  <c r="J178" i="11"/>
  <c r="I178" i="11"/>
  <c r="H178" i="11"/>
  <c r="F178" i="11" s="1" a="1"/>
  <c r="F178" i="11" s="1"/>
  <c r="G178" i="11"/>
  <c r="AJ177" i="11"/>
  <c r="AI177" i="11"/>
  <c r="AH177" i="11"/>
  <c r="AG177" i="11"/>
  <c r="AF177" i="11"/>
  <c r="AE177" i="11"/>
  <c r="AC177" i="11"/>
  <c r="Z177" i="11"/>
  <c r="Y177" i="11"/>
  <c r="X177" i="11"/>
  <c r="W177" i="11"/>
  <c r="U177" i="11"/>
  <c r="T177" i="11"/>
  <c r="S177" i="11"/>
  <c r="Q177" i="11"/>
  <c r="P177" i="11"/>
  <c r="O177" i="11"/>
  <c r="N177" i="11"/>
  <c r="M177" i="11"/>
  <c r="L177" i="11"/>
  <c r="K177" i="11"/>
  <c r="J177" i="11"/>
  <c r="I177" i="11"/>
  <c r="H177" i="11"/>
  <c r="F177" i="11" s="1" a="1"/>
  <c r="F177" i="11" s="1"/>
  <c r="G177" i="11"/>
  <c r="AJ176" i="11"/>
  <c r="AI176" i="11"/>
  <c r="AH176" i="11"/>
  <c r="AG176" i="11"/>
  <c r="AF176" i="11"/>
  <c r="AE176" i="11"/>
  <c r="AC176" i="11"/>
  <c r="Z176" i="11"/>
  <c r="Y176" i="11"/>
  <c r="X176" i="11"/>
  <c r="W176" i="11"/>
  <c r="U176" i="11"/>
  <c r="T176" i="11"/>
  <c r="S176" i="11"/>
  <c r="Q176" i="11"/>
  <c r="P176" i="11"/>
  <c r="O176" i="11"/>
  <c r="N176" i="11"/>
  <c r="M176" i="11"/>
  <c r="L176" i="11"/>
  <c r="K176" i="11"/>
  <c r="J176" i="11"/>
  <c r="I176" i="11"/>
  <c r="H176" i="11"/>
  <c r="F176" i="11" s="1" a="1"/>
  <c r="F176" i="11" s="1"/>
  <c r="G176" i="11"/>
  <c r="AJ175" i="11"/>
  <c r="AI175" i="11"/>
  <c r="AH175" i="11"/>
  <c r="AG175" i="11"/>
  <c r="AF175" i="11"/>
  <c r="AE175" i="11"/>
  <c r="AC175" i="11"/>
  <c r="Z175" i="11"/>
  <c r="Y175" i="11"/>
  <c r="X175" i="11"/>
  <c r="W175" i="11"/>
  <c r="U175" i="11"/>
  <c r="T175" i="11"/>
  <c r="S175" i="11"/>
  <c r="Q175" i="11"/>
  <c r="P175" i="11"/>
  <c r="O175" i="11"/>
  <c r="N175" i="11"/>
  <c r="M175" i="11"/>
  <c r="L175" i="11"/>
  <c r="K175" i="11"/>
  <c r="J175" i="11"/>
  <c r="I175" i="11"/>
  <c r="F175" i="11" s="1" a="1"/>
  <c r="F175" i="11" s="1"/>
  <c r="H175" i="11"/>
  <c r="G175" i="11"/>
  <c r="AJ174" i="11"/>
  <c r="AI174" i="11"/>
  <c r="AH174" i="11"/>
  <c r="AG174" i="11"/>
  <c r="AF174" i="11"/>
  <c r="AE174" i="11"/>
  <c r="AC174" i="11"/>
  <c r="Z174" i="11"/>
  <c r="Y174" i="11"/>
  <c r="X174" i="11"/>
  <c r="W174" i="11"/>
  <c r="U174" i="11"/>
  <c r="T174" i="11"/>
  <c r="S174" i="11"/>
  <c r="Q174" i="11"/>
  <c r="P174" i="11"/>
  <c r="O174" i="11"/>
  <c r="N174" i="11"/>
  <c r="M174" i="11"/>
  <c r="L174" i="11"/>
  <c r="K174" i="11"/>
  <c r="J174" i="11"/>
  <c r="I174" i="11"/>
  <c r="H174" i="11"/>
  <c r="F174" i="11" s="1" a="1"/>
  <c r="F174" i="11" s="1"/>
  <c r="G174" i="11"/>
  <c r="AJ173" i="11"/>
  <c r="AI173" i="11"/>
  <c r="AH173" i="11"/>
  <c r="AG173" i="11"/>
  <c r="AF173" i="11"/>
  <c r="AE173" i="11"/>
  <c r="AC173" i="11"/>
  <c r="Z173" i="11"/>
  <c r="Y173" i="11"/>
  <c r="X173" i="11"/>
  <c r="W173" i="11"/>
  <c r="U173" i="11"/>
  <c r="T173" i="11"/>
  <c r="S173" i="11"/>
  <c r="Q173" i="11"/>
  <c r="P173" i="11"/>
  <c r="O173" i="11"/>
  <c r="N173" i="11"/>
  <c r="M173" i="11"/>
  <c r="L173" i="11"/>
  <c r="K173" i="11"/>
  <c r="J173" i="11"/>
  <c r="I173" i="11"/>
  <c r="H173" i="11"/>
  <c r="F173" i="11" s="1" a="1"/>
  <c r="F173" i="11" s="1"/>
  <c r="G173" i="11"/>
  <c r="AJ172" i="11"/>
  <c r="AI172" i="11"/>
  <c r="AH172" i="11"/>
  <c r="AG172" i="11"/>
  <c r="AF172" i="11"/>
  <c r="AE172" i="11"/>
  <c r="AC172" i="11"/>
  <c r="Z172" i="11"/>
  <c r="Y172" i="11"/>
  <c r="X172" i="11"/>
  <c r="W172" i="11"/>
  <c r="U172" i="11"/>
  <c r="T172" i="11"/>
  <c r="S172" i="11"/>
  <c r="Q172" i="11"/>
  <c r="P172" i="11"/>
  <c r="O172" i="11"/>
  <c r="N172" i="11"/>
  <c r="M172" i="11"/>
  <c r="L172" i="11"/>
  <c r="K172" i="11"/>
  <c r="J172" i="11"/>
  <c r="I172" i="11"/>
  <c r="H172" i="11"/>
  <c r="F172" i="11" s="1" a="1"/>
  <c r="F172" i="11" s="1"/>
  <c r="L121" i="7" s="1"/>
  <c r="G172" i="11"/>
  <c r="AJ171" i="11"/>
  <c r="AI171" i="11"/>
  <c r="AH171" i="11"/>
  <c r="AG171" i="11"/>
  <c r="AF171" i="11"/>
  <c r="AE171" i="11"/>
  <c r="AC171" i="11"/>
  <c r="Z171" i="11"/>
  <c r="Y171" i="11"/>
  <c r="X171" i="11"/>
  <c r="W171" i="11"/>
  <c r="U171" i="11"/>
  <c r="T171" i="11"/>
  <c r="S171" i="11"/>
  <c r="Q171" i="11"/>
  <c r="P171" i="11"/>
  <c r="O171" i="11"/>
  <c r="N171" i="11"/>
  <c r="M171" i="11"/>
  <c r="L171" i="11"/>
  <c r="K171" i="11"/>
  <c r="J171" i="11"/>
  <c r="I171" i="11"/>
  <c r="F171" i="11" s="1" a="1"/>
  <c r="F171" i="11" s="1"/>
  <c r="L120" i="7" s="1"/>
  <c r="H171" i="11"/>
  <c r="G171" i="11"/>
  <c r="AJ170" i="11"/>
  <c r="AI170" i="11"/>
  <c r="AH170" i="11"/>
  <c r="AG170" i="11"/>
  <c r="AF170" i="11"/>
  <c r="AE170" i="11"/>
  <c r="AC170" i="11"/>
  <c r="Z170" i="11"/>
  <c r="Y170" i="11"/>
  <c r="X170" i="11"/>
  <c r="W170" i="11"/>
  <c r="U170" i="11"/>
  <c r="T170" i="11"/>
  <c r="S170" i="11"/>
  <c r="Q170" i="11"/>
  <c r="P170" i="11"/>
  <c r="O170" i="11"/>
  <c r="N170" i="11"/>
  <c r="M170" i="11"/>
  <c r="L170" i="11"/>
  <c r="K170" i="11"/>
  <c r="J170" i="11"/>
  <c r="I170" i="11"/>
  <c r="H170" i="11"/>
  <c r="F170" i="11" s="1" a="1"/>
  <c r="F170" i="11" s="1"/>
  <c r="L119" i="7" s="1"/>
  <c r="G170" i="11"/>
  <c r="AJ169" i="11"/>
  <c r="AI169" i="11"/>
  <c r="AH169" i="11"/>
  <c r="AG169" i="11"/>
  <c r="AF169" i="11"/>
  <c r="AE169" i="11"/>
  <c r="AC169" i="11"/>
  <c r="Z169" i="11"/>
  <c r="Y169" i="11"/>
  <c r="X169" i="11"/>
  <c r="W169" i="11"/>
  <c r="U169" i="11"/>
  <c r="T169" i="11"/>
  <c r="S169" i="11"/>
  <c r="Q169" i="11"/>
  <c r="P169" i="11"/>
  <c r="O169" i="11"/>
  <c r="N169" i="11"/>
  <c r="M169" i="11"/>
  <c r="L169" i="11"/>
  <c r="K169" i="11"/>
  <c r="J169" i="11"/>
  <c r="I169" i="11"/>
  <c r="H169" i="11"/>
  <c r="F169" i="11" s="1" a="1"/>
  <c r="F169" i="11" s="1"/>
  <c r="L118" i="7" s="1"/>
  <c r="G169" i="11"/>
  <c r="AJ168" i="11"/>
  <c r="AI168" i="11"/>
  <c r="AH168" i="11"/>
  <c r="AG168" i="11"/>
  <c r="AF168" i="11"/>
  <c r="AE168" i="11"/>
  <c r="AC168" i="11"/>
  <c r="Z168" i="11"/>
  <c r="Y168" i="11"/>
  <c r="X168" i="11"/>
  <c r="W168" i="11"/>
  <c r="U168" i="11"/>
  <c r="T168" i="11"/>
  <c r="S168" i="11"/>
  <c r="Q168" i="11"/>
  <c r="P168" i="11"/>
  <c r="O168" i="11"/>
  <c r="N168" i="11"/>
  <c r="M168" i="11"/>
  <c r="L168" i="11"/>
  <c r="K168" i="11"/>
  <c r="J168" i="11"/>
  <c r="I168" i="11"/>
  <c r="H168" i="11"/>
  <c r="F168" i="11" s="1" a="1"/>
  <c r="F168" i="11" s="1"/>
  <c r="G168" i="11"/>
  <c r="AJ167" i="11"/>
  <c r="AI167" i="11"/>
  <c r="AH167" i="11"/>
  <c r="AG167" i="11"/>
  <c r="AF167" i="11"/>
  <c r="AE167" i="11"/>
  <c r="AC167" i="11"/>
  <c r="Z167" i="11"/>
  <c r="Y167" i="11"/>
  <c r="X167" i="11"/>
  <c r="W167" i="11"/>
  <c r="U167" i="11"/>
  <c r="T167" i="11"/>
  <c r="S167" i="11"/>
  <c r="Q167" i="11"/>
  <c r="P167" i="11"/>
  <c r="O167" i="11"/>
  <c r="N167" i="11"/>
  <c r="M167" i="11"/>
  <c r="L167" i="11"/>
  <c r="K167" i="11"/>
  <c r="J167" i="11"/>
  <c r="I167" i="11"/>
  <c r="F167" i="11" s="1" a="1"/>
  <c r="F167" i="11" s="1"/>
  <c r="H167" i="11"/>
  <c r="G167" i="11"/>
  <c r="AJ166" i="11"/>
  <c r="AI166" i="11"/>
  <c r="AH166" i="11"/>
  <c r="AG166" i="11"/>
  <c r="AF166" i="11"/>
  <c r="AE166" i="11"/>
  <c r="AC166" i="11"/>
  <c r="Z166" i="11"/>
  <c r="Y166" i="11"/>
  <c r="X166" i="11"/>
  <c r="W166" i="11"/>
  <c r="U166" i="11"/>
  <c r="T166" i="11"/>
  <c r="S166" i="11"/>
  <c r="Q166" i="11"/>
  <c r="P166" i="11"/>
  <c r="O166" i="11"/>
  <c r="N166" i="11"/>
  <c r="M166" i="11"/>
  <c r="L166" i="11"/>
  <c r="K166" i="11"/>
  <c r="J166" i="11"/>
  <c r="I166" i="11"/>
  <c r="H166" i="11"/>
  <c r="F166" i="11" s="1" a="1"/>
  <c r="F166" i="11" s="1"/>
  <c r="G166" i="11"/>
  <c r="D166" i="11"/>
  <c r="F165" i="11" a="1"/>
  <c r="F165" i="11" s="1"/>
  <c r="F164" i="11" a="1"/>
  <c r="F164" i="11" s="1"/>
  <c r="F163" i="11" a="1"/>
  <c r="F163" i="11" s="1"/>
  <c r="F162" i="11" a="1"/>
  <c r="F162" i="11" s="1"/>
  <c r="F161" i="11" a="1"/>
  <c r="F161" i="11" s="1"/>
  <c r="F160" i="11" a="1"/>
  <c r="F160" i="11" s="1"/>
  <c r="F159" i="11" a="1"/>
  <c r="F159" i="11" s="1"/>
  <c r="F158" i="11" a="1"/>
  <c r="F158" i="11" s="1"/>
  <c r="AJ157" i="11"/>
  <c r="AI157" i="11"/>
  <c r="AH157" i="11"/>
  <c r="AG157" i="11"/>
  <c r="AF157" i="11"/>
  <c r="AE157" i="11"/>
  <c r="AC157" i="11"/>
  <c r="Z157" i="11"/>
  <c r="Y157" i="11"/>
  <c r="X157" i="11"/>
  <c r="W157" i="11"/>
  <c r="U157" i="11"/>
  <c r="T157" i="11"/>
  <c r="S157" i="11"/>
  <c r="Q157" i="11"/>
  <c r="P157" i="11"/>
  <c r="O157" i="11"/>
  <c r="N157" i="11"/>
  <c r="M157" i="11"/>
  <c r="L157" i="11"/>
  <c r="K157" i="11"/>
  <c r="J157" i="11"/>
  <c r="I157" i="11"/>
  <c r="H157" i="11"/>
  <c r="F157" i="11" s="1" a="1"/>
  <c r="F157" i="11" s="1"/>
  <c r="G157" i="11"/>
  <c r="AJ156" i="11"/>
  <c r="AI156" i="11"/>
  <c r="AH156" i="11"/>
  <c r="AG156" i="11"/>
  <c r="AF156" i="11"/>
  <c r="AE156" i="11"/>
  <c r="AC156" i="11"/>
  <c r="Z156" i="11"/>
  <c r="Y156" i="11"/>
  <c r="X156" i="11"/>
  <c r="W156" i="11"/>
  <c r="U156" i="11"/>
  <c r="T156" i="11"/>
  <c r="S156" i="11"/>
  <c r="Q156" i="11"/>
  <c r="P156" i="11"/>
  <c r="O156" i="11"/>
  <c r="N156" i="11"/>
  <c r="M156" i="11"/>
  <c r="L156" i="11"/>
  <c r="K156" i="11"/>
  <c r="J156" i="11"/>
  <c r="I156" i="11"/>
  <c r="H156" i="11"/>
  <c r="G156" i="11"/>
  <c r="F156" i="11" s="1" a="1"/>
  <c r="F156" i="11" s="1"/>
  <c r="AJ155" i="11"/>
  <c r="AI155" i="11"/>
  <c r="AH155" i="11"/>
  <c r="AG155" i="11"/>
  <c r="AF155" i="11"/>
  <c r="AE155" i="11"/>
  <c r="AC155" i="11"/>
  <c r="Z155" i="11"/>
  <c r="Y155" i="11"/>
  <c r="X155" i="11"/>
  <c r="W155" i="11"/>
  <c r="U155" i="11"/>
  <c r="T155" i="11"/>
  <c r="S155" i="11"/>
  <c r="Q155" i="11"/>
  <c r="P155" i="11"/>
  <c r="O155" i="11"/>
  <c r="N155" i="11"/>
  <c r="F155" i="11" s="1" a="1"/>
  <c r="F155" i="11" s="1"/>
  <c r="L114" i="7" s="1"/>
  <c r="M155" i="11"/>
  <c r="L155" i="11"/>
  <c r="K155" i="11"/>
  <c r="J155" i="11"/>
  <c r="I155" i="11"/>
  <c r="H155" i="11"/>
  <c r="G155" i="11"/>
  <c r="AJ154" i="11"/>
  <c r="AI154" i="11"/>
  <c r="AH154" i="11"/>
  <c r="AG154" i="11"/>
  <c r="AF154" i="11"/>
  <c r="AE154" i="11"/>
  <c r="AC154" i="11"/>
  <c r="Z154" i="11"/>
  <c r="Y154" i="11"/>
  <c r="X154" i="11"/>
  <c r="W154" i="11"/>
  <c r="U154" i="11"/>
  <c r="T154" i="11"/>
  <c r="S154" i="11"/>
  <c r="Q154" i="11"/>
  <c r="P154" i="11"/>
  <c r="O154" i="11"/>
  <c r="N154" i="11"/>
  <c r="M154" i="11"/>
  <c r="L154" i="11"/>
  <c r="K154" i="11"/>
  <c r="J154" i="11"/>
  <c r="I154" i="11"/>
  <c r="H154" i="11"/>
  <c r="G154" i="11"/>
  <c r="F154" i="11" a="1"/>
  <c r="F154" i="11" s="1"/>
  <c r="AJ153" i="11"/>
  <c r="AI153" i="11"/>
  <c r="AH153" i="11"/>
  <c r="AG153" i="11"/>
  <c r="AF153" i="11"/>
  <c r="AE153" i="11"/>
  <c r="AC153" i="11"/>
  <c r="Z153" i="11"/>
  <c r="Y153" i="11"/>
  <c r="X153" i="11"/>
  <c r="W153" i="11"/>
  <c r="U153" i="11"/>
  <c r="T153" i="11"/>
  <c r="S153" i="11"/>
  <c r="Q153" i="11"/>
  <c r="P153" i="11"/>
  <c r="O153" i="11"/>
  <c r="N153" i="11"/>
  <c r="M153" i="11"/>
  <c r="L153" i="11"/>
  <c r="K153" i="11"/>
  <c r="J153" i="11"/>
  <c r="I153" i="11"/>
  <c r="H153" i="11"/>
  <c r="F153" i="11" s="1" a="1"/>
  <c r="F153" i="11" s="1"/>
  <c r="L110" i="7" s="1"/>
  <c r="G153" i="11"/>
  <c r="AJ152" i="11"/>
  <c r="AI152" i="11"/>
  <c r="AH152" i="11"/>
  <c r="AG152" i="11"/>
  <c r="AF152" i="11"/>
  <c r="AE152" i="11"/>
  <c r="AC152" i="11"/>
  <c r="Z152" i="11"/>
  <c r="Y152" i="11"/>
  <c r="X152" i="11"/>
  <c r="W152" i="11"/>
  <c r="U152" i="11"/>
  <c r="T152" i="11"/>
  <c r="S152" i="11"/>
  <c r="Q152" i="11"/>
  <c r="P152" i="11"/>
  <c r="O152" i="11"/>
  <c r="N152" i="11"/>
  <c r="M152" i="11"/>
  <c r="L152" i="11"/>
  <c r="K152" i="11"/>
  <c r="J152" i="11"/>
  <c r="I152" i="11"/>
  <c r="H152" i="11"/>
  <c r="G152" i="11"/>
  <c r="F152" i="11" s="1" a="1"/>
  <c r="F152" i="11" s="1"/>
  <c r="AJ151" i="11"/>
  <c r="AI151" i="11"/>
  <c r="AH151" i="11"/>
  <c r="AG151" i="11"/>
  <c r="AF151" i="11"/>
  <c r="AE151" i="11"/>
  <c r="AC151" i="11"/>
  <c r="Z151" i="11"/>
  <c r="Y151" i="11"/>
  <c r="X151" i="11"/>
  <c r="W151" i="11"/>
  <c r="U151" i="11"/>
  <c r="T151" i="11"/>
  <c r="S151" i="11"/>
  <c r="Q151" i="11"/>
  <c r="P151" i="11"/>
  <c r="O151" i="11"/>
  <c r="N151" i="11"/>
  <c r="F151" i="11" s="1" a="1"/>
  <c r="F151" i="11" s="1"/>
  <c r="M151" i="11"/>
  <c r="L151" i="11"/>
  <c r="K151" i="11"/>
  <c r="J151" i="11"/>
  <c r="I151" i="11"/>
  <c r="H151" i="11"/>
  <c r="G151" i="11"/>
  <c r="AJ150" i="11"/>
  <c r="AI150" i="11"/>
  <c r="AH150" i="11"/>
  <c r="AG150" i="11"/>
  <c r="AF150" i="11"/>
  <c r="AE150" i="11"/>
  <c r="AC150" i="11"/>
  <c r="Z150" i="11"/>
  <c r="Y150" i="11"/>
  <c r="X150" i="11"/>
  <c r="W150" i="11"/>
  <c r="U150" i="11"/>
  <c r="T150" i="11"/>
  <c r="S150" i="11"/>
  <c r="Q150" i="11"/>
  <c r="P150" i="11"/>
  <c r="O150" i="11"/>
  <c r="N150" i="11"/>
  <c r="M150" i="11"/>
  <c r="L150" i="11"/>
  <c r="K150" i="11"/>
  <c r="J150" i="11"/>
  <c r="I150" i="11"/>
  <c r="H150" i="11"/>
  <c r="G150" i="11"/>
  <c r="F150" i="11" a="1"/>
  <c r="F150" i="11" s="1"/>
  <c r="L107" i="7" s="1"/>
  <c r="AJ149" i="11"/>
  <c r="AI149" i="11"/>
  <c r="AH149" i="11"/>
  <c r="AG149" i="11"/>
  <c r="AF149" i="11"/>
  <c r="AE149" i="11"/>
  <c r="AC149" i="11"/>
  <c r="Z149" i="11"/>
  <c r="Y149" i="11"/>
  <c r="X149" i="11"/>
  <c r="W149" i="11"/>
  <c r="U149" i="11"/>
  <c r="T149" i="11"/>
  <c r="S149" i="11"/>
  <c r="Q149" i="11"/>
  <c r="P149" i="11"/>
  <c r="O149" i="11"/>
  <c r="N149" i="11"/>
  <c r="M149" i="11"/>
  <c r="L149" i="11"/>
  <c r="K149" i="11"/>
  <c r="J149" i="11"/>
  <c r="I149" i="11"/>
  <c r="H149" i="11"/>
  <c r="F149" i="11" s="1" a="1"/>
  <c r="F149" i="11" s="1"/>
  <c r="G149" i="11"/>
  <c r="AJ148" i="11"/>
  <c r="AI148" i="11"/>
  <c r="AH148" i="11"/>
  <c r="AG148" i="11"/>
  <c r="AF148" i="11"/>
  <c r="AE148" i="11"/>
  <c r="AC148" i="11"/>
  <c r="Z148" i="11"/>
  <c r="Y148" i="11"/>
  <c r="X148" i="11"/>
  <c r="W148" i="11"/>
  <c r="U148" i="11"/>
  <c r="T148" i="11"/>
  <c r="S148" i="11"/>
  <c r="Q148" i="11"/>
  <c r="P148" i="11"/>
  <c r="O148" i="11"/>
  <c r="N148" i="11"/>
  <c r="M148" i="11"/>
  <c r="L148" i="11"/>
  <c r="K148" i="11"/>
  <c r="J148" i="11"/>
  <c r="I148" i="11"/>
  <c r="H148" i="11"/>
  <c r="G148" i="11"/>
  <c r="F148" i="11" s="1" a="1"/>
  <c r="F148" i="11" s="1"/>
  <c r="L105" i="7" s="1"/>
  <c r="AJ147" i="11"/>
  <c r="AI147" i="11"/>
  <c r="AH147" i="11"/>
  <c r="AG147" i="11"/>
  <c r="AF147" i="11"/>
  <c r="AE147" i="11"/>
  <c r="AC147" i="11"/>
  <c r="Z147" i="11"/>
  <c r="Y147" i="11"/>
  <c r="X147" i="11"/>
  <c r="W147" i="11"/>
  <c r="U147" i="11"/>
  <c r="T147" i="11"/>
  <c r="S147" i="11"/>
  <c r="Q147" i="11"/>
  <c r="P147" i="11"/>
  <c r="O147" i="11"/>
  <c r="N147" i="11"/>
  <c r="F147" i="11" s="1" a="1"/>
  <c r="F147" i="11" s="1"/>
  <c r="M147" i="11"/>
  <c r="L147" i="11"/>
  <c r="K147" i="11"/>
  <c r="J147" i="11"/>
  <c r="I147" i="11"/>
  <c r="H147" i="11"/>
  <c r="G147" i="11"/>
  <c r="AJ146" i="11"/>
  <c r="AI146" i="11"/>
  <c r="AH146" i="11"/>
  <c r="AG146" i="11"/>
  <c r="AF146" i="11"/>
  <c r="AE146" i="11"/>
  <c r="AC146" i="11"/>
  <c r="Z146" i="11"/>
  <c r="Y146" i="11"/>
  <c r="X146" i="11"/>
  <c r="W146" i="11"/>
  <c r="U146" i="11"/>
  <c r="T146" i="11"/>
  <c r="S146" i="11"/>
  <c r="Q146" i="11"/>
  <c r="P146" i="11"/>
  <c r="O146" i="11"/>
  <c r="N146" i="11"/>
  <c r="M146" i="11"/>
  <c r="L146" i="11"/>
  <c r="K146" i="11"/>
  <c r="J146" i="11"/>
  <c r="I146" i="11"/>
  <c r="H146" i="11"/>
  <c r="G146" i="11"/>
  <c r="F146" i="11" a="1"/>
  <c r="F146" i="11" s="1"/>
  <c r="AJ145" i="11"/>
  <c r="AI145" i="11"/>
  <c r="AH145" i="11"/>
  <c r="AG145" i="11"/>
  <c r="AF145" i="11"/>
  <c r="AE145" i="11"/>
  <c r="AC145" i="11"/>
  <c r="Z145" i="11"/>
  <c r="Y145" i="11"/>
  <c r="X145" i="11"/>
  <c r="W145" i="11"/>
  <c r="U145" i="11"/>
  <c r="T145" i="11"/>
  <c r="S145" i="11"/>
  <c r="Q145" i="11"/>
  <c r="P145" i="11"/>
  <c r="O145" i="11"/>
  <c r="N145" i="11"/>
  <c r="M145" i="11"/>
  <c r="L145" i="11"/>
  <c r="K145" i="11"/>
  <c r="J145" i="11"/>
  <c r="I145" i="11"/>
  <c r="H145" i="11"/>
  <c r="F145" i="11" s="1" a="1"/>
  <c r="F145" i="11" s="1"/>
  <c r="G145" i="11"/>
  <c r="AJ144" i="11"/>
  <c r="AI144" i="11"/>
  <c r="AH144" i="11"/>
  <c r="AG144" i="11"/>
  <c r="AF144" i="11"/>
  <c r="AE144" i="11"/>
  <c r="AC144" i="11"/>
  <c r="Z144" i="11"/>
  <c r="Y144" i="11"/>
  <c r="X144" i="11"/>
  <c r="W144" i="11"/>
  <c r="U144" i="11"/>
  <c r="T144" i="11"/>
  <c r="S144" i="11"/>
  <c r="Q144" i="11"/>
  <c r="P144" i="11"/>
  <c r="O144" i="11"/>
  <c r="N144" i="11"/>
  <c r="M144" i="11"/>
  <c r="L144" i="11"/>
  <c r="K144" i="11"/>
  <c r="J144" i="11"/>
  <c r="I144" i="11"/>
  <c r="H144" i="11"/>
  <c r="G144" i="11"/>
  <c r="F144" i="11" s="1" a="1"/>
  <c r="F144" i="11" s="1"/>
  <c r="D144" i="11"/>
  <c r="F143" i="11" a="1"/>
  <c r="F143" i="11" s="1"/>
  <c r="AJ142" i="11"/>
  <c r="AI142" i="11"/>
  <c r="AH142" i="11"/>
  <c r="AG142" i="11"/>
  <c r="AF142" i="11"/>
  <c r="AE142" i="11"/>
  <c r="AC142" i="11"/>
  <c r="Z142" i="11"/>
  <c r="Y142" i="11"/>
  <c r="X142" i="11"/>
  <c r="W142" i="11"/>
  <c r="U142" i="11"/>
  <c r="T142" i="11"/>
  <c r="S142" i="11"/>
  <c r="Q142" i="11"/>
  <c r="P142" i="11"/>
  <c r="O142" i="11"/>
  <c r="N142" i="11"/>
  <c r="M142" i="11"/>
  <c r="L142" i="11"/>
  <c r="K142" i="11"/>
  <c r="J142" i="11"/>
  <c r="I142" i="11"/>
  <c r="H142" i="11"/>
  <c r="G142" i="11"/>
  <c r="F142" i="11" a="1"/>
  <c r="F142" i="11" s="1"/>
  <c r="AJ141" i="11"/>
  <c r="AI141" i="11"/>
  <c r="AH141" i="11"/>
  <c r="AG141" i="11"/>
  <c r="AF141" i="11"/>
  <c r="AE141" i="11"/>
  <c r="AC141" i="11"/>
  <c r="Z141" i="11"/>
  <c r="Y141" i="11"/>
  <c r="X141" i="11"/>
  <c r="W141" i="11"/>
  <c r="U141" i="11"/>
  <c r="T141" i="11"/>
  <c r="S141" i="11"/>
  <c r="Q141" i="11"/>
  <c r="P141" i="11"/>
  <c r="O141" i="11"/>
  <c r="N141" i="11"/>
  <c r="M141" i="11"/>
  <c r="L141" i="11"/>
  <c r="K141" i="11"/>
  <c r="J141" i="11"/>
  <c r="I141" i="11"/>
  <c r="H141" i="11"/>
  <c r="F141" i="11" s="1" a="1"/>
  <c r="F141" i="11" s="1"/>
  <c r="L99" i="7" s="1"/>
  <c r="G141" i="11"/>
  <c r="AJ140" i="11"/>
  <c r="AI140" i="11"/>
  <c r="AH140" i="11"/>
  <c r="AG140" i="11"/>
  <c r="AF140" i="11"/>
  <c r="AE140" i="11"/>
  <c r="AC140" i="11"/>
  <c r="Z140" i="11"/>
  <c r="Y140" i="11"/>
  <c r="X140" i="11"/>
  <c r="W140" i="11"/>
  <c r="U140" i="11"/>
  <c r="T140" i="11"/>
  <c r="S140" i="11"/>
  <c r="Q140" i="11"/>
  <c r="P140" i="11"/>
  <c r="O140" i="11"/>
  <c r="N140" i="11"/>
  <c r="M140" i="11"/>
  <c r="L140" i="11"/>
  <c r="K140" i="11"/>
  <c r="J140" i="11"/>
  <c r="I140" i="11"/>
  <c r="H140" i="11"/>
  <c r="G140" i="11"/>
  <c r="F140" i="11" s="1" a="1"/>
  <c r="F140" i="11" s="1"/>
  <c r="L98" i="7" s="1"/>
  <c r="D140" i="11"/>
  <c r="F139" i="11" a="1"/>
  <c r="F139" i="11" s="1"/>
  <c r="AJ138" i="11"/>
  <c r="AI138" i="11"/>
  <c r="AH138" i="11"/>
  <c r="AG138" i="11"/>
  <c r="AF138" i="11"/>
  <c r="AE138" i="11"/>
  <c r="AC138" i="11"/>
  <c r="Z138" i="11"/>
  <c r="Y138" i="11"/>
  <c r="X138" i="11"/>
  <c r="W138" i="11"/>
  <c r="U138" i="11"/>
  <c r="T138" i="11"/>
  <c r="S138" i="11"/>
  <c r="Q138" i="11"/>
  <c r="P138" i="11"/>
  <c r="O138" i="11"/>
  <c r="N138" i="11"/>
  <c r="M138" i="11"/>
  <c r="L138" i="11"/>
  <c r="K138" i="11"/>
  <c r="J138" i="11"/>
  <c r="I138" i="11"/>
  <c r="H138" i="11"/>
  <c r="G138" i="11"/>
  <c r="F138" i="11" a="1"/>
  <c r="F138" i="11" s="1"/>
  <c r="AJ137" i="11"/>
  <c r="AI137" i="11"/>
  <c r="AH137" i="11"/>
  <c r="AG137" i="11"/>
  <c r="AF137" i="11"/>
  <c r="AE137" i="11"/>
  <c r="AC137" i="11"/>
  <c r="Z137" i="11"/>
  <c r="Y137" i="11"/>
  <c r="X137" i="11"/>
  <c r="W137" i="11"/>
  <c r="U137" i="11"/>
  <c r="T137" i="11"/>
  <c r="S137" i="11"/>
  <c r="Q137" i="11"/>
  <c r="P137" i="11"/>
  <c r="O137" i="11"/>
  <c r="N137" i="11"/>
  <c r="M137" i="11"/>
  <c r="L137" i="11"/>
  <c r="K137" i="11"/>
  <c r="J137" i="11"/>
  <c r="I137" i="11"/>
  <c r="H137" i="11"/>
  <c r="F137" i="11" s="1" a="1"/>
  <c r="F137" i="11" s="1"/>
  <c r="G137" i="11"/>
  <c r="AJ136" i="11"/>
  <c r="AI136" i="11"/>
  <c r="AH136" i="11"/>
  <c r="AG136" i="11"/>
  <c r="AF136" i="11"/>
  <c r="AE136" i="11"/>
  <c r="AC136" i="11"/>
  <c r="Z136" i="11"/>
  <c r="Y136" i="11"/>
  <c r="X136" i="11"/>
  <c r="W136" i="11"/>
  <c r="U136" i="11"/>
  <c r="T136" i="11"/>
  <c r="S136" i="11"/>
  <c r="Q136" i="11"/>
  <c r="P136" i="11"/>
  <c r="O136" i="11"/>
  <c r="N136" i="11"/>
  <c r="M136" i="11"/>
  <c r="L136" i="11"/>
  <c r="K136" i="11"/>
  <c r="J136" i="11"/>
  <c r="I136" i="11"/>
  <c r="H136" i="11"/>
  <c r="G136" i="11"/>
  <c r="F136" i="11" s="1" a="1"/>
  <c r="F136" i="11" s="1"/>
  <c r="AJ135" i="11"/>
  <c r="AI135" i="11"/>
  <c r="AH135" i="11"/>
  <c r="AG135" i="11"/>
  <c r="AF135" i="11"/>
  <c r="AE135" i="11"/>
  <c r="AC135" i="11"/>
  <c r="Z135" i="11"/>
  <c r="Y135" i="11"/>
  <c r="X135" i="11"/>
  <c r="W135" i="11"/>
  <c r="U135" i="11"/>
  <c r="T135" i="11"/>
  <c r="S135" i="11"/>
  <c r="Q135" i="11"/>
  <c r="P135" i="11"/>
  <c r="O135" i="11"/>
  <c r="N135" i="11"/>
  <c r="F135" i="11" s="1" a="1"/>
  <c r="F135" i="11" s="1"/>
  <c r="M135" i="11"/>
  <c r="L135" i="11"/>
  <c r="K135" i="11"/>
  <c r="J135" i="11"/>
  <c r="I135" i="11"/>
  <c r="H135" i="11"/>
  <c r="G135" i="11"/>
  <c r="AJ134" i="11"/>
  <c r="AI134" i="11"/>
  <c r="AH134" i="11"/>
  <c r="AG134" i="11"/>
  <c r="AF134" i="11"/>
  <c r="AE134" i="11"/>
  <c r="AC134" i="11"/>
  <c r="Z134" i="11"/>
  <c r="Y134" i="11"/>
  <c r="X134" i="11"/>
  <c r="W134" i="11"/>
  <c r="U134" i="11"/>
  <c r="T134" i="11"/>
  <c r="S134" i="11"/>
  <c r="Q134" i="11"/>
  <c r="P134" i="11"/>
  <c r="O134" i="11"/>
  <c r="N134" i="11"/>
  <c r="M134" i="11"/>
  <c r="L134" i="11"/>
  <c r="K134" i="11"/>
  <c r="J134" i="11"/>
  <c r="I134" i="11"/>
  <c r="H134" i="11"/>
  <c r="G134" i="11"/>
  <c r="F134" i="11" a="1"/>
  <c r="F134" i="11" s="1"/>
  <c r="D134" i="11"/>
  <c r="AJ133" i="11"/>
  <c r="AI133" i="11"/>
  <c r="AH133" i="11"/>
  <c r="AG133" i="11"/>
  <c r="AF133" i="11"/>
  <c r="AE133" i="11"/>
  <c r="AC133" i="11"/>
  <c r="Z133" i="11"/>
  <c r="Y133" i="11"/>
  <c r="X133" i="11"/>
  <c r="W133" i="11"/>
  <c r="U133" i="11"/>
  <c r="T133" i="11"/>
  <c r="S133" i="11"/>
  <c r="Q133" i="11"/>
  <c r="P133" i="11"/>
  <c r="O133" i="11"/>
  <c r="N133" i="11"/>
  <c r="M133" i="11"/>
  <c r="L133" i="11"/>
  <c r="K133" i="11"/>
  <c r="J133" i="11"/>
  <c r="I133" i="11"/>
  <c r="F133" i="11" s="1" a="1"/>
  <c r="F133" i="11" s="1"/>
  <c r="H133" i="11"/>
  <c r="G133" i="11"/>
  <c r="D133" i="11"/>
  <c r="F132" i="11" a="1"/>
  <c r="F132" i="11" s="1"/>
  <c r="F131" i="11" a="1"/>
  <c r="F131" i="11" s="1"/>
  <c r="F130" i="11" a="1"/>
  <c r="F130" i="11" s="1"/>
  <c r="AJ129" i="11"/>
  <c r="AI129" i="11"/>
  <c r="AH129" i="11"/>
  <c r="AG129" i="11"/>
  <c r="AF129" i="11"/>
  <c r="AE129" i="11"/>
  <c r="AC129" i="11"/>
  <c r="Z129" i="11"/>
  <c r="Y129" i="11"/>
  <c r="X129" i="11"/>
  <c r="W129" i="11"/>
  <c r="U129" i="11"/>
  <c r="T129" i="11"/>
  <c r="S129" i="11"/>
  <c r="Q129" i="11"/>
  <c r="P129" i="11"/>
  <c r="O129" i="11"/>
  <c r="N129" i="11"/>
  <c r="M129" i="11"/>
  <c r="L129" i="11"/>
  <c r="K129" i="11"/>
  <c r="J129" i="11"/>
  <c r="I129" i="11"/>
  <c r="H129" i="11"/>
  <c r="G129" i="11"/>
  <c r="F129" i="11" s="1" a="1"/>
  <c r="F129" i="11" s="1"/>
  <c r="AJ128" i="11"/>
  <c r="AI128" i="11"/>
  <c r="AH128" i="11"/>
  <c r="AG128" i="11"/>
  <c r="AF128" i="11"/>
  <c r="AE128" i="11"/>
  <c r="AC128" i="11"/>
  <c r="Z128" i="11"/>
  <c r="Y128" i="11"/>
  <c r="X128" i="11"/>
  <c r="W128" i="11"/>
  <c r="U128" i="11"/>
  <c r="T128" i="11"/>
  <c r="S128" i="11"/>
  <c r="Q128" i="11"/>
  <c r="P128" i="11"/>
  <c r="O128" i="11"/>
  <c r="N128" i="11"/>
  <c r="M128" i="11"/>
  <c r="L128" i="11"/>
  <c r="K128" i="11"/>
  <c r="J128" i="11"/>
  <c r="I128" i="11"/>
  <c r="H128" i="11"/>
  <c r="G128" i="11"/>
  <c r="F128" i="11" s="1" a="1"/>
  <c r="F128" i="11" s="1"/>
  <c r="AJ127" i="11"/>
  <c r="AI127" i="11"/>
  <c r="AH127" i="11"/>
  <c r="AG127" i="11"/>
  <c r="AF127" i="11"/>
  <c r="AE127" i="11"/>
  <c r="AC127" i="11"/>
  <c r="Z127" i="11"/>
  <c r="Y127" i="11"/>
  <c r="X127" i="11"/>
  <c r="W127" i="11"/>
  <c r="U127" i="11"/>
  <c r="T127" i="11"/>
  <c r="S127" i="11"/>
  <c r="Q127" i="11"/>
  <c r="P127" i="11"/>
  <c r="O127" i="11"/>
  <c r="N127" i="11"/>
  <c r="M127" i="11"/>
  <c r="L127" i="11"/>
  <c r="K127" i="11"/>
  <c r="J127" i="11"/>
  <c r="I127" i="11"/>
  <c r="H127" i="11"/>
  <c r="G127" i="11"/>
  <c r="F127" i="11" s="1" a="1"/>
  <c r="F127" i="11" s="1"/>
  <c r="D127" i="11"/>
  <c r="F126" i="11" a="1"/>
  <c r="F126" i="11" s="1"/>
  <c r="F125" i="11"/>
  <c r="F125" i="11" a="1"/>
  <c r="AJ124" i="11"/>
  <c r="AI124" i="11"/>
  <c r="AH124" i="11"/>
  <c r="AG124" i="11"/>
  <c r="AF124" i="11"/>
  <c r="AE124" i="11"/>
  <c r="AC124" i="11"/>
  <c r="Z124" i="11"/>
  <c r="Y124" i="11"/>
  <c r="X124" i="11"/>
  <c r="W124" i="11"/>
  <c r="U124" i="11"/>
  <c r="T124" i="11"/>
  <c r="S124" i="11"/>
  <c r="Q124" i="11"/>
  <c r="P124" i="11"/>
  <c r="O124" i="11"/>
  <c r="N124" i="11"/>
  <c r="M124" i="11"/>
  <c r="L124" i="11"/>
  <c r="K124" i="11"/>
  <c r="J124" i="11"/>
  <c r="I124" i="11"/>
  <c r="F124" i="11" s="1" a="1"/>
  <c r="F124" i="11" s="1"/>
  <c r="H124" i="11"/>
  <c r="G124" i="11"/>
  <c r="AJ123" i="11"/>
  <c r="AI123" i="11"/>
  <c r="AH123" i="11"/>
  <c r="AG123" i="11"/>
  <c r="AF123" i="11"/>
  <c r="AE123" i="11"/>
  <c r="AC123" i="11"/>
  <c r="Z123" i="11"/>
  <c r="Y123" i="11"/>
  <c r="X123" i="11"/>
  <c r="W123" i="11"/>
  <c r="U123" i="11"/>
  <c r="T123" i="11"/>
  <c r="S123" i="11"/>
  <c r="Q123" i="11"/>
  <c r="P123" i="11"/>
  <c r="O123" i="11"/>
  <c r="N123" i="11"/>
  <c r="M123" i="11"/>
  <c r="L123" i="11"/>
  <c r="K123" i="11"/>
  <c r="J123" i="11"/>
  <c r="I123" i="11"/>
  <c r="H123" i="11"/>
  <c r="F123" i="11" s="1" a="1"/>
  <c r="F123" i="11" s="1"/>
  <c r="G123" i="11"/>
  <c r="AJ122" i="11"/>
  <c r="AI122" i="11"/>
  <c r="AH122" i="11"/>
  <c r="AG122" i="11"/>
  <c r="AF122" i="11"/>
  <c r="AE122" i="11"/>
  <c r="AC122" i="11"/>
  <c r="Z122" i="11"/>
  <c r="Y122" i="11"/>
  <c r="X122" i="11"/>
  <c r="W122" i="11"/>
  <c r="U122" i="11"/>
  <c r="T122" i="11"/>
  <c r="S122" i="11"/>
  <c r="Q122" i="11"/>
  <c r="P122" i="11"/>
  <c r="O122" i="11"/>
  <c r="N122" i="11"/>
  <c r="M122" i="11"/>
  <c r="L122" i="11"/>
  <c r="K122" i="11"/>
  <c r="J122" i="11"/>
  <c r="I122" i="11"/>
  <c r="H122" i="11"/>
  <c r="F122" i="11" s="1" a="1"/>
  <c r="F122" i="11" s="1"/>
  <c r="L87" i="7" s="1"/>
  <c r="G122" i="11"/>
  <c r="AJ121" i="11"/>
  <c r="AI121" i="11"/>
  <c r="AH121" i="11"/>
  <c r="AG121" i="11"/>
  <c r="AF121" i="11"/>
  <c r="AE121" i="11"/>
  <c r="AC121" i="11"/>
  <c r="Z121" i="11"/>
  <c r="Y121" i="11"/>
  <c r="X121" i="11"/>
  <c r="W121" i="11"/>
  <c r="U121" i="11"/>
  <c r="T121" i="11"/>
  <c r="S121" i="11"/>
  <c r="Q121" i="11"/>
  <c r="P121" i="11"/>
  <c r="O121" i="11"/>
  <c r="N121" i="11"/>
  <c r="M121" i="11"/>
  <c r="L121" i="11"/>
  <c r="K121" i="11"/>
  <c r="J121" i="11"/>
  <c r="I121" i="11"/>
  <c r="H121" i="11"/>
  <c r="F121" i="11" s="1" a="1"/>
  <c r="F121" i="11" s="1"/>
  <c r="G121" i="11"/>
  <c r="AJ120" i="11"/>
  <c r="AI120" i="11"/>
  <c r="AH120" i="11"/>
  <c r="AG120" i="11"/>
  <c r="AF120" i="11"/>
  <c r="AE120" i="11"/>
  <c r="AC120" i="11"/>
  <c r="Z120" i="11"/>
  <c r="Y120" i="11"/>
  <c r="X120" i="11"/>
  <c r="W120" i="11"/>
  <c r="U120" i="11"/>
  <c r="T120" i="11"/>
  <c r="S120" i="11"/>
  <c r="Q120" i="11"/>
  <c r="P120" i="11"/>
  <c r="O120" i="11"/>
  <c r="N120" i="11"/>
  <c r="M120" i="11"/>
  <c r="L120" i="11"/>
  <c r="K120" i="11"/>
  <c r="J120" i="11"/>
  <c r="I120" i="11"/>
  <c r="F120" i="11" s="1" a="1"/>
  <c r="F120" i="11" s="1"/>
  <c r="L85" i="7" s="1"/>
  <c r="H120" i="11"/>
  <c r="G120" i="11"/>
  <c r="AJ119" i="11"/>
  <c r="AI119" i="11"/>
  <c r="AH119" i="11"/>
  <c r="AG119" i="11"/>
  <c r="AF119" i="11"/>
  <c r="AE119" i="11"/>
  <c r="AC119" i="11"/>
  <c r="Z119" i="11"/>
  <c r="Y119" i="11"/>
  <c r="X119" i="11"/>
  <c r="W119" i="11"/>
  <c r="U119" i="11"/>
  <c r="T119" i="11"/>
  <c r="S119" i="11"/>
  <c r="Q119" i="11"/>
  <c r="P119" i="11"/>
  <c r="O119" i="11"/>
  <c r="N119" i="11"/>
  <c r="M119" i="11"/>
  <c r="L119" i="11"/>
  <c r="K119" i="11"/>
  <c r="J119" i="11"/>
  <c r="I119" i="11"/>
  <c r="H119" i="11"/>
  <c r="F119" i="11" s="1" a="1"/>
  <c r="F119" i="11" s="1"/>
  <c r="L84" i="7" s="1"/>
  <c r="G119" i="11"/>
  <c r="AJ118" i="11"/>
  <c r="AI118" i="11"/>
  <c r="AH118" i="11"/>
  <c r="AG118" i="11"/>
  <c r="AF118" i="11"/>
  <c r="AE118" i="11"/>
  <c r="AC118" i="11"/>
  <c r="Z118" i="11"/>
  <c r="Y118" i="11"/>
  <c r="X118" i="11"/>
  <c r="W118" i="11"/>
  <c r="U118" i="11"/>
  <c r="T118" i="11"/>
  <c r="S118" i="11"/>
  <c r="Q118" i="11"/>
  <c r="P118" i="11"/>
  <c r="O118" i="11"/>
  <c r="N118" i="11"/>
  <c r="M118" i="11"/>
  <c r="L118" i="11"/>
  <c r="K118" i="11"/>
  <c r="J118" i="11"/>
  <c r="I118" i="11"/>
  <c r="H118" i="11"/>
  <c r="F118" i="11" s="1" a="1"/>
  <c r="F118" i="11" s="1"/>
  <c r="G118" i="11"/>
  <c r="AJ117" i="11"/>
  <c r="AI117" i="11"/>
  <c r="AH117" i="11"/>
  <c r="AG117" i="11"/>
  <c r="AF117" i="11"/>
  <c r="AE117" i="11"/>
  <c r="AC117" i="11"/>
  <c r="Z117" i="11"/>
  <c r="Y117" i="11"/>
  <c r="X117" i="11"/>
  <c r="W117" i="11"/>
  <c r="U117" i="11"/>
  <c r="T117" i="11"/>
  <c r="S117" i="11"/>
  <c r="Q117" i="11"/>
  <c r="P117" i="11"/>
  <c r="O117" i="11"/>
  <c r="N117" i="11"/>
  <c r="M117" i="11"/>
  <c r="L117" i="11"/>
  <c r="K117" i="11"/>
  <c r="J117" i="11"/>
  <c r="I117" i="11"/>
  <c r="H117" i="11"/>
  <c r="F117" i="11" s="1" a="1"/>
  <c r="F117" i="11" s="1"/>
  <c r="L82" i="7" s="1"/>
  <c r="G117" i="11"/>
  <c r="AJ116" i="11"/>
  <c r="AI116" i="11"/>
  <c r="AH116" i="11"/>
  <c r="AG116" i="11"/>
  <c r="AF116" i="11"/>
  <c r="AE116" i="11"/>
  <c r="AC116" i="11"/>
  <c r="Z116" i="11"/>
  <c r="Y116" i="11"/>
  <c r="X116" i="11"/>
  <c r="W116" i="11"/>
  <c r="U116" i="11"/>
  <c r="T116" i="11"/>
  <c r="S116" i="11"/>
  <c r="Q116" i="11"/>
  <c r="P116" i="11"/>
  <c r="O116" i="11"/>
  <c r="N116" i="11"/>
  <c r="M116" i="11"/>
  <c r="L116" i="11"/>
  <c r="K116" i="11"/>
  <c r="J116" i="11"/>
  <c r="I116" i="11"/>
  <c r="F116" i="11" s="1" a="1"/>
  <c r="F116" i="11" s="1"/>
  <c r="H116" i="11"/>
  <c r="G116" i="11"/>
  <c r="AJ115" i="11"/>
  <c r="AI115" i="11"/>
  <c r="AH115" i="11"/>
  <c r="AG115" i="11"/>
  <c r="AF115" i="11"/>
  <c r="AE115" i="11"/>
  <c r="AC115" i="11"/>
  <c r="Z115" i="11"/>
  <c r="Y115" i="11"/>
  <c r="X115" i="11"/>
  <c r="W115" i="11"/>
  <c r="U115" i="11"/>
  <c r="T115" i="11"/>
  <c r="S115" i="11"/>
  <c r="Q115" i="11"/>
  <c r="P115" i="11"/>
  <c r="O115" i="11"/>
  <c r="N115" i="11"/>
  <c r="M115" i="11"/>
  <c r="L115" i="11"/>
  <c r="K115" i="11"/>
  <c r="J115" i="11"/>
  <c r="I115" i="11"/>
  <c r="H115" i="11"/>
  <c r="F115" i="11" s="1" a="1"/>
  <c r="F115" i="11" s="1"/>
  <c r="G115" i="11"/>
  <c r="AJ114" i="11"/>
  <c r="AI114" i="11"/>
  <c r="AH114" i="11"/>
  <c r="AG114" i="11"/>
  <c r="AF114" i="11"/>
  <c r="AE114" i="11"/>
  <c r="AC114" i="11"/>
  <c r="Z114" i="11"/>
  <c r="Y114" i="11"/>
  <c r="X114" i="11"/>
  <c r="W114" i="11"/>
  <c r="U114" i="11"/>
  <c r="T114" i="11"/>
  <c r="S114" i="11"/>
  <c r="Q114" i="11"/>
  <c r="P114" i="11"/>
  <c r="O114" i="11"/>
  <c r="N114" i="11"/>
  <c r="M114" i="11"/>
  <c r="L114" i="11"/>
  <c r="K114" i="11"/>
  <c r="J114" i="11"/>
  <c r="I114" i="11"/>
  <c r="H114" i="11"/>
  <c r="F114" i="11" s="1" a="1"/>
  <c r="F114" i="11" s="1"/>
  <c r="G114" i="11"/>
  <c r="AJ113" i="11"/>
  <c r="AI113" i="11"/>
  <c r="AH113" i="11"/>
  <c r="AG113" i="11"/>
  <c r="AF113" i="11"/>
  <c r="AE113" i="11"/>
  <c r="AC113" i="11"/>
  <c r="Z113" i="11"/>
  <c r="Y113" i="11"/>
  <c r="X113" i="11"/>
  <c r="W113" i="11"/>
  <c r="U113" i="11"/>
  <c r="T113" i="11"/>
  <c r="S113" i="11"/>
  <c r="Q113" i="11"/>
  <c r="P113" i="11"/>
  <c r="O113" i="11"/>
  <c r="N113" i="11"/>
  <c r="M113" i="11"/>
  <c r="L113" i="11"/>
  <c r="K113" i="11"/>
  <c r="J113" i="11"/>
  <c r="I113" i="11"/>
  <c r="H113" i="11"/>
  <c r="F113" i="11" s="1" a="1"/>
  <c r="F113" i="11" s="1"/>
  <c r="G113" i="11"/>
  <c r="AJ112" i="11"/>
  <c r="AI112" i="11"/>
  <c r="AH112" i="11"/>
  <c r="AG112" i="11"/>
  <c r="AF112" i="11"/>
  <c r="AE112" i="11"/>
  <c r="AC112" i="11"/>
  <c r="Z112" i="11"/>
  <c r="Y112" i="11"/>
  <c r="X112" i="11"/>
  <c r="W112" i="11"/>
  <c r="U112" i="11"/>
  <c r="T112" i="11"/>
  <c r="S112" i="11"/>
  <c r="Q112" i="11"/>
  <c r="P112" i="11"/>
  <c r="O112" i="11"/>
  <c r="N112" i="11"/>
  <c r="M112" i="11"/>
  <c r="L112" i="11"/>
  <c r="K112" i="11"/>
  <c r="J112" i="11"/>
  <c r="I112" i="11"/>
  <c r="F112" i="11" s="1" a="1"/>
  <c r="F112" i="11" s="1"/>
  <c r="H112" i="11"/>
  <c r="G112" i="11"/>
  <c r="D112" i="11"/>
  <c r="AJ111" i="11"/>
  <c r="AI111" i="11"/>
  <c r="AH111" i="11"/>
  <c r="AG111" i="11"/>
  <c r="AF111" i="11"/>
  <c r="AE111" i="11"/>
  <c r="AC111" i="11"/>
  <c r="Z111" i="11"/>
  <c r="Y111" i="11"/>
  <c r="X111" i="11"/>
  <c r="W111" i="11"/>
  <c r="U111" i="11"/>
  <c r="T111" i="11"/>
  <c r="S111" i="11"/>
  <c r="Q111" i="11"/>
  <c r="P111" i="11"/>
  <c r="O111" i="11"/>
  <c r="N111" i="11"/>
  <c r="M111" i="11"/>
  <c r="L111" i="11"/>
  <c r="K111" i="11"/>
  <c r="J111" i="11"/>
  <c r="I111" i="11"/>
  <c r="H111" i="11"/>
  <c r="G111" i="11"/>
  <c r="F111" i="11" s="1" a="1"/>
  <c r="F111" i="11" s="1"/>
  <c r="D111" i="11"/>
  <c r="AJ110" i="11"/>
  <c r="AI110" i="11"/>
  <c r="AH110" i="11"/>
  <c r="AG110" i="11"/>
  <c r="AF110" i="11"/>
  <c r="AE110" i="11"/>
  <c r="AC110" i="11"/>
  <c r="Z110" i="11"/>
  <c r="Y110" i="11"/>
  <c r="X110" i="11"/>
  <c r="W110" i="11"/>
  <c r="U110" i="11"/>
  <c r="T110" i="11"/>
  <c r="S110" i="11"/>
  <c r="Q110" i="11"/>
  <c r="P110" i="11"/>
  <c r="O110" i="11"/>
  <c r="N110" i="11"/>
  <c r="M110" i="11"/>
  <c r="L110" i="11"/>
  <c r="K110" i="11"/>
  <c r="J110" i="11"/>
  <c r="I110" i="11"/>
  <c r="H110" i="11"/>
  <c r="G110" i="11"/>
  <c r="F110" i="11" a="1"/>
  <c r="F110" i="11" s="1"/>
  <c r="L153" i="7" s="1"/>
  <c r="D110" i="11"/>
  <c r="F109" i="11" a="1"/>
  <c r="F109" i="11" s="1"/>
  <c r="F108" i="11" a="1"/>
  <c r="F108" i="11" s="1"/>
  <c r="F107" i="11" a="1"/>
  <c r="F107" i="11" s="1"/>
  <c r="AJ106" i="11"/>
  <c r="AI106" i="11"/>
  <c r="AH106" i="11"/>
  <c r="AG106" i="11"/>
  <c r="AF106" i="11"/>
  <c r="AE106" i="11"/>
  <c r="AC106" i="11"/>
  <c r="Z106" i="11"/>
  <c r="Y106" i="11"/>
  <c r="X106" i="11"/>
  <c r="W106" i="11"/>
  <c r="U106" i="11"/>
  <c r="T106" i="11"/>
  <c r="S106" i="11"/>
  <c r="Q106" i="11"/>
  <c r="P106" i="11"/>
  <c r="O106" i="11"/>
  <c r="N106" i="11"/>
  <c r="M106" i="11"/>
  <c r="L106" i="11"/>
  <c r="K106" i="11"/>
  <c r="J106" i="11"/>
  <c r="I106" i="11"/>
  <c r="H106" i="11"/>
  <c r="F106" i="11" s="1" a="1"/>
  <c r="F106" i="11" s="1"/>
  <c r="L76" i="7" s="1"/>
  <c r="G106" i="11"/>
  <c r="D106" i="11"/>
  <c r="F105" i="11" a="1"/>
  <c r="F105" i="11" s="1"/>
  <c r="AJ104" i="11"/>
  <c r="AI104" i="11"/>
  <c r="AH104" i="11"/>
  <c r="AG104" i="11"/>
  <c r="AF104" i="11"/>
  <c r="AE104" i="11"/>
  <c r="AC104" i="11"/>
  <c r="Z104" i="11"/>
  <c r="Y104" i="11"/>
  <c r="X104" i="11"/>
  <c r="W104" i="11"/>
  <c r="U104" i="11"/>
  <c r="T104" i="11"/>
  <c r="S104" i="11"/>
  <c r="Q104" i="11"/>
  <c r="P104" i="11"/>
  <c r="O104" i="11"/>
  <c r="N104" i="11"/>
  <c r="M104" i="11"/>
  <c r="L104" i="11"/>
  <c r="K104" i="11"/>
  <c r="J104" i="11"/>
  <c r="I104" i="11"/>
  <c r="F104" i="11" s="1" a="1"/>
  <c r="F104" i="11" s="1"/>
  <c r="H104" i="11"/>
  <c r="G104" i="11"/>
  <c r="F103" i="11" a="1"/>
  <c r="F103" i="11" s="1"/>
  <c r="F102" i="11" a="1"/>
  <c r="F102" i="11" s="1"/>
  <c r="F101" i="11" a="1"/>
  <c r="F101" i="11" s="1"/>
  <c r="F100" i="11" a="1"/>
  <c r="F100" i="11" s="1"/>
  <c r="F99" i="11" a="1"/>
  <c r="F99" i="11" s="1"/>
  <c r="F98" i="11" a="1"/>
  <c r="F98" i="11" s="1"/>
  <c r="F97" i="11" a="1"/>
  <c r="F97" i="11" s="1"/>
  <c r="F96" i="11" a="1"/>
  <c r="F96" i="11" s="1"/>
  <c r="AJ95" i="11"/>
  <c r="AI95" i="11"/>
  <c r="AH95" i="11"/>
  <c r="AG95" i="11"/>
  <c r="AF95" i="11"/>
  <c r="AE95" i="11"/>
  <c r="AC95" i="11"/>
  <c r="Z95" i="11"/>
  <c r="Y95" i="11"/>
  <c r="X95" i="11"/>
  <c r="W95" i="11"/>
  <c r="U95" i="11"/>
  <c r="Q95" i="11"/>
  <c r="P95" i="11"/>
  <c r="O95" i="11"/>
  <c r="N95" i="11"/>
  <c r="F95" i="11" s="1" a="1"/>
  <c r="F95" i="11" s="1"/>
  <c r="M95" i="11"/>
  <c r="L95" i="11"/>
  <c r="K95" i="11"/>
  <c r="J95" i="11"/>
  <c r="I95" i="11"/>
  <c r="H95" i="11"/>
  <c r="G95" i="11"/>
  <c r="AJ94" i="11"/>
  <c r="AI94" i="11"/>
  <c r="AH94" i="11"/>
  <c r="AG94" i="11"/>
  <c r="AF94" i="11"/>
  <c r="AE94" i="11"/>
  <c r="AC94" i="11"/>
  <c r="Z94" i="11"/>
  <c r="Y94" i="11"/>
  <c r="X94" i="11"/>
  <c r="W94" i="11"/>
  <c r="U94" i="11"/>
  <c r="Q94" i="11"/>
  <c r="P94" i="11"/>
  <c r="O94" i="11"/>
  <c r="N94" i="11"/>
  <c r="M94" i="11"/>
  <c r="L94" i="11"/>
  <c r="K94" i="11"/>
  <c r="F94" i="11" s="1" a="1"/>
  <c r="F94" i="11" s="1"/>
  <c r="J94" i="11"/>
  <c r="I94" i="11"/>
  <c r="H94" i="11"/>
  <c r="G94" i="11"/>
  <c r="AJ93" i="11"/>
  <c r="AI93" i="11"/>
  <c r="AH93" i="11"/>
  <c r="AG93" i="11"/>
  <c r="AF93" i="11"/>
  <c r="AE93" i="11"/>
  <c r="AC93" i="11"/>
  <c r="Z93" i="11"/>
  <c r="Y93" i="11"/>
  <c r="X93" i="11"/>
  <c r="W93" i="11"/>
  <c r="U93" i="11"/>
  <c r="Q93" i="11"/>
  <c r="P93" i="11"/>
  <c r="O93" i="11"/>
  <c r="N93" i="11"/>
  <c r="M93" i="11"/>
  <c r="L93" i="11"/>
  <c r="K93" i="11"/>
  <c r="J93" i="11"/>
  <c r="I93" i="11"/>
  <c r="H93" i="11"/>
  <c r="G93" i="11"/>
  <c r="F93" i="11" s="1" a="1"/>
  <c r="F93" i="11" s="1"/>
  <c r="D93" i="11"/>
  <c r="F92" i="11" a="1"/>
  <c r="F92" i="11" s="1"/>
  <c r="U91" i="11"/>
  <c r="T91" i="11"/>
  <c r="S91" i="11"/>
  <c r="Q91" i="11"/>
  <c r="P91" i="11"/>
  <c r="O91" i="11"/>
  <c r="N91" i="11"/>
  <c r="M91" i="11"/>
  <c r="L91" i="11"/>
  <c r="K91" i="11"/>
  <c r="J91" i="11"/>
  <c r="I91" i="11"/>
  <c r="H91" i="11"/>
  <c r="G91" i="11"/>
  <c r="F91" i="11" s="1" a="1"/>
  <c r="F91" i="11" s="1"/>
  <c r="L72" i="7" s="1"/>
  <c r="AJ90" i="11"/>
  <c r="AI90" i="11"/>
  <c r="AH90" i="11"/>
  <c r="AG90" i="11"/>
  <c r="AF90" i="11"/>
  <c r="AE90" i="11"/>
  <c r="AC90" i="11"/>
  <c r="Z90" i="11"/>
  <c r="Y90" i="11"/>
  <c r="X90" i="11"/>
  <c r="W90" i="11"/>
  <c r="U90" i="11"/>
  <c r="T90" i="11"/>
  <c r="S90" i="11"/>
  <c r="Q90" i="11"/>
  <c r="P90" i="11"/>
  <c r="O90" i="11"/>
  <c r="N90" i="11"/>
  <c r="F90" i="11" s="1" a="1"/>
  <c r="F90" i="11" s="1"/>
  <c r="M90" i="11"/>
  <c r="L90" i="11"/>
  <c r="K90" i="11"/>
  <c r="J90" i="11"/>
  <c r="I90" i="11"/>
  <c r="H90" i="11"/>
  <c r="G90" i="11"/>
  <c r="AJ89" i="11"/>
  <c r="AI89" i="11"/>
  <c r="AH89" i="11"/>
  <c r="AG89" i="11"/>
  <c r="AF89" i="11"/>
  <c r="AE89" i="11"/>
  <c r="AC89" i="11"/>
  <c r="Z89" i="11"/>
  <c r="Y89" i="11"/>
  <c r="X89" i="11"/>
  <c r="W89" i="11"/>
  <c r="U89" i="11"/>
  <c r="T89" i="11"/>
  <c r="S89" i="11"/>
  <c r="Q89" i="11"/>
  <c r="P89" i="11"/>
  <c r="O89" i="11"/>
  <c r="N89" i="11"/>
  <c r="M89" i="11"/>
  <c r="L89" i="11"/>
  <c r="K89" i="11"/>
  <c r="J89" i="11"/>
  <c r="I89" i="11"/>
  <c r="H89" i="11"/>
  <c r="G89" i="11"/>
  <c r="F89" i="11" a="1"/>
  <c r="F89" i="11" s="1"/>
  <c r="D89" i="11"/>
  <c r="AJ88" i="11"/>
  <c r="AI88" i="11"/>
  <c r="AH88" i="11"/>
  <c r="AG88" i="11"/>
  <c r="AF88" i="11"/>
  <c r="AE88" i="11"/>
  <c r="AC88" i="11"/>
  <c r="Z88" i="11"/>
  <c r="Y88" i="11"/>
  <c r="X88" i="11"/>
  <c r="W88" i="11"/>
  <c r="U88" i="11"/>
  <c r="T88" i="11"/>
  <c r="S88" i="11"/>
  <c r="Q88" i="11"/>
  <c r="P88" i="11"/>
  <c r="O88" i="11"/>
  <c r="N88" i="11"/>
  <c r="M88" i="11"/>
  <c r="L88" i="11"/>
  <c r="K88" i="11"/>
  <c r="J88" i="11"/>
  <c r="I88" i="11"/>
  <c r="F88" i="11" s="1" a="1"/>
  <c r="F88" i="11" s="1"/>
  <c r="L69" i="7" s="1"/>
  <c r="H88" i="11"/>
  <c r="G88" i="11"/>
  <c r="D88" i="11"/>
  <c r="AJ87" i="11"/>
  <c r="AI87" i="11"/>
  <c r="AH87" i="11"/>
  <c r="AG87" i="11"/>
  <c r="AF87" i="11"/>
  <c r="AE87" i="11"/>
  <c r="AC87" i="11"/>
  <c r="Z87" i="11"/>
  <c r="Y87" i="11"/>
  <c r="X87" i="11"/>
  <c r="W87" i="11"/>
  <c r="U87" i="11"/>
  <c r="T87" i="11"/>
  <c r="S87" i="11"/>
  <c r="Q87" i="11"/>
  <c r="P87" i="11"/>
  <c r="O87" i="11"/>
  <c r="N87" i="11"/>
  <c r="M87" i="11"/>
  <c r="L87" i="11"/>
  <c r="K87" i="11"/>
  <c r="J87" i="11"/>
  <c r="I87" i="11"/>
  <c r="H87" i="11"/>
  <c r="G87" i="11"/>
  <c r="F87" i="11" s="1" a="1"/>
  <c r="F87" i="11" s="1"/>
  <c r="L60" i="7" s="1"/>
  <c r="AJ86" i="11"/>
  <c r="AI86" i="11"/>
  <c r="AH86" i="11"/>
  <c r="AG86" i="11"/>
  <c r="AF86" i="11"/>
  <c r="AE86" i="11"/>
  <c r="AC86" i="11"/>
  <c r="Z86" i="11"/>
  <c r="Y86" i="11"/>
  <c r="X86" i="11"/>
  <c r="W86" i="11"/>
  <c r="U86" i="11"/>
  <c r="T86" i="11"/>
  <c r="S86" i="11"/>
  <c r="Q86" i="11"/>
  <c r="P86" i="11"/>
  <c r="O86" i="11"/>
  <c r="N86" i="11"/>
  <c r="M86" i="11"/>
  <c r="L86" i="11"/>
  <c r="K86" i="11"/>
  <c r="J86" i="11"/>
  <c r="I86" i="11"/>
  <c r="H86" i="11"/>
  <c r="G86" i="11"/>
  <c r="F86" i="11" s="1" a="1"/>
  <c r="F86" i="11" s="1"/>
  <c r="AJ85" i="11"/>
  <c r="AI85" i="11"/>
  <c r="AH85" i="11"/>
  <c r="AG85" i="11"/>
  <c r="AF85" i="11"/>
  <c r="AE85" i="11"/>
  <c r="AC85" i="11"/>
  <c r="Z85" i="11"/>
  <c r="Y85" i="11"/>
  <c r="X85" i="11"/>
  <c r="W85" i="11"/>
  <c r="U85" i="11"/>
  <c r="T85" i="11"/>
  <c r="S85" i="11"/>
  <c r="Q85" i="11"/>
  <c r="P85" i="11"/>
  <c r="O85" i="11"/>
  <c r="N85" i="11"/>
  <c r="M85" i="11"/>
  <c r="L85" i="11"/>
  <c r="K85" i="11"/>
  <c r="J85" i="11"/>
  <c r="I85" i="11"/>
  <c r="H85" i="11"/>
  <c r="G85" i="11"/>
  <c r="F85" i="11" s="1" a="1"/>
  <c r="F85" i="11" s="1"/>
  <c r="AJ84" i="11"/>
  <c r="AI84" i="11"/>
  <c r="AH84" i="11"/>
  <c r="AG84" i="11"/>
  <c r="AF84" i="11"/>
  <c r="AE84" i="11"/>
  <c r="AC84" i="11"/>
  <c r="Z84" i="11"/>
  <c r="Y84" i="11"/>
  <c r="X84" i="11"/>
  <c r="W84" i="11"/>
  <c r="U84" i="11"/>
  <c r="T84" i="11"/>
  <c r="S84" i="11"/>
  <c r="Q84" i="11"/>
  <c r="P84" i="11"/>
  <c r="O84" i="11"/>
  <c r="N84" i="11"/>
  <c r="M84" i="11"/>
  <c r="L84" i="11"/>
  <c r="K84" i="11"/>
  <c r="J84" i="11"/>
  <c r="I84" i="11"/>
  <c r="H84" i="11"/>
  <c r="G84" i="11"/>
  <c r="F84" i="11" s="1" a="1"/>
  <c r="F84" i="11" s="1"/>
  <c r="AJ83" i="11"/>
  <c r="AI83" i="11"/>
  <c r="AH83" i="11"/>
  <c r="AG83" i="11"/>
  <c r="AF83" i="11"/>
  <c r="AE83" i="11"/>
  <c r="AC83" i="11"/>
  <c r="Z83" i="11"/>
  <c r="Y83" i="11"/>
  <c r="X83" i="11"/>
  <c r="W83" i="11"/>
  <c r="U83" i="11"/>
  <c r="T83" i="11"/>
  <c r="S83" i="11"/>
  <c r="Q83" i="11"/>
  <c r="P83" i="11"/>
  <c r="O83" i="11"/>
  <c r="N83" i="11"/>
  <c r="M83" i="11"/>
  <c r="L83" i="11"/>
  <c r="K83" i="11"/>
  <c r="J83" i="11"/>
  <c r="I83" i="11"/>
  <c r="H83" i="11"/>
  <c r="G83" i="11"/>
  <c r="F83" i="11" s="1" a="1"/>
  <c r="F83" i="11" s="1"/>
  <c r="AJ82" i="11"/>
  <c r="AI82" i="11"/>
  <c r="AH82" i="11"/>
  <c r="AG82" i="11"/>
  <c r="AF82" i="11"/>
  <c r="AE82" i="11"/>
  <c r="AC82" i="11"/>
  <c r="Z82" i="11"/>
  <c r="Y82" i="11"/>
  <c r="X82" i="11"/>
  <c r="W82" i="11"/>
  <c r="U82" i="11"/>
  <c r="T82" i="11"/>
  <c r="S82" i="11"/>
  <c r="Q82" i="11"/>
  <c r="P82" i="11"/>
  <c r="O82" i="11"/>
  <c r="N82" i="11"/>
  <c r="M82" i="11"/>
  <c r="L82" i="11"/>
  <c r="K82" i="11"/>
  <c r="J82" i="11"/>
  <c r="I82" i="11"/>
  <c r="H82" i="11"/>
  <c r="G82" i="11"/>
  <c r="F82" i="11" s="1" a="1"/>
  <c r="F82" i="11" s="1"/>
  <c r="AJ81" i="11"/>
  <c r="AI81" i="11"/>
  <c r="AH81" i="11"/>
  <c r="AG81" i="11"/>
  <c r="AF81" i="11"/>
  <c r="AE81" i="11"/>
  <c r="AC81" i="11"/>
  <c r="Z81" i="11"/>
  <c r="Y81" i="11"/>
  <c r="X81" i="11"/>
  <c r="W81" i="11"/>
  <c r="U81" i="11"/>
  <c r="T81" i="11"/>
  <c r="S81" i="11"/>
  <c r="Q81" i="11"/>
  <c r="P81" i="11"/>
  <c r="O81" i="11"/>
  <c r="N81" i="11"/>
  <c r="M81" i="11"/>
  <c r="L81" i="11"/>
  <c r="K81" i="11"/>
  <c r="J81" i="11"/>
  <c r="I81" i="11"/>
  <c r="H81" i="11"/>
  <c r="G81" i="11"/>
  <c r="F81" i="11" s="1" a="1"/>
  <c r="F81" i="11" s="1"/>
  <c r="AJ80" i="11"/>
  <c r="AI80" i="11"/>
  <c r="AH80" i="11"/>
  <c r="AG80" i="11"/>
  <c r="AF80" i="11"/>
  <c r="AE80" i="11"/>
  <c r="AC80" i="11"/>
  <c r="Z80" i="11"/>
  <c r="Y80" i="11"/>
  <c r="X80" i="11"/>
  <c r="W80" i="11"/>
  <c r="U80" i="11"/>
  <c r="T80" i="11"/>
  <c r="S80" i="11"/>
  <c r="Q80" i="11"/>
  <c r="P80" i="11"/>
  <c r="O80" i="11"/>
  <c r="N80" i="11"/>
  <c r="M80" i="11"/>
  <c r="L80" i="11"/>
  <c r="K80" i="11"/>
  <c r="J80" i="11"/>
  <c r="I80" i="11"/>
  <c r="H80" i="11"/>
  <c r="G80" i="11"/>
  <c r="F80" i="11" s="1" a="1"/>
  <c r="F80" i="11" s="1"/>
  <c r="AJ79" i="11"/>
  <c r="AI79" i="11"/>
  <c r="AH79" i="11"/>
  <c r="AG79" i="11"/>
  <c r="AF79" i="11"/>
  <c r="AE79" i="11"/>
  <c r="AC79" i="11"/>
  <c r="Z79" i="11"/>
  <c r="Y79" i="11"/>
  <c r="X79" i="11"/>
  <c r="W79" i="11"/>
  <c r="U79" i="11"/>
  <c r="T79" i="11"/>
  <c r="S79" i="11"/>
  <c r="Q79" i="11"/>
  <c r="P79" i="11"/>
  <c r="O79" i="11"/>
  <c r="N79" i="11"/>
  <c r="M79" i="11"/>
  <c r="L79" i="11"/>
  <c r="K79" i="11"/>
  <c r="J79" i="11"/>
  <c r="I79" i="11"/>
  <c r="H79" i="11"/>
  <c r="G79" i="11"/>
  <c r="F79" i="11" s="1" a="1"/>
  <c r="F79" i="11" s="1"/>
  <c r="L63" i="7" s="1"/>
  <c r="AJ78" i="11"/>
  <c r="AI78" i="11"/>
  <c r="AH78" i="11"/>
  <c r="AG78" i="11"/>
  <c r="AF78" i="11"/>
  <c r="AE78" i="11"/>
  <c r="AC78" i="11"/>
  <c r="Z78" i="11"/>
  <c r="Y78" i="11"/>
  <c r="X78" i="11"/>
  <c r="W78" i="11"/>
  <c r="U78" i="11"/>
  <c r="T78" i="11"/>
  <c r="S78" i="11"/>
  <c r="Q78" i="11"/>
  <c r="P78" i="11"/>
  <c r="O78" i="11"/>
  <c r="N78" i="11"/>
  <c r="M78" i="11"/>
  <c r="L78" i="11"/>
  <c r="K78" i="11"/>
  <c r="J78" i="11"/>
  <c r="I78" i="11"/>
  <c r="H78" i="11"/>
  <c r="G78" i="11"/>
  <c r="F78" i="11" s="1" a="1"/>
  <c r="F78" i="11" s="1"/>
  <c r="AJ77" i="11"/>
  <c r="AI77" i="11"/>
  <c r="AH77" i="11"/>
  <c r="AG77" i="11"/>
  <c r="AF77" i="11"/>
  <c r="AE77" i="11"/>
  <c r="AC77" i="11"/>
  <c r="Z77" i="11"/>
  <c r="Y77" i="11"/>
  <c r="X77" i="11"/>
  <c r="W77" i="11"/>
  <c r="U77" i="11"/>
  <c r="T77" i="11"/>
  <c r="S77" i="11"/>
  <c r="Q77" i="11"/>
  <c r="P77" i="11"/>
  <c r="O77" i="11"/>
  <c r="N77" i="11"/>
  <c r="M77" i="11"/>
  <c r="L77" i="11"/>
  <c r="K77" i="11"/>
  <c r="J77" i="11"/>
  <c r="I77" i="11"/>
  <c r="H77" i="11"/>
  <c r="G77" i="11"/>
  <c r="F77" i="11" s="1" a="1"/>
  <c r="F77" i="11" s="1"/>
  <c r="AJ76" i="11"/>
  <c r="AI76" i="11"/>
  <c r="AH76" i="11"/>
  <c r="AG76" i="11"/>
  <c r="AF76" i="11"/>
  <c r="AE76" i="11"/>
  <c r="AC76" i="11"/>
  <c r="Z76" i="11"/>
  <c r="Y76" i="11"/>
  <c r="X76" i="11"/>
  <c r="W76" i="11"/>
  <c r="U76" i="11"/>
  <c r="T76" i="11"/>
  <c r="S76" i="11"/>
  <c r="Q76" i="11"/>
  <c r="P76" i="11"/>
  <c r="O76" i="11"/>
  <c r="N76" i="11"/>
  <c r="M76" i="11"/>
  <c r="L76" i="11"/>
  <c r="K76" i="11"/>
  <c r="J76" i="11"/>
  <c r="I76" i="11"/>
  <c r="H76" i="11"/>
  <c r="G76" i="11"/>
  <c r="F76" i="11" s="1" a="1"/>
  <c r="F76" i="11" s="1"/>
  <c r="L57" i="7" s="1"/>
  <c r="D76" i="11"/>
  <c r="AJ75" i="11"/>
  <c r="AI75" i="11"/>
  <c r="AH75" i="11"/>
  <c r="AG75" i="11"/>
  <c r="AF75" i="11"/>
  <c r="AE75" i="11"/>
  <c r="AC75" i="11"/>
  <c r="Z75" i="11"/>
  <c r="Y75" i="11"/>
  <c r="X75" i="11"/>
  <c r="W75" i="11"/>
  <c r="U75" i="11"/>
  <c r="T75" i="11"/>
  <c r="S75" i="11"/>
  <c r="Q75" i="11"/>
  <c r="P75" i="11"/>
  <c r="O75" i="11"/>
  <c r="N75" i="11"/>
  <c r="F75" i="11" s="1" a="1"/>
  <c r="F75" i="11" s="1"/>
  <c r="M75" i="11"/>
  <c r="L75" i="11"/>
  <c r="K75" i="11"/>
  <c r="J75" i="11"/>
  <c r="I75" i="11"/>
  <c r="H75" i="11"/>
  <c r="G75" i="11"/>
  <c r="D75" i="11"/>
  <c r="AJ74" i="11"/>
  <c r="AI74" i="11"/>
  <c r="AH74" i="11"/>
  <c r="AG74" i="11"/>
  <c r="AF74" i="11"/>
  <c r="AE74" i="11"/>
  <c r="AC74" i="11"/>
  <c r="Z74" i="11"/>
  <c r="Y74" i="11"/>
  <c r="X74" i="11"/>
  <c r="W74" i="11"/>
  <c r="U74" i="11"/>
  <c r="T74" i="11"/>
  <c r="S74" i="11"/>
  <c r="Q74" i="11"/>
  <c r="P74" i="11"/>
  <c r="O74" i="11"/>
  <c r="N74" i="11"/>
  <c r="M74" i="11"/>
  <c r="L74" i="11"/>
  <c r="K74" i="11"/>
  <c r="J74" i="11"/>
  <c r="I74" i="11"/>
  <c r="H74" i="11"/>
  <c r="F74" i="11" s="1" a="1"/>
  <c r="F74" i="11" s="1"/>
  <c r="G74" i="11"/>
  <c r="D74" i="11"/>
  <c r="AJ73" i="11"/>
  <c r="AI73" i="11"/>
  <c r="AH73" i="11"/>
  <c r="AG73" i="11"/>
  <c r="AF73" i="11"/>
  <c r="AE73" i="11"/>
  <c r="AC73" i="11"/>
  <c r="Z73" i="11"/>
  <c r="Y73" i="11"/>
  <c r="X73" i="11"/>
  <c r="W73" i="11"/>
  <c r="U73" i="11"/>
  <c r="T73" i="11"/>
  <c r="S73" i="11"/>
  <c r="Q73" i="11"/>
  <c r="P73" i="11"/>
  <c r="O73" i="11"/>
  <c r="N73" i="11"/>
  <c r="M73" i="11"/>
  <c r="L73" i="11"/>
  <c r="K73" i="11"/>
  <c r="J73" i="11"/>
  <c r="I73" i="11"/>
  <c r="H73" i="11"/>
  <c r="G73" i="11"/>
  <c r="F73" i="11" s="1" a="1"/>
  <c r="F73" i="11" s="1"/>
  <c r="D73" i="11"/>
  <c r="AJ72" i="11"/>
  <c r="AI72" i="11"/>
  <c r="AH72" i="11"/>
  <c r="AG72" i="11"/>
  <c r="AF72" i="11"/>
  <c r="AE72" i="11"/>
  <c r="AC72" i="11"/>
  <c r="Z72" i="11"/>
  <c r="Y72" i="11"/>
  <c r="X72" i="11"/>
  <c r="W72" i="11"/>
  <c r="U72" i="11"/>
  <c r="T72" i="11"/>
  <c r="S72" i="11"/>
  <c r="Q72" i="11"/>
  <c r="P72" i="11"/>
  <c r="O72" i="11"/>
  <c r="N72" i="11"/>
  <c r="F72" i="11" s="1" a="1"/>
  <c r="F72" i="11" s="1"/>
  <c r="M72" i="11"/>
  <c r="L72" i="11"/>
  <c r="K72" i="11"/>
  <c r="J72" i="11"/>
  <c r="I72" i="11"/>
  <c r="H72" i="11"/>
  <c r="G72" i="11"/>
  <c r="D72" i="11"/>
  <c r="AJ71" i="11"/>
  <c r="AI71" i="11"/>
  <c r="AH71" i="11"/>
  <c r="AG71" i="11"/>
  <c r="AF71" i="11"/>
  <c r="AE71" i="11"/>
  <c r="AC71" i="11"/>
  <c r="Z71" i="11"/>
  <c r="Y71" i="11"/>
  <c r="X71" i="11"/>
  <c r="W71" i="11"/>
  <c r="U71" i="11"/>
  <c r="T71" i="11"/>
  <c r="S71" i="11"/>
  <c r="Q71" i="11"/>
  <c r="P71" i="11"/>
  <c r="O71" i="11"/>
  <c r="N71" i="11"/>
  <c r="M71" i="11"/>
  <c r="L71" i="11"/>
  <c r="K71" i="11"/>
  <c r="J71" i="11"/>
  <c r="I71" i="11"/>
  <c r="H71" i="11"/>
  <c r="F71" i="11" s="1" a="1"/>
  <c r="F71" i="11" s="1"/>
  <c r="G71" i="11"/>
  <c r="F70" i="11" a="1"/>
  <c r="F70" i="11" s="1"/>
  <c r="F69" i="11" a="1"/>
  <c r="F69" i="11" s="1"/>
  <c r="F68" i="11" a="1"/>
  <c r="F68" i="11" s="1"/>
  <c r="AJ67" i="11"/>
  <c r="AI67" i="11"/>
  <c r="AH67" i="11"/>
  <c r="AG67" i="11"/>
  <c r="AF67" i="11"/>
  <c r="AE67" i="11"/>
  <c r="AC67" i="11"/>
  <c r="Z67" i="11"/>
  <c r="Y67" i="11"/>
  <c r="X67" i="11"/>
  <c r="W67" i="11"/>
  <c r="U67" i="11"/>
  <c r="T67" i="11"/>
  <c r="S67" i="11"/>
  <c r="Q67" i="11"/>
  <c r="P67" i="11"/>
  <c r="O67" i="11"/>
  <c r="N67" i="11"/>
  <c r="M67" i="11"/>
  <c r="L67" i="11"/>
  <c r="K67" i="11"/>
  <c r="F67" i="11" s="1" a="1"/>
  <c r="F67" i="11" s="1"/>
  <c r="J67" i="11"/>
  <c r="I67" i="11"/>
  <c r="H67" i="11"/>
  <c r="G67" i="11"/>
  <c r="D67" i="11"/>
  <c r="F66" i="11" a="1"/>
  <c r="F66" i="11" s="1"/>
  <c r="F65" i="11" a="1"/>
  <c r="F65" i="11" s="1"/>
  <c r="F64" i="11" a="1"/>
  <c r="F64" i="11" s="1"/>
  <c r="F63" i="11" a="1"/>
  <c r="F63" i="11" s="1"/>
  <c r="AJ62" i="11"/>
  <c r="AI62" i="11"/>
  <c r="AH62" i="11"/>
  <c r="AG62" i="11"/>
  <c r="AF62" i="11"/>
  <c r="AE62" i="11"/>
  <c r="AC62" i="11"/>
  <c r="Z62" i="11"/>
  <c r="Y62" i="11"/>
  <c r="X62" i="11"/>
  <c r="W62" i="11"/>
  <c r="U62" i="11"/>
  <c r="T62" i="11"/>
  <c r="S62" i="11"/>
  <c r="Q62" i="11"/>
  <c r="P62" i="11"/>
  <c r="O62" i="11"/>
  <c r="N62" i="11"/>
  <c r="M62" i="11"/>
  <c r="L62" i="11"/>
  <c r="K62" i="11"/>
  <c r="F62" i="11" s="1" a="1"/>
  <c r="F62" i="11" s="1"/>
  <c r="J62" i="11"/>
  <c r="I62" i="11"/>
  <c r="H62" i="11"/>
  <c r="G62" i="11"/>
  <c r="AJ61" i="11"/>
  <c r="AI61" i="11"/>
  <c r="AH61" i="11"/>
  <c r="AG61" i="11"/>
  <c r="AF61" i="11"/>
  <c r="AE61" i="11"/>
  <c r="AC61" i="11"/>
  <c r="Z61" i="11"/>
  <c r="Y61" i="11"/>
  <c r="X61" i="11"/>
  <c r="W61" i="11"/>
  <c r="U61" i="11"/>
  <c r="T61" i="11"/>
  <c r="S61" i="11"/>
  <c r="Q61" i="11"/>
  <c r="P61" i="11"/>
  <c r="O61" i="11"/>
  <c r="N61" i="11"/>
  <c r="M61" i="11"/>
  <c r="L61" i="11"/>
  <c r="K61" i="11"/>
  <c r="J61" i="11"/>
  <c r="I61" i="11"/>
  <c r="H61" i="11"/>
  <c r="F61" i="11" s="1" a="1"/>
  <c r="F61" i="11" s="1"/>
  <c r="G61" i="11"/>
  <c r="D61" i="11"/>
  <c r="F60" i="11" a="1"/>
  <c r="F60" i="11" s="1"/>
  <c r="AJ59" i="11"/>
  <c r="AI59" i="11"/>
  <c r="AH59" i="11"/>
  <c r="AG59" i="11"/>
  <c r="AF59" i="11"/>
  <c r="AE59" i="11"/>
  <c r="AC59" i="11"/>
  <c r="Z59" i="11"/>
  <c r="Y59" i="11"/>
  <c r="X59" i="11"/>
  <c r="W59" i="11"/>
  <c r="U59" i="11"/>
  <c r="T59" i="11"/>
  <c r="S59" i="11"/>
  <c r="Q59" i="11"/>
  <c r="P59" i="11"/>
  <c r="O59" i="11"/>
  <c r="N59" i="11"/>
  <c r="M59" i="11"/>
  <c r="L59" i="11"/>
  <c r="K59" i="11"/>
  <c r="J59" i="11"/>
  <c r="I59" i="11"/>
  <c r="H59" i="11"/>
  <c r="F59" i="11" s="1" a="1"/>
  <c r="F59" i="11" s="1"/>
  <c r="G59" i="11"/>
  <c r="D59" i="11"/>
  <c r="AJ58" i="11"/>
  <c r="AI58" i="11"/>
  <c r="AH58" i="11"/>
  <c r="AG58" i="11"/>
  <c r="AF58" i="11"/>
  <c r="AE58" i="11"/>
  <c r="AC58" i="11"/>
  <c r="Z58" i="11"/>
  <c r="Y58" i="11"/>
  <c r="X58" i="11"/>
  <c r="W58" i="11"/>
  <c r="U58" i="11"/>
  <c r="T58" i="11"/>
  <c r="S58" i="11"/>
  <c r="Q58" i="11"/>
  <c r="P58" i="11"/>
  <c r="O58" i="11"/>
  <c r="N58" i="11"/>
  <c r="M58" i="11"/>
  <c r="L58" i="11"/>
  <c r="K58" i="11"/>
  <c r="J58" i="11"/>
  <c r="I58" i="11"/>
  <c r="H58" i="11"/>
  <c r="G58" i="11"/>
  <c r="F58" i="11" s="1" a="1"/>
  <c r="F58" i="11" s="1"/>
  <c r="AJ57" i="11"/>
  <c r="AI57" i="11"/>
  <c r="AH57" i="11"/>
  <c r="AG57" i="11"/>
  <c r="AF57" i="11"/>
  <c r="AE57" i="11"/>
  <c r="AC57" i="11"/>
  <c r="Z57" i="11"/>
  <c r="Y57" i="11"/>
  <c r="X57" i="11"/>
  <c r="W57" i="11"/>
  <c r="U57" i="11"/>
  <c r="T57" i="11"/>
  <c r="S57" i="11"/>
  <c r="Q57" i="11"/>
  <c r="P57" i="11"/>
  <c r="O57" i="11"/>
  <c r="N57" i="11"/>
  <c r="M57" i="11"/>
  <c r="L57" i="11"/>
  <c r="K57" i="11"/>
  <c r="J57" i="11"/>
  <c r="I57" i="11"/>
  <c r="H57" i="11"/>
  <c r="G57" i="11"/>
  <c r="F57" i="11" s="1" a="1"/>
  <c r="F57" i="11" s="1"/>
  <c r="AJ56" i="11"/>
  <c r="AI56" i="11"/>
  <c r="AH56" i="11"/>
  <c r="AG56" i="11"/>
  <c r="AF56" i="11"/>
  <c r="AE56" i="11"/>
  <c r="AC56" i="11"/>
  <c r="Z56" i="11"/>
  <c r="Y56" i="11"/>
  <c r="X56" i="11"/>
  <c r="W56" i="11"/>
  <c r="U56" i="11"/>
  <c r="T56" i="11"/>
  <c r="S56" i="11"/>
  <c r="Q56" i="11"/>
  <c r="P56" i="11"/>
  <c r="O56" i="11"/>
  <c r="N56" i="11"/>
  <c r="M56" i="11"/>
  <c r="L56" i="11"/>
  <c r="K56" i="11"/>
  <c r="J56" i="11"/>
  <c r="I56" i="11"/>
  <c r="H56" i="11"/>
  <c r="G56" i="11"/>
  <c r="F56" i="11" s="1" a="1"/>
  <c r="F56" i="11" s="1"/>
  <c r="AJ55" i="11"/>
  <c r="AI55" i="11"/>
  <c r="AH55" i="11"/>
  <c r="AG55" i="11"/>
  <c r="AF55" i="11"/>
  <c r="AE55" i="11"/>
  <c r="AC55" i="11"/>
  <c r="Z55" i="11"/>
  <c r="Y55" i="11"/>
  <c r="X55" i="11"/>
  <c r="W55" i="11"/>
  <c r="U55" i="11"/>
  <c r="T55" i="11"/>
  <c r="S55" i="11"/>
  <c r="Q55" i="11"/>
  <c r="P55" i="11"/>
  <c r="O55" i="11"/>
  <c r="N55" i="11"/>
  <c r="M55" i="11"/>
  <c r="L55" i="11"/>
  <c r="K55" i="11"/>
  <c r="J55" i="11"/>
  <c r="I55" i="11"/>
  <c r="H55" i="11"/>
  <c r="G55" i="11"/>
  <c r="F55" i="11" s="1" a="1"/>
  <c r="F55" i="11" s="1"/>
  <c r="AJ54" i="11"/>
  <c r="AI54" i="11"/>
  <c r="AH54" i="11"/>
  <c r="AG54" i="11"/>
  <c r="AF54" i="11"/>
  <c r="AE54" i="11"/>
  <c r="AC54" i="11"/>
  <c r="Z54" i="11"/>
  <c r="Y54" i="11"/>
  <c r="X54" i="11"/>
  <c r="W54" i="11"/>
  <c r="U54" i="11"/>
  <c r="T54" i="11"/>
  <c r="S54" i="11"/>
  <c r="Q54" i="11"/>
  <c r="P54" i="11"/>
  <c r="O54" i="11"/>
  <c r="N54" i="11"/>
  <c r="M54" i="11"/>
  <c r="L54" i="11"/>
  <c r="K54" i="11"/>
  <c r="J54" i="11"/>
  <c r="I54" i="11"/>
  <c r="H54" i="11"/>
  <c r="G54" i="11"/>
  <c r="F54" i="11" s="1" a="1"/>
  <c r="F54" i="11" s="1"/>
  <c r="L43" i="7" s="1"/>
  <c r="AJ53" i="11"/>
  <c r="AI53" i="11"/>
  <c r="AH53" i="11"/>
  <c r="AG53" i="11"/>
  <c r="AF53" i="11"/>
  <c r="AE53" i="11"/>
  <c r="AC53" i="11"/>
  <c r="Z53" i="11"/>
  <c r="Y53" i="11"/>
  <c r="X53" i="11"/>
  <c r="W53" i="11"/>
  <c r="U53" i="11"/>
  <c r="T53" i="11"/>
  <c r="S53" i="11"/>
  <c r="Q53" i="11"/>
  <c r="P53" i="11"/>
  <c r="O53" i="11"/>
  <c r="N53" i="11"/>
  <c r="M53" i="11"/>
  <c r="L53" i="11"/>
  <c r="K53" i="11"/>
  <c r="J53" i="11"/>
  <c r="I53" i="11"/>
  <c r="H53" i="11"/>
  <c r="G53" i="11"/>
  <c r="F53" i="11" s="1" a="1"/>
  <c r="F53" i="11" s="1"/>
  <c r="AJ52" i="11"/>
  <c r="AI52" i="11"/>
  <c r="AH52" i="11"/>
  <c r="AG52" i="11"/>
  <c r="AF52" i="11"/>
  <c r="AE52" i="11"/>
  <c r="AC52" i="11"/>
  <c r="Z52" i="11"/>
  <c r="Y52" i="11"/>
  <c r="X52" i="11"/>
  <c r="W52" i="11"/>
  <c r="U52" i="11"/>
  <c r="T52" i="11"/>
  <c r="S52" i="11"/>
  <c r="Q52" i="11"/>
  <c r="P52" i="11"/>
  <c r="O52" i="11"/>
  <c r="N52" i="11"/>
  <c r="M52" i="11"/>
  <c r="L52" i="11"/>
  <c r="K52" i="11"/>
  <c r="J52" i="11"/>
  <c r="I52" i="11"/>
  <c r="H52" i="11"/>
  <c r="G52" i="11"/>
  <c r="F52" i="11" s="1" a="1"/>
  <c r="F52" i="11" s="1"/>
  <c r="AJ51" i="11"/>
  <c r="AI51" i="11"/>
  <c r="AH51" i="11"/>
  <c r="AG51" i="11"/>
  <c r="AF51" i="11"/>
  <c r="AE51" i="11"/>
  <c r="AC51" i="11"/>
  <c r="Z51" i="11"/>
  <c r="Y51" i="11"/>
  <c r="X51" i="11"/>
  <c r="W51" i="11"/>
  <c r="U51" i="11"/>
  <c r="T51" i="11"/>
  <c r="S51" i="11"/>
  <c r="Q51" i="11"/>
  <c r="P51" i="11"/>
  <c r="O51" i="11"/>
  <c r="N51" i="11"/>
  <c r="M51" i="11"/>
  <c r="L51" i="11"/>
  <c r="K51" i="11"/>
  <c r="J51" i="11"/>
  <c r="I51" i="11"/>
  <c r="H51" i="11"/>
  <c r="G51" i="11"/>
  <c r="F51" i="11" s="1" a="1"/>
  <c r="F51" i="11" s="1"/>
  <c r="D51" i="11"/>
  <c r="AJ50" i="11"/>
  <c r="AI50" i="11"/>
  <c r="AH50" i="11"/>
  <c r="AG50" i="11"/>
  <c r="AF50" i="11"/>
  <c r="AE50" i="11"/>
  <c r="AC50" i="11"/>
  <c r="Z50" i="11"/>
  <c r="Y50" i="11"/>
  <c r="X50" i="11"/>
  <c r="W50" i="11"/>
  <c r="U50" i="11"/>
  <c r="T50" i="11"/>
  <c r="S50" i="11"/>
  <c r="Q50" i="11"/>
  <c r="P50" i="11"/>
  <c r="O50" i="11"/>
  <c r="N50" i="11"/>
  <c r="M50" i="11"/>
  <c r="L50" i="11"/>
  <c r="K50" i="11"/>
  <c r="J50" i="11"/>
  <c r="I50" i="11"/>
  <c r="H50" i="11"/>
  <c r="G50" i="11"/>
  <c r="F50" i="11" a="1"/>
  <c r="F50" i="11" s="1"/>
  <c r="D50" i="11"/>
  <c r="AJ49" i="11"/>
  <c r="AI49" i="11"/>
  <c r="AH49" i="11"/>
  <c r="AG49" i="11"/>
  <c r="AF49" i="11"/>
  <c r="AE49" i="11"/>
  <c r="AC49" i="11"/>
  <c r="Z49" i="11"/>
  <c r="Y49" i="11"/>
  <c r="X49" i="11"/>
  <c r="W49" i="11"/>
  <c r="U49" i="11"/>
  <c r="T49" i="11"/>
  <c r="S49" i="11"/>
  <c r="Q49" i="11"/>
  <c r="P49" i="11"/>
  <c r="O49" i="11"/>
  <c r="N49" i="11"/>
  <c r="M49" i="11"/>
  <c r="L49" i="11"/>
  <c r="K49" i="11"/>
  <c r="J49" i="11"/>
  <c r="I49" i="11"/>
  <c r="F49" i="11" s="1" a="1"/>
  <c r="F49" i="11" s="1"/>
  <c r="H49" i="11"/>
  <c r="G49" i="11"/>
  <c r="D49" i="11"/>
  <c r="AJ48" i="11"/>
  <c r="AI48" i="11"/>
  <c r="AH48" i="11"/>
  <c r="AG48" i="11"/>
  <c r="AF48" i="11"/>
  <c r="AE48" i="11"/>
  <c r="AC48" i="11"/>
  <c r="Z48" i="11"/>
  <c r="Y48" i="11"/>
  <c r="X48" i="11"/>
  <c r="W48" i="11"/>
  <c r="U48" i="11"/>
  <c r="T48" i="11"/>
  <c r="S48" i="11"/>
  <c r="Q48" i="11"/>
  <c r="P48" i="11"/>
  <c r="O48" i="11"/>
  <c r="N48" i="11"/>
  <c r="M48" i="11"/>
  <c r="L48" i="11"/>
  <c r="K48" i="11"/>
  <c r="J48" i="11"/>
  <c r="I48" i="11"/>
  <c r="H48" i="11"/>
  <c r="F48" i="11" s="1" a="1"/>
  <c r="F48" i="11" s="1"/>
  <c r="L40" i="7" s="1"/>
  <c r="G48" i="11"/>
  <c r="D48" i="11"/>
  <c r="AJ47" i="11"/>
  <c r="AI47" i="11"/>
  <c r="AH47" i="11"/>
  <c r="AG47" i="11"/>
  <c r="AF47" i="11"/>
  <c r="AE47" i="11"/>
  <c r="AC47" i="11"/>
  <c r="Z47" i="11"/>
  <c r="Y47" i="11"/>
  <c r="X47" i="11"/>
  <c r="W47" i="11"/>
  <c r="U47" i="11"/>
  <c r="T47" i="11"/>
  <c r="S47" i="11"/>
  <c r="Q47" i="11"/>
  <c r="P47" i="11"/>
  <c r="O47" i="11"/>
  <c r="N47" i="11"/>
  <c r="M47" i="11"/>
  <c r="L47" i="11"/>
  <c r="K47" i="11"/>
  <c r="J47" i="11"/>
  <c r="I47" i="11"/>
  <c r="H47" i="11"/>
  <c r="G47" i="11"/>
  <c r="F47" i="11" a="1"/>
  <c r="F47" i="11" s="1"/>
  <c r="D47" i="11"/>
  <c r="AJ46" i="11"/>
  <c r="AI46" i="11"/>
  <c r="AH46" i="11"/>
  <c r="AG46" i="11"/>
  <c r="AF46" i="11"/>
  <c r="AE46" i="11"/>
  <c r="AC46" i="11"/>
  <c r="Z46" i="11"/>
  <c r="Y46" i="11"/>
  <c r="X46" i="11"/>
  <c r="W46" i="11"/>
  <c r="U46" i="11"/>
  <c r="T46" i="11"/>
  <c r="S46" i="11"/>
  <c r="Q46" i="11"/>
  <c r="P46" i="11"/>
  <c r="O46" i="11"/>
  <c r="N46" i="11"/>
  <c r="M46" i="11"/>
  <c r="L46" i="11"/>
  <c r="K46" i="11"/>
  <c r="J46" i="11"/>
  <c r="I46" i="11"/>
  <c r="F46" i="11" s="1" a="1"/>
  <c r="F46" i="11" s="1"/>
  <c r="L38" i="7" s="1"/>
  <c r="H46" i="11"/>
  <c r="G46" i="11"/>
  <c r="D46" i="11"/>
  <c r="AJ45" i="11"/>
  <c r="AI45" i="11"/>
  <c r="AH45" i="11"/>
  <c r="AG45" i="11"/>
  <c r="AF45" i="11"/>
  <c r="AE45" i="11"/>
  <c r="AC45" i="11"/>
  <c r="Z45" i="11"/>
  <c r="Y45" i="11"/>
  <c r="X45" i="11"/>
  <c r="W45" i="11"/>
  <c r="U45" i="11"/>
  <c r="T45" i="11"/>
  <c r="S45" i="11"/>
  <c r="Q45" i="11"/>
  <c r="P45" i="11"/>
  <c r="O45" i="11"/>
  <c r="N45" i="11"/>
  <c r="M45" i="11"/>
  <c r="L45" i="11"/>
  <c r="K45" i="11"/>
  <c r="J45" i="11"/>
  <c r="I45" i="11"/>
  <c r="H45" i="11"/>
  <c r="F45" i="11" s="1" a="1"/>
  <c r="F45" i="11" s="1"/>
  <c r="G45" i="11"/>
  <c r="D45" i="11"/>
  <c r="AJ44" i="11"/>
  <c r="AI44" i="11"/>
  <c r="AH44" i="11"/>
  <c r="AG44" i="11"/>
  <c r="AF44" i="11"/>
  <c r="AE44" i="11"/>
  <c r="AC44" i="11"/>
  <c r="Z44" i="11"/>
  <c r="Y44" i="11"/>
  <c r="X44" i="11"/>
  <c r="W44" i="11"/>
  <c r="U44" i="11"/>
  <c r="T44" i="11"/>
  <c r="S44" i="11"/>
  <c r="Q44" i="11"/>
  <c r="P44" i="11"/>
  <c r="O44" i="11"/>
  <c r="N44" i="11"/>
  <c r="M44" i="11"/>
  <c r="L44" i="11"/>
  <c r="K44" i="11"/>
  <c r="J44" i="11"/>
  <c r="I44" i="11"/>
  <c r="H44" i="11"/>
  <c r="G44" i="11"/>
  <c r="F44" i="11" a="1"/>
  <c r="F44" i="11" s="1"/>
  <c r="D44" i="11"/>
  <c r="AJ43" i="11"/>
  <c r="AI43" i="11"/>
  <c r="AH43" i="11"/>
  <c r="AG43" i="11"/>
  <c r="AF43" i="11"/>
  <c r="AE43" i="11"/>
  <c r="AC43" i="11"/>
  <c r="Z43" i="11"/>
  <c r="Y43" i="11"/>
  <c r="X43" i="11"/>
  <c r="W43" i="11"/>
  <c r="U43" i="11"/>
  <c r="T43" i="11"/>
  <c r="S43" i="11"/>
  <c r="Q43" i="11"/>
  <c r="P43" i="11"/>
  <c r="O43" i="11"/>
  <c r="N43" i="11"/>
  <c r="M43" i="11"/>
  <c r="L43" i="11"/>
  <c r="K43" i="11"/>
  <c r="J43" i="11"/>
  <c r="I43" i="11"/>
  <c r="F43" i="11" s="1" a="1"/>
  <c r="F43" i="11" s="1"/>
  <c r="L35" i="7" s="1"/>
  <c r="H43" i="11"/>
  <c r="G43" i="11"/>
  <c r="D43" i="11"/>
  <c r="AJ42" i="11"/>
  <c r="AI42" i="11"/>
  <c r="AH42" i="11"/>
  <c r="AG42" i="11"/>
  <c r="AF42" i="11"/>
  <c r="AE42" i="11"/>
  <c r="AC42" i="11"/>
  <c r="Z42" i="11"/>
  <c r="Y42" i="11"/>
  <c r="X42" i="11"/>
  <c r="W42" i="11"/>
  <c r="U42" i="11"/>
  <c r="T42" i="11"/>
  <c r="S42" i="11"/>
  <c r="Q42" i="11"/>
  <c r="P42" i="11"/>
  <c r="O42" i="11"/>
  <c r="N42" i="11"/>
  <c r="M42" i="11"/>
  <c r="L42" i="11"/>
  <c r="K42" i="11"/>
  <c r="J42" i="11"/>
  <c r="I42" i="11"/>
  <c r="F42" i="11" s="1" a="1"/>
  <c r="F42" i="11" s="1"/>
  <c r="L34" i="7" s="1"/>
  <c r="H42" i="11"/>
  <c r="G42" i="11"/>
  <c r="D42" i="11"/>
  <c r="AJ41" i="11"/>
  <c r="AI41" i="11"/>
  <c r="AH41" i="11"/>
  <c r="AG41" i="11"/>
  <c r="AF41" i="11"/>
  <c r="AE41" i="11"/>
  <c r="AC41" i="11"/>
  <c r="Z41" i="11"/>
  <c r="Y41" i="11"/>
  <c r="X41" i="11"/>
  <c r="W41" i="11"/>
  <c r="U41" i="11"/>
  <c r="T41" i="11"/>
  <c r="S41" i="11"/>
  <c r="Q41" i="11"/>
  <c r="P41" i="11"/>
  <c r="O41" i="11"/>
  <c r="N41" i="11"/>
  <c r="M41" i="11"/>
  <c r="L41" i="11"/>
  <c r="K41" i="11"/>
  <c r="J41" i="11"/>
  <c r="I41" i="11"/>
  <c r="H41" i="11"/>
  <c r="G41" i="11"/>
  <c r="F41" i="11" a="1"/>
  <c r="F41" i="11" s="1"/>
  <c r="D41" i="11"/>
  <c r="AJ40" i="11"/>
  <c r="AI40" i="11"/>
  <c r="AH40" i="11"/>
  <c r="AG40" i="11"/>
  <c r="AF40" i="11"/>
  <c r="AE40" i="11"/>
  <c r="AC40" i="11"/>
  <c r="Z40" i="11"/>
  <c r="Y40" i="11"/>
  <c r="X40" i="11"/>
  <c r="W40" i="11"/>
  <c r="U40" i="11"/>
  <c r="T40" i="11"/>
  <c r="S40" i="11"/>
  <c r="Q40" i="11"/>
  <c r="P40" i="11"/>
  <c r="O40" i="11"/>
  <c r="N40" i="11"/>
  <c r="M40" i="11"/>
  <c r="L40" i="11"/>
  <c r="K40" i="11"/>
  <c r="J40" i="11"/>
  <c r="I40" i="11"/>
  <c r="F40" i="11" s="1" a="1"/>
  <c r="F40" i="11" s="1"/>
  <c r="H40" i="11"/>
  <c r="G40" i="11"/>
  <c r="D40" i="11"/>
  <c r="AJ39" i="11"/>
  <c r="AI39" i="11"/>
  <c r="AH39" i="11"/>
  <c r="AG39" i="11"/>
  <c r="AF39" i="11"/>
  <c r="AE39" i="11"/>
  <c r="AC39" i="11"/>
  <c r="Z39" i="11"/>
  <c r="Y39" i="11"/>
  <c r="X39" i="11"/>
  <c r="W39" i="11"/>
  <c r="U39" i="11"/>
  <c r="T39" i="11"/>
  <c r="S39" i="11"/>
  <c r="Q39" i="11"/>
  <c r="P39" i="11"/>
  <c r="O39" i="11"/>
  <c r="N39" i="11"/>
  <c r="M39" i="11"/>
  <c r="L39" i="11"/>
  <c r="K39" i="11"/>
  <c r="J39" i="11"/>
  <c r="I39" i="11"/>
  <c r="F39" i="11" s="1" a="1"/>
  <c r="F39" i="11" s="1"/>
  <c r="H39" i="11"/>
  <c r="G39" i="11"/>
  <c r="D39" i="11"/>
  <c r="AJ38" i="11"/>
  <c r="AI38" i="11"/>
  <c r="AH38" i="11"/>
  <c r="AG38" i="11"/>
  <c r="AF38" i="11"/>
  <c r="AE38" i="11"/>
  <c r="AC38" i="11"/>
  <c r="Z38" i="11"/>
  <c r="Y38" i="11"/>
  <c r="X38" i="11"/>
  <c r="W38" i="11"/>
  <c r="U38" i="11"/>
  <c r="T38" i="11"/>
  <c r="S38" i="11"/>
  <c r="Q38" i="11"/>
  <c r="P38" i="11"/>
  <c r="O38" i="11"/>
  <c r="N38" i="11"/>
  <c r="M38" i="11"/>
  <c r="L38" i="11"/>
  <c r="K38" i="11"/>
  <c r="J38" i="11"/>
  <c r="I38" i="11"/>
  <c r="H38" i="11"/>
  <c r="G38" i="11"/>
  <c r="F38" i="11" a="1"/>
  <c r="F38" i="11" s="1"/>
  <c r="D38" i="11"/>
  <c r="AJ37" i="11"/>
  <c r="AI37" i="11"/>
  <c r="AH37" i="11"/>
  <c r="AG37" i="11"/>
  <c r="AF37" i="11"/>
  <c r="AE37" i="11"/>
  <c r="AC37" i="11"/>
  <c r="Z37" i="11"/>
  <c r="Y37" i="11"/>
  <c r="X37" i="11"/>
  <c r="W37" i="11"/>
  <c r="U37" i="11"/>
  <c r="T37" i="11"/>
  <c r="S37" i="11"/>
  <c r="Q37" i="11"/>
  <c r="P37" i="11"/>
  <c r="O37" i="11"/>
  <c r="N37" i="11"/>
  <c r="M37" i="11"/>
  <c r="L37" i="11"/>
  <c r="K37" i="11"/>
  <c r="J37" i="11"/>
  <c r="I37" i="11"/>
  <c r="F37" i="11" s="1" a="1"/>
  <c r="F37" i="11" s="1"/>
  <c r="H37" i="11"/>
  <c r="G37" i="11"/>
  <c r="D37" i="11"/>
  <c r="AJ36" i="11"/>
  <c r="AI36" i="11"/>
  <c r="AH36" i="11"/>
  <c r="AG36" i="11"/>
  <c r="AF36" i="11"/>
  <c r="AE36" i="11"/>
  <c r="AC36" i="11"/>
  <c r="Z36" i="11"/>
  <c r="Y36" i="11"/>
  <c r="X36" i="11"/>
  <c r="W36" i="11"/>
  <c r="U36" i="11"/>
  <c r="T36" i="11"/>
  <c r="S36" i="11"/>
  <c r="Q36" i="11"/>
  <c r="P36" i="11"/>
  <c r="O36" i="11"/>
  <c r="N36" i="11"/>
  <c r="M36" i="11"/>
  <c r="L36" i="11"/>
  <c r="K36" i="11"/>
  <c r="J36" i="11"/>
  <c r="I36" i="11"/>
  <c r="F36" i="11" s="1" a="1"/>
  <c r="F36" i="11" s="1"/>
  <c r="H36" i="11"/>
  <c r="G36" i="11"/>
  <c r="D36" i="11"/>
  <c r="AJ35" i="11"/>
  <c r="AI35" i="11"/>
  <c r="AH35" i="11"/>
  <c r="AG35" i="11"/>
  <c r="AF35" i="11"/>
  <c r="AE35" i="11"/>
  <c r="AC35" i="11"/>
  <c r="Z35" i="11"/>
  <c r="Y35" i="11"/>
  <c r="X35" i="11"/>
  <c r="W35" i="11"/>
  <c r="U35" i="11"/>
  <c r="T35" i="11"/>
  <c r="S35" i="11"/>
  <c r="Q35" i="11"/>
  <c r="P35" i="11"/>
  <c r="O35" i="11"/>
  <c r="N35" i="11"/>
  <c r="M35" i="11"/>
  <c r="L35" i="11"/>
  <c r="K35" i="11"/>
  <c r="J35" i="11"/>
  <c r="I35" i="11"/>
  <c r="H35" i="11"/>
  <c r="G35" i="11"/>
  <c r="F35" i="11" a="1"/>
  <c r="F35" i="11" s="1"/>
  <c r="L27" i="7" s="1"/>
  <c r="D35" i="11"/>
  <c r="AJ34" i="11"/>
  <c r="AI34" i="11"/>
  <c r="AH34" i="11"/>
  <c r="AG34" i="11"/>
  <c r="AF34" i="11"/>
  <c r="AE34" i="11"/>
  <c r="AC34" i="11"/>
  <c r="Z34" i="11"/>
  <c r="Y34" i="11"/>
  <c r="X34" i="11"/>
  <c r="W34" i="11"/>
  <c r="U34" i="11"/>
  <c r="T34" i="11"/>
  <c r="S34" i="11"/>
  <c r="Q34" i="11"/>
  <c r="P34" i="11"/>
  <c r="O34" i="11"/>
  <c r="N34" i="11"/>
  <c r="M34" i="11"/>
  <c r="L34" i="11"/>
  <c r="K34" i="11"/>
  <c r="J34" i="11"/>
  <c r="I34" i="11"/>
  <c r="F34" i="11" s="1" a="1"/>
  <c r="F34" i="11" s="1"/>
  <c r="H34" i="11"/>
  <c r="G34" i="11"/>
  <c r="D34" i="11"/>
  <c r="AJ33" i="11"/>
  <c r="AI33" i="11"/>
  <c r="AH33" i="11"/>
  <c r="AG33" i="11"/>
  <c r="AF33" i="11"/>
  <c r="AE33" i="11"/>
  <c r="AC33" i="11"/>
  <c r="Z33" i="11"/>
  <c r="Y33" i="11"/>
  <c r="X33" i="11"/>
  <c r="W33" i="11"/>
  <c r="U33" i="11"/>
  <c r="T33" i="11"/>
  <c r="S33" i="11"/>
  <c r="Q33" i="11"/>
  <c r="P33" i="11"/>
  <c r="O33" i="11"/>
  <c r="N33" i="11"/>
  <c r="M33" i="11"/>
  <c r="L33" i="11"/>
  <c r="K33" i="11"/>
  <c r="J33" i="11"/>
  <c r="I33" i="11"/>
  <c r="F33" i="11" s="1" a="1"/>
  <c r="F33" i="11" s="1"/>
  <c r="H33" i="11"/>
  <c r="G33" i="11"/>
  <c r="D33" i="11"/>
  <c r="AJ32" i="11"/>
  <c r="AI32" i="11"/>
  <c r="AH32" i="11"/>
  <c r="F32" i="11" s="1" a="1"/>
  <c r="F32" i="11" s="1"/>
  <c r="AG32" i="11"/>
  <c r="AF32" i="11"/>
  <c r="AE32" i="11"/>
  <c r="AC32" i="11"/>
  <c r="Z32" i="11"/>
  <c r="Y32" i="11"/>
  <c r="X32" i="11"/>
  <c r="W32" i="11"/>
  <c r="U32" i="11"/>
  <c r="T32" i="11"/>
  <c r="S32" i="11"/>
  <c r="Q32" i="11"/>
  <c r="P32" i="11"/>
  <c r="O32" i="11"/>
  <c r="N32" i="11"/>
  <c r="M32" i="11"/>
  <c r="L32" i="11"/>
  <c r="K32" i="11"/>
  <c r="J32" i="11"/>
  <c r="I32" i="11"/>
  <c r="H32" i="11"/>
  <c r="G32" i="11"/>
  <c r="D32" i="11"/>
  <c r="AJ31" i="11"/>
  <c r="AI31" i="11"/>
  <c r="AH31" i="11"/>
  <c r="AG31" i="11"/>
  <c r="AF31" i="11"/>
  <c r="AE31" i="11"/>
  <c r="AC31" i="11"/>
  <c r="Z31" i="11"/>
  <c r="Y31" i="11"/>
  <c r="X31" i="11"/>
  <c r="W31" i="11"/>
  <c r="U31" i="11"/>
  <c r="T31" i="11"/>
  <c r="S31" i="11"/>
  <c r="Q31" i="11"/>
  <c r="P31" i="11"/>
  <c r="O31" i="11"/>
  <c r="N31" i="11"/>
  <c r="M31" i="11"/>
  <c r="L31" i="11"/>
  <c r="K31" i="11"/>
  <c r="J31" i="11"/>
  <c r="I31" i="11"/>
  <c r="F31" i="11" s="1" a="1"/>
  <c r="F31" i="11" s="1"/>
  <c r="L23" i="7" s="1"/>
  <c r="H31" i="11"/>
  <c r="G31" i="11"/>
  <c r="D31" i="11"/>
  <c r="AJ30" i="11"/>
  <c r="AI30" i="11"/>
  <c r="AH30" i="11"/>
  <c r="AG30" i="11"/>
  <c r="AF30" i="11"/>
  <c r="AE30" i="11"/>
  <c r="AC30" i="11"/>
  <c r="Z30" i="11"/>
  <c r="Y30" i="11"/>
  <c r="X30" i="11"/>
  <c r="W30" i="11"/>
  <c r="U30" i="11"/>
  <c r="T30" i="11"/>
  <c r="S30" i="11"/>
  <c r="Q30" i="11"/>
  <c r="P30" i="11"/>
  <c r="O30" i="11"/>
  <c r="N30" i="11"/>
  <c r="M30" i="11"/>
  <c r="L30" i="11"/>
  <c r="K30" i="11"/>
  <c r="J30" i="11"/>
  <c r="I30" i="11"/>
  <c r="F30" i="11" s="1" a="1"/>
  <c r="F30" i="11" s="1"/>
  <c r="H30" i="11"/>
  <c r="G30" i="11"/>
  <c r="D30" i="11"/>
  <c r="AJ29" i="11"/>
  <c r="AI29" i="11"/>
  <c r="AH29" i="11"/>
  <c r="AG29" i="11"/>
  <c r="AF29" i="11"/>
  <c r="AE29" i="11"/>
  <c r="AC29" i="11"/>
  <c r="Z29" i="11"/>
  <c r="Y29" i="11"/>
  <c r="X29" i="11"/>
  <c r="F29" i="11" s="1" a="1"/>
  <c r="F29" i="11" s="1"/>
  <c r="W29" i="11"/>
  <c r="U29" i="11"/>
  <c r="T29" i="11"/>
  <c r="S29" i="11"/>
  <c r="Q29" i="11"/>
  <c r="P29" i="11"/>
  <c r="O29" i="11"/>
  <c r="N29" i="11"/>
  <c r="M29" i="11"/>
  <c r="L29" i="11"/>
  <c r="K29" i="11"/>
  <c r="J29" i="11"/>
  <c r="I29" i="11"/>
  <c r="H29" i="11"/>
  <c r="G29" i="11"/>
  <c r="D29" i="11"/>
  <c r="AJ28" i="11"/>
  <c r="AI28" i="11"/>
  <c r="AH28" i="11"/>
  <c r="AG28" i="11"/>
  <c r="AF28" i="11"/>
  <c r="AE28" i="11"/>
  <c r="AC28" i="11"/>
  <c r="Z28" i="11"/>
  <c r="Y28" i="11"/>
  <c r="X28" i="11"/>
  <c r="W28" i="11"/>
  <c r="U28" i="11"/>
  <c r="T28" i="11"/>
  <c r="S28" i="11"/>
  <c r="Q28" i="11"/>
  <c r="P28" i="11"/>
  <c r="O28" i="11"/>
  <c r="N28" i="11"/>
  <c r="M28" i="11"/>
  <c r="L28" i="11"/>
  <c r="K28" i="11"/>
  <c r="J28" i="11"/>
  <c r="I28" i="11"/>
  <c r="F28" i="11" s="1" a="1"/>
  <c r="F28" i="11" s="1"/>
  <c r="H28" i="11"/>
  <c r="G28" i="11"/>
  <c r="D28" i="11"/>
  <c r="AJ27" i="11"/>
  <c r="AI27" i="11"/>
  <c r="AH27" i="11"/>
  <c r="AG27" i="11"/>
  <c r="AF27" i="11"/>
  <c r="AE27" i="11"/>
  <c r="AC27" i="11"/>
  <c r="Z27" i="11"/>
  <c r="Y27" i="11"/>
  <c r="X27" i="11"/>
  <c r="W27" i="11"/>
  <c r="U27" i="11"/>
  <c r="T27" i="11"/>
  <c r="S27" i="11"/>
  <c r="Q27" i="11"/>
  <c r="P27" i="11"/>
  <c r="O27" i="11"/>
  <c r="N27" i="11"/>
  <c r="M27" i="11"/>
  <c r="L27" i="11"/>
  <c r="K27" i="11"/>
  <c r="J27" i="11"/>
  <c r="I27" i="11"/>
  <c r="F27" i="11" s="1" a="1"/>
  <c r="F27" i="11" s="1"/>
  <c r="H27" i="11"/>
  <c r="G27" i="11"/>
  <c r="D27" i="11"/>
  <c r="AJ26" i="11"/>
  <c r="AI26" i="11"/>
  <c r="AH26" i="11"/>
  <c r="AG26" i="11"/>
  <c r="AF26" i="11"/>
  <c r="AE26" i="11"/>
  <c r="AC26" i="11"/>
  <c r="Z26" i="11"/>
  <c r="Y26" i="11"/>
  <c r="X26" i="11"/>
  <c r="W26" i="11"/>
  <c r="U26" i="11"/>
  <c r="T26" i="11"/>
  <c r="S26" i="11"/>
  <c r="Q26" i="11"/>
  <c r="P26" i="11"/>
  <c r="O26" i="11"/>
  <c r="N26" i="11"/>
  <c r="M26" i="11"/>
  <c r="L26" i="11"/>
  <c r="K26" i="11"/>
  <c r="J26" i="11"/>
  <c r="I26" i="11"/>
  <c r="H26" i="11"/>
  <c r="G26" i="11"/>
  <c r="F26" i="11" a="1"/>
  <c r="F26" i="11" s="1"/>
  <c r="D26" i="11"/>
  <c r="AJ25" i="11"/>
  <c r="AI25" i="11"/>
  <c r="AH25" i="11"/>
  <c r="AG25" i="11"/>
  <c r="AF25" i="11"/>
  <c r="AE25" i="11"/>
  <c r="AC25" i="11"/>
  <c r="Z25" i="11"/>
  <c r="Y25" i="11"/>
  <c r="X25" i="11"/>
  <c r="W25" i="11"/>
  <c r="U25" i="11"/>
  <c r="T25" i="11"/>
  <c r="S25" i="11"/>
  <c r="Q25" i="11"/>
  <c r="P25" i="11"/>
  <c r="O25" i="11"/>
  <c r="N25" i="11"/>
  <c r="M25" i="11"/>
  <c r="L25" i="11"/>
  <c r="K25" i="11"/>
  <c r="J25" i="11"/>
  <c r="I25" i="11"/>
  <c r="F25" i="11" s="1" a="1"/>
  <c r="F25" i="11" s="1"/>
  <c r="H25" i="11"/>
  <c r="G25" i="11"/>
  <c r="D25" i="11"/>
  <c r="AJ24" i="11"/>
  <c r="AI24" i="11"/>
  <c r="AH24" i="11"/>
  <c r="AG24" i="11"/>
  <c r="AF24" i="11"/>
  <c r="AE24" i="11"/>
  <c r="AC24" i="11"/>
  <c r="Z24" i="11"/>
  <c r="Y24" i="11"/>
  <c r="X24" i="11"/>
  <c r="W24" i="11"/>
  <c r="U24" i="11"/>
  <c r="T24" i="11"/>
  <c r="S24" i="11"/>
  <c r="Q24" i="11"/>
  <c r="P24" i="11"/>
  <c r="O24" i="11"/>
  <c r="N24" i="11"/>
  <c r="M24" i="11"/>
  <c r="L24" i="11"/>
  <c r="K24" i="11"/>
  <c r="J24" i="11"/>
  <c r="I24" i="11"/>
  <c r="F24" i="11" s="1" a="1"/>
  <c r="F24" i="11" s="1"/>
  <c r="H24" i="11"/>
  <c r="G24" i="11"/>
  <c r="D24" i="11"/>
  <c r="AJ23" i="11"/>
  <c r="AI23" i="11"/>
  <c r="AH23" i="11"/>
  <c r="AG23" i="11"/>
  <c r="AF23" i="11"/>
  <c r="AE23" i="11"/>
  <c r="AC23" i="11"/>
  <c r="Z23" i="11"/>
  <c r="Y23" i="11"/>
  <c r="X23" i="11"/>
  <c r="W23" i="11"/>
  <c r="U23" i="11"/>
  <c r="T23" i="11"/>
  <c r="S23" i="11"/>
  <c r="Q23" i="11"/>
  <c r="P23" i="11"/>
  <c r="O23" i="11"/>
  <c r="N23" i="11"/>
  <c r="M23" i="11"/>
  <c r="L23" i="11"/>
  <c r="K23" i="11"/>
  <c r="J23" i="11"/>
  <c r="I23" i="11"/>
  <c r="H23" i="11"/>
  <c r="G23" i="11"/>
  <c r="F23" i="11" a="1"/>
  <c r="F23" i="11" s="1"/>
  <c r="D23" i="11"/>
  <c r="AJ22" i="11"/>
  <c r="AI22" i="11"/>
  <c r="AH22" i="11"/>
  <c r="AG22" i="11"/>
  <c r="AF22" i="11"/>
  <c r="AE22" i="11"/>
  <c r="AC22" i="11"/>
  <c r="Z22" i="11"/>
  <c r="Y22" i="11"/>
  <c r="X22" i="11"/>
  <c r="W22" i="11"/>
  <c r="U22" i="11"/>
  <c r="T22" i="11"/>
  <c r="S22" i="11"/>
  <c r="Q22" i="11"/>
  <c r="P22" i="11"/>
  <c r="O22" i="11"/>
  <c r="N22" i="11"/>
  <c r="M22" i="11"/>
  <c r="L22" i="11"/>
  <c r="K22" i="11"/>
  <c r="J22" i="11"/>
  <c r="I22" i="11"/>
  <c r="F22" i="11" s="1" a="1"/>
  <c r="F22" i="11" s="1"/>
  <c r="L16" i="7" s="1"/>
  <c r="H22" i="11"/>
  <c r="G22" i="11"/>
  <c r="D22" i="11"/>
  <c r="AJ21" i="11"/>
  <c r="AI21" i="11"/>
  <c r="AH21" i="11"/>
  <c r="AG21" i="11"/>
  <c r="AF21" i="11"/>
  <c r="AE21" i="11"/>
  <c r="AC21" i="11"/>
  <c r="Z21" i="11"/>
  <c r="Y21" i="11"/>
  <c r="X21" i="11"/>
  <c r="W21" i="11"/>
  <c r="U21" i="11"/>
  <c r="T21" i="11"/>
  <c r="S21" i="11"/>
  <c r="Q21" i="11"/>
  <c r="P21" i="11"/>
  <c r="O21" i="11"/>
  <c r="N21" i="11"/>
  <c r="M21" i="11"/>
  <c r="L21" i="11"/>
  <c r="K21" i="11"/>
  <c r="J21" i="11"/>
  <c r="I21" i="11"/>
  <c r="F21" i="11" s="1" a="1"/>
  <c r="F21" i="11" s="1"/>
  <c r="H21" i="11"/>
  <c r="G21" i="11"/>
  <c r="D21" i="11"/>
  <c r="AJ20" i="11"/>
  <c r="AI20" i="11"/>
  <c r="AH20" i="11"/>
  <c r="AG20" i="11"/>
  <c r="AF20" i="11"/>
  <c r="AE20" i="11"/>
  <c r="AC20" i="11"/>
  <c r="Z20" i="11"/>
  <c r="Y20" i="11"/>
  <c r="X20" i="11"/>
  <c r="W20" i="11"/>
  <c r="U20" i="11"/>
  <c r="T20" i="11"/>
  <c r="S20" i="11"/>
  <c r="Q20" i="11"/>
  <c r="P20" i="11"/>
  <c r="O20" i="11"/>
  <c r="N20" i="11"/>
  <c r="M20" i="11"/>
  <c r="L20" i="11"/>
  <c r="K20" i="11"/>
  <c r="J20" i="11"/>
  <c r="I20" i="11"/>
  <c r="H20" i="11"/>
  <c r="G20" i="11"/>
  <c r="F20" i="11" a="1"/>
  <c r="F20" i="11" s="1"/>
  <c r="D20" i="11"/>
  <c r="AJ19" i="11"/>
  <c r="AI19" i="11"/>
  <c r="AH19" i="11"/>
  <c r="AG19" i="11"/>
  <c r="AF19" i="11"/>
  <c r="AE19" i="11"/>
  <c r="AC19" i="11"/>
  <c r="Z19" i="11"/>
  <c r="Y19" i="11"/>
  <c r="X19" i="11"/>
  <c r="W19" i="11"/>
  <c r="U19" i="11"/>
  <c r="T19" i="11"/>
  <c r="S19" i="11"/>
  <c r="Q19" i="11"/>
  <c r="P19" i="11"/>
  <c r="O19" i="11"/>
  <c r="N19" i="11"/>
  <c r="M19" i="11"/>
  <c r="L19" i="11"/>
  <c r="K19" i="11"/>
  <c r="J19" i="11"/>
  <c r="I19" i="11"/>
  <c r="F19" i="11" s="1"/>
  <c r="H19" i="11"/>
  <c r="G19" i="11"/>
  <c r="D19" i="11"/>
  <c r="F18" i="11" a="1"/>
  <c r="F18" i="11" s="1"/>
  <c r="F17" i="11" a="1"/>
  <c r="F17" i="11" s="1"/>
  <c r="F16" i="11" a="1"/>
  <c r="F16" i="11" s="1"/>
  <c r="F15" i="11" a="1"/>
  <c r="F15" i="11" s="1"/>
  <c r="AJ14" i="11"/>
  <c r="AI14" i="11"/>
  <c r="AH14" i="11"/>
  <c r="AG14" i="11"/>
  <c r="AF14" i="11"/>
  <c r="AE14" i="11"/>
  <c r="AC14" i="11"/>
  <c r="Z14" i="11"/>
  <c r="Y14" i="11"/>
  <c r="X14" i="11"/>
  <c r="W14" i="11"/>
  <c r="U14" i="11"/>
  <c r="T14" i="11"/>
  <c r="S14" i="11"/>
  <c r="Q14" i="11"/>
  <c r="P14" i="11"/>
  <c r="O14" i="11"/>
  <c r="N14" i="11"/>
  <c r="M14" i="11"/>
  <c r="L14" i="11"/>
  <c r="K14" i="11"/>
  <c r="J14" i="11"/>
  <c r="I14" i="11"/>
  <c r="H14" i="11"/>
  <c r="F14" i="11" s="1" a="1"/>
  <c r="F14" i="11" s="1"/>
  <c r="G14" i="11"/>
  <c r="F13" i="11" a="1"/>
  <c r="F13" i="11" s="1"/>
  <c r="AJ12" i="11"/>
  <c r="AI12" i="11"/>
  <c r="AH12" i="11"/>
  <c r="AG12" i="11"/>
  <c r="AF12" i="11"/>
  <c r="AE12" i="11"/>
  <c r="AC12" i="11"/>
  <c r="Z12" i="11"/>
  <c r="Y12" i="11"/>
  <c r="X12" i="11"/>
  <c r="W12" i="11"/>
  <c r="U12" i="11"/>
  <c r="T12" i="11"/>
  <c r="S12" i="11"/>
  <c r="Q12" i="11"/>
  <c r="P12" i="11"/>
  <c r="O12" i="11"/>
  <c r="N12" i="11"/>
  <c r="M12" i="11"/>
  <c r="L12" i="11"/>
  <c r="K12" i="11"/>
  <c r="J12" i="11"/>
  <c r="I12" i="11"/>
  <c r="F12" i="11" s="1" a="1"/>
  <c r="F12" i="11" s="1"/>
  <c r="L150" i="7" s="1"/>
  <c r="H12" i="11"/>
  <c r="G12" i="11"/>
  <c r="D12" i="11"/>
  <c r="F11" i="11" a="1"/>
  <c r="F11" i="11" s="1"/>
  <c r="D11" i="11"/>
  <c r="F10" i="11" a="1"/>
  <c r="F10" i="11" s="1"/>
  <c r="C2" i="3" l="1"/>
  <c r="C102" i="3"/>
  <c r="L84" i="9" l="1"/>
  <c r="L83" i="9"/>
  <c r="L82" i="9"/>
  <c r="O17" i="5"/>
  <c r="B11" i="5" l="1"/>
  <c r="K84" i="9" l="1"/>
  <c r="M84" i="9" s="1"/>
  <c r="J84" i="9"/>
  <c r="J85" i="9" s="1"/>
  <c r="K83" i="9"/>
  <c r="M83" i="9" s="1"/>
  <c r="K82" i="9"/>
  <c r="M82" i="9" s="1"/>
  <c r="M85" i="9" l="1"/>
  <c r="C103" i="3" l="1"/>
  <c r="R20" i="5" l="1"/>
  <c r="Q22" i="5"/>
  <c r="P22" i="5"/>
  <c r="O22" i="5"/>
  <c r="U22" i="5" s="1"/>
  <c r="Q21" i="5"/>
  <c r="P21" i="5"/>
  <c r="O21" i="5"/>
  <c r="U21" i="5" s="1"/>
  <c r="Q20" i="5"/>
  <c r="P20" i="5"/>
  <c r="O20" i="5"/>
  <c r="U20" i="5" l="1"/>
  <c r="U19" i="5" s="1"/>
  <c r="T21" i="5"/>
  <c r="T20" i="5"/>
  <c r="T22" i="5"/>
  <c r="Q14" i="5"/>
  <c r="T19" i="5" l="1"/>
  <c r="E52" i="8"/>
  <c r="E50" i="8"/>
  <c r="E66" i="8" l="1"/>
  <c r="E65" i="8"/>
  <c r="E64" i="8"/>
  <c r="E63" i="8"/>
  <c r="E62" i="8"/>
  <c r="E61" i="8"/>
  <c r="E60" i="8"/>
  <c r="E59" i="8"/>
  <c r="E58" i="8"/>
  <c r="E57" i="8"/>
  <c r="E56" i="8"/>
  <c r="E55" i="8"/>
  <c r="E54" i="8"/>
  <c r="E53" i="8"/>
  <c r="E51" i="8"/>
  <c r="E49" i="8"/>
  <c r="E48" i="8"/>
  <c r="E47" i="8"/>
  <c r="E46" i="8"/>
  <c r="E45" i="8"/>
  <c r="E44" i="8"/>
  <c r="E43" i="8"/>
  <c r="E42" i="8"/>
  <c r="E41" i="8"/>
  <c r="E40" i="8"/>
  <c r="E39" i="8"/>
  <c r="E139" i="3" l="1"/>
  <c r="B40" i="7" l="1"/>
  <c r="F40" i="7"/>
  <c r="H40" i="7"/>
  <c r="I40" i="7"/>
  <c r="G40" i="7" s="1"/>
  <c r="B150" i="7"/>
  <c r="B151" i="7"/>
  <c r="B152" i="7"/>
  <c r="B153" i="7"/>
  <c r="B154" i="7"/>
  <c r="B155" i="7"/>
  <c r="B13" i="7"/>
  <c r="B14" i="7"/>
  <c r="B15" i="7"/>
  <c r="B16" i="7"/>
  <c r="B17" i="7"/>
  <c r="B18" i="7"/>
  <c r="B19" i="7"/>
  <c r="B20" i="7"/>
  <c r="B21" i="7"/>
  <c r="B22" i="7"/>
  <c r="B23" i="7"/>
  <c r="B24" i="7"/>
  <c r="B25" i="7"/>
  <c r="B26" i="7"/>
  <c r="B27" i="7"/>
  <c r="B28" i="7"/>
  <c r="B29" i="7"/>
  <c r="B30" i="7"/>
  <c r="B31" i="7"/>
  <c r="B32" i="7"/>
  <c r="B33" i="7"/>
  <c r="B34" i="7"/>
  <c r="B35" i="7"/>
  <c r="B36" i="7"/>
  <c r="B37" i="7"/>
  <c r="B38" i="7"/>
  <c r="B39" i="7"/>
  <c r="B41" i="7"/>
  <c r="B42" i="7"/>
  <c r="B43" i="7"/>
  <c r="B44" i="7"/>
  <c r="B45" i="7"/>
  <c r="B46" i="7"/>
  <c r="B47" i="7"/>
  <c r="B48" i="7"/>
  <c r="B49" i="7"/>
  <c r="B50" i="7"/>
  <c r="B51" i="7"/>
  <c r="B52" i="7"/>
  <c r="B53" i="7"/>
  <c r="B54" i="7"/>
  <c r="B55" i="7"/>
  <c r="B56" i="7"/>
  <c r="B57" i="7"/>
  <c r="B58" i="7"/>
  <c r="B59" i="7"/>
  <c r="B60" i="7"/>
  <c r="B61" i="7"/>
  <c r="B62" i="7"/>
  <c r="B63" i="7"/>
  <c r="B64" i="7"/>
  <c r="B65" i="7"/>
  <c r="B66" i="7"/>
  <c r="B67" i="7"/>
  <c r="B68" i="7"/>
  <c r="B69" i="7"/>
  <c r="B70" i="7"/>
  <c r="B71" i="7"/>
  <c r="B72" i="7"/>
  <c r="B73" i="7"/>
  <c r="B74" i="7"/>
  <c r="B75" i="7"/>
  <c r="B76" i="7"/>
  <c r="B77" i="7"/>
  <c r="B78" i="7"/>
  <c r="B79" i="7"/>
  <c r="B80" i="7"/>
  <c r="B81" i="7"/>
  <c r="B82" i="7"/>
  <c r="B83" i="7"/>
  <c r="B84" i="7"/>
  <c r="B85" i="7"/>
  <c r="B86" i="7"/>
  <c r="B87" i="7"/>
  <c r="B88" i="7"/>
  <c r="B89" i="7"/>
  <c r="B90" i="7"/>
  <c r="B91" i="7"/>
  <c r="B92" i="7"/>
  <c r="B93" i="7"/>
  <c r="B94" i="7"/>
  <c r="B95" i="7"/>
  <c r="B96" i="7"/>
  <c r="B97" i="7"/>
  <c r="B98" i="7"/>
  <c r="B99" i="7"/>
  <c r="B100" i="7"/>
  <c r="B101" i="7"/>
  <c r="B102" i="7"/>
  <c r="B103" i="7"/>
  <c r="B104" i="7"/>
  <c r="B105" i="7"/>
  <c r="B106" i="7"/>
  <c r="B107" i="7"/>
  <c r="B108" i="7"/>
  <c r="B109" i="7"/>
  <c r="B110" i="7"/>
  <c r="B111" i="7"/>
  <c r="B112" i="7"/>
  <c r="B113" i="7"/>
  <c r="B114" i="7"/>
  <c r="B115" i="7"/>
  <c r="B116" i="7"/>
  <c r="B117" i="7"/>
  <c r="B118" i="7"/>
  <c r="B119" i="7"/>
  <c r="B120" i="7"/>
  <c r="B121" i="7"/>
  <c r="B122" i="7"/>
  <c r="B123" i="7"/>
  <c r="B124" i="7"/>
  <c r="B125" i="7"/>
  <c r="B126" i="7"/>
  <c r="B127" i="7"/>
  <c r="B128" i="7"/>
  <c r="B129" i="7"/>
  <c r="B130" i="7"/>
  <c r="B131" i="7"/>
  <c r="B132" i="7"/>
  <c r="B133" i="7"/>
  <c r="B134" i="7"/>
  <c r="B135" i="7"/>
  <c r="B136" i="7"/>
  <c r="B137" i="7"/>
  <c r="B138" i="7"/>
  <c r="B139" i="7"/>
  <c r="B140" i="7"/>
  <c r="B141" i="7"/>
  <c r="B142" i="7"/>
  <c r="B143" i="7"/>
  <c r="B144" i="7"/>
  <c r="B145" i="7"/>
  <c r="B146" i="7"/>
  <c r="B147" i="7"/>
  <c r="B148" i="7"/>
  <c r="B149" i="7"/>
  <c r="B12" i="7"/>
  <c r="J40" i="7" l="1"/>
  <c r="G79" i="9"/>
  <c r="B69" i="9" l="1"/>
  <c r="C69" i="9"/>
  <c r="G69" i="9" s="1"/>
  <c r="D69" i="9"/>
  <c r="B36" i="9"/>
  <c r="C36" i="9"/>
  <c r="G36" i="9" s="1"/>
  <c r="D36" i="9"/>
  <c r="I153" i="7" l="1"/>
  <c r="G153" i="7" s="1"/>
  <c r="I154" i="7"/>
  <c r="J154" i="7" s="1"/>
  <c r="I155" i="7"/>
  <c r="J155" i="7" s="1"/>
  <c r="H150" i="7"/>
  <c r="H151" i="7"/>
  <c r="H152" i="7"/>
  <c r="H153" i="7"/>
  <c r="H154" i="7"/>
  <c r="H155" i="7"/>
  <c r="I13" i="7"/>
  <c r="J13" i="7" s="1"/>
  <c r="I16" i="7"/>
  <c r="J16" i="7" s="1"/>
  <c r="I17" i="7"/>
  <c r="J17" i="7" s="1"/>
  <c r="I18" i="7"/>
  <c r="J18" i="7" s="1"/>
  <c r="I19" i="7"/>
  <c r="J19" i="7" s="1"/>
  <c r="I20" i="7"/>
  <c r="J20" i="7" s="1"/>
  <c r="I21" i="7"/>
  <c r="J21" i="7" s="1"/>
  <c r="I22" i="7"/>
  <c r="J22" i="7" s="1"/>
  <c r="I23" i="7"/>
  <c r="J23" i="7" s="1"/>
  <c r="I24" i="7"/>
  <c r="J24" i="7" s="1"/>
  <c r="I25" i="7"/>
  <c r="J25" i="7" s="1"/>
  <c r="I26" i="7"/>
  <c r="J26" i="7" s="1"/>
  <c r="I27" i="7"/>
  <c r="J27" i="7" s="1"/>
  <c r="I28" i="7"/>
  <c r="J28" i="7" s="1"/>
  <c r="I29" i="7"/>
  <c r="J29" i="7" s="1"/>
  <c r="I30" i="7"/>
  <c r="J30" i="7" s="1"/>
  <c r="I31" i="7"/>
  <c r="J31" i="7" s="1"/>
  <c r="I32" i="7"/>
  <c r="J32" i="7" s="1"/>
  <c r="I33" i="7"/>
  <c r="J33" i="7" s="1"/>
  <c r="I34" i="7"/>
  <c r="J34" i="7" s="1"/>
  <c r="I35" i="7"/>
  <c r="J35" i="7" s="1"/>
  <c r="I36" i="7"/>
  <c r="J36" i="7" s="1"/>
  <c r="I37" i="7"/>
  <c r="J37" i="7" s="1"/>
  <c r="I38" i="7"/>
  <c r="J38" i="7" s="1"/>
  <c r="I39" i="7"/>
  <c r="J39" i="7" s="1"/>
  <c r="I41" i="7"/>
  <c r="I42" i="7"/>
  <c r="I43" i="7"/>
  <c r="I44" i="7"/>
  <c r="I45" i="7"/>
  <c r="I46" i="7"/>
  <c r="I47" i="7"/>
  <c r="I48" i="7"/>
  <c r="I49" i="7"/>
  <c r="I50" i="7"/>
  <c r="I51" i="7"/>
  <c r="I52" i="7"/>
  <c r="J52" i="7" s="1"/>
  <c r="I53" i="7"/>
  <c r="J53" i="7" s="1"/>
  <c r="I54" i="7"/>
  <c r="J54" i="7" s="1"/>
  <c r="I55" i="7"/>
  <c r="J55" i="7" s="1"/>
  <c r="I56" i="7"/>
  <c r="I57" i="7"/>
  <c r="I58" i="7"/>
  <c r="I59" i="7"/>
  <c r="G59" i="7" s="1"/>
  <c r="I60" i="7"/>
  <c r="I61" i="7"/>
  <c r="I62" i="7"/>
  <c r="I63" i="7"/>
  <c r="I64" i="7"/>
  <c r="I65" i="7"/>
  <c r="G65" i="7" s="1"/>
  <c r="I66" i="7"/>
  <c r="G66" i="7" s="1"/>
  <c r="I67" i="7"/>
  <c r="G67" i="7" s="1"/>
  <c r="I68" i="7"/>
  <c r="I69" i="7"/>
  <c r="J69" i="7" s="1"/>
  <c r="I70" i="7"/>
  <c r="J70" i="7" s="1"/>
  <c r="I71" i="7"/>
  <c r="I72" i="7"/>
  <c r="I73" i="7"/>
  <c r="G73" i="7" s="1"/>
  <c r="I74" i="7"/>
  <c r="G74" i="7" s="1"/>
  <c r="I75" i="7"/>
  <c r="I76" i="7"/>
  <c r="J76" i="7" s="1"/>
  <c r="I77" i="7"/>
  <c r="I78" i="7"/>
  <c r="I79" i="7"/>
  <c r="I80" i="7"/>
  <c r="I81" i="7"/>
  <c r="I82" i="7"/>
  <c r="I83" i="7"/>
  <c r="I84" i="7"/>
  <c r="G84" i="7" s="1"/>
  <c r="I85" i="7"/>
  <c r="G85" i="7" s="1"/>
  <c r="I86" i="7"/>
  <c r="I87" i="7"/>
  <c r="G87" i="7" s="1"/>
  <c r="I88" i="7"/>
  <c r="I89" i="7"/>
  <c r="I90" i="7"/>
  <c r="I91" i="7"/>
  <c r="I92" i="7"/>
  <c r="J92" i="7" s="1"/>
  <c r="I93" i="7"/>
  <c r="G93" i="7" s="1"/>
  <c r="I94" i="7"/>
  <c r="I95" i="7"/>
  <c r="G95" i="7" s="1"/>
  <c r="I96" i="7"/>
  <c r="I97" i="7"/>
  <c r="I98" i="7"/>
  <c r="G98" i="7" s="1"/>
  <c r="I99" i="7"/>
  <c r="I100" i="7"/>
  <c r="G100" i="7" s="1"/>
  <c r="I101" i="7"/>
  <c r="I102" i="7"/>
  <c r="G102" i="7" s="1"/>
  <c r="I103" i="7"/>
  <c r="I104" i="7"/>
  <c r="I105" i="7"/>
  <c r="I106" i="7"/>
  <c r="I107" i="7"/>
  <c r="G107" i="7" s="1"/>
  <c r="I108" i="7"/>
  <c r="G108" i="7" s="1"/>
  <c r="I109" i="7"/>
  <c r="G109" i="7" s="1"/>
  <c r="I110" i="7"/>
  <c r="I111" i="7"/>
  <c r="I112" i="7"/>
  <c r="I113" i="7"/>
  <c r="I114" i="7"/>
  <c r="I115" i="7"/>
  <c r="G115" i="7" s="1"/>
  <c r="I116" i="7"/>
  <c r="I117" i="7"/>
  <c r="G117" i="7" s="1"/>
  <c r="I118" i="7"/>
  <c r="I119" i="7"/>
  <c r="I120" i="7"/>
  <c r="I121" i="7"/>
  <c r="G121" i="7" s="1"/>
  <c r="I122" i="7"/>
  <c r="G122" i="7" s="1"/>
  <c r="I123" i="7"/>
  <c r="G123" i="7" s="1"/>
  <c r="I124" i="7"/>
  <c r="I125" i="7"/>
  <c r="G125" i="7" s="1"/>
  <c r="I126" i="7"/>
  <c r="I127" i="7"/>
  <c r="I128" i="7"/>
  <c r="G128" i="7" s="1"/>
  <c r="I129" i="7"/>
  <c r="G129" i="7" s="1"/>
  <c r="I130" i="7"/>
  <c r="G130" i="7" s="1"/>
  <c r="I131" i="7"/>
  <c r="G131" i="7" s="1"/>
  <c r="I132" i="7"/>
  <c r="I133" i="7"/>
  <c r="G133" i="7" s="1"/>
  <c r="I134" i="7"/>
  <c r="I135" i="7"/>
  <c r="I136" i="7"/>
  <c r="G136" i="7" s="1"/>
  <c r="I137" i="7"/>
  <c r="G137" i="7" s="1"/>
  <c r="I138" i="7"/>
  <c r="G138" i="7" s="1"/>
  <c r="I139" i="7"/>
  <c r="I140" i="7"/>
  <c r="I141" i="7"/>
  <c r="G141" i="7" s="1"/>
  <c r="I142" i="7"/>
  <c r="I143" i="7"/>
  <c r="J143" i="7" s="1"/>
  <c r="I144" i="7"/>
  <c r="J144" i="7" s="1"/>
  <c r="I145" i="7"/>
  <c r="G145" i="7" s="1"/>
  <c r="I146" i="7"/>
  <c r="G146" i="7" s="1"/>
  <c r="I147" i="7"/>
  <c r="I148" i="7"/>
  <c r="I149" i="7"/>
  <c r="G149" i="7" s="1"/>
  <c r="I12" i="7"/>
  <c r="B11" i="4"/>
  <c r="I15" i="7" s="1"/>
  <c r="J15" i="7" s="1"/>
  <c r="B10" i="4"/>
  <c r="I14" i="7" s="1"/>
  <c r="J14" i="7" s="1"/>
  <c r="H14" i="7"/>
  <c r="H13" i="7"/>
  <c r="H15" i="7"/>
  <c r="H16" i="7"/>
  <c r="H17" i="7"/>
  <c r="H18" i="7"/>
  <c r="H19" i="7"/>
  <c r="H20" i="7"/>
  <c r="H21" i="7"/>
  <c r="H22" i="7"/>
  <c r="H23" i="7"/>
  <c r="H24" i="7"/>
  <c r="H25" i="7"/>
  <c r="H26" i="7"/>
  <c r="H27" i="7"/>
  <c r="H28" i="7"/>
  <c r="H29" i="7"/>
  <c r="H30" i="7"/>
  <c r="H31" i="7"/>
  <c r="H32" i="7"/>
  <c r="H33" i="7"/>
  <c r="H34" i="7"/>
  <c r="H35" i="7"/>
  <c r="H36" i="7"/>
  <c r="H37" i="7"/>
  <c r="H38" i="7"/>
  <c r="H39" i="7"/>
  <c r="H41" i="7"/>
  <c r="H42" i="7"/>
  <c r="H43" i="7"/>
  <c r="H44" i="7"/>
  <c r="H45" i="7"/>
  <c r="H46" i="7"/>
  <c r="H47" i="7"/>
  <c r="H48" i="7"/>
  <c r="H49" i="7"/>
  <c r="H50" i="7"/>
  <c r="H51" i="7"/>
  <c r="H52" i="7"/>
  <c r="H53" i="7"/>
  <c r="H54" i="7"/>
  <c r="H55" i="7"/>
  <c r="H56" i="7"/>
  <c r="H57" i="7"/>
  <c r="H58" i="7"/>
  <c r="H59" i="7"/>
  <c r="H60" i="7"/>
  <c r="H61" i="7"/>
  <c r="H62" i="7"/>
  <c r="H63" i="7"/>
  <c r="H64" i="7"/>
  <c r="H65" i="7"/>
  <c r="H66" i="7"/>
  <c r="H67" i="7"/>
  <c r="H68" i="7"/>
  <c r="H69" i="7"/>
  <c r="H70" i="7"/>
  <c r="H71" i="7"/>
  <c r="H72" i="7"/>
  <c r="H73" i="7"/>
  <c r="H74" i="7"/>
  <c r="H75" i="7"/>
  <c r="H76" i="7"/>
  <c r="H77" i="7"/>
  <c r="H78" i="7"/>
  <c r="H79" i="7"/>
  <c r="H80" i="7"/>
  <c r="H81" i="7"/>
  <c r="H82" i="7"/>
  <c r="H83" i="7"/>
  <c r="H84" i="7"/>
  <c r="H85" i="7"/>
  <c r="H86" i="7"/>
  <c r="H87" i="7"/>
  <c r="H88" i="7"/>
  <c r="H89" i="7"/>
  <c r="H90" i="7"/>
  <c r="H91" i="7"/>
  <c r="H92" i="7"/>
  <c r="H93" i="7"/>
  <c r="H94" i="7"/>
  <c r="H95" i="7"/>
  <c r="H96" i="7"/>
  <c r="H97" i="7"/>
  <c r="H98" i="7"/>
  <c r="H99" i="7"/>
  <c r="H100" i="7"/>
  <c r="H101" i="7"/>
  <c r="H102" i="7"/>
  <c r="H103" i="7"/>
  <c r="H104" i="7"/>
  <c r="H105" i="7"/>
  <c r="H106" i="7"/>
  <c r="H107" i="7"/>
  <c r="H108" i="7"/>
  <c r="H109" i="7"/>
  <c r="H110" i="7"/>
  <c r="H111" i="7"/>
  <c r="H112" i="7"/>
  <c r="H113" i="7"/>
  <c r="H114" i="7"/>
  <c r="H115" i="7"/>
  <c r="H116" i="7"/>
  <c r="H117" i="7"/>
  <c r="H118" i="7"/>
  <c r="H119" i="7"/>
  <c r="H120" i="7"/>
  <c r="H121" i="7"/>
  <c r="H122" i="7"/>
  <c r="H123" i="7"/>
  <c r="H124" i="7"/>
  <c r="H125" i="7"/>
  <c r="H126" i="7"/>
  <c r="H127" i="7"/>
  <c r="H128" i="7"/>
  <c r="H129" i="7"/>
  <c r="H130" i="7"/>
  <c r="H131" i="7"/>
  <c r="H132" i="7"/>
  <c r="H133" i="7"/>
  <c r="H134" i="7"/>
  <c r="H135" i="7"/>
  <c r="H136" i="7"/>
  <c r="H137" i="7"/>
  <c r="H138" i="7"/>
  <c r="H139" i="7"/>
  <c r="H140" i="7"/>
  <c r="H141" i="7"/>
  <c r="H142" i="7"/>
  <c r="H143" i="7"/>
  <c r="H144" i="7"/>
  <c r="H145" i="7"/>
  <c r="H146" i="7"/>
  <c r="H147" i="7"/>
  <c r="H148" i="7"/>
  <c r="H149" i="7"/>
  <c r="H12" i="7"/>
  <c r="F115" i="7"/>
  <c r="F116" i="7"/>
  <c r="F117" i="7"/>
  <c r="F118" i="7"/>
  <c r="F119" i="7"/>
  <c r="F120" i="7"/>
  <c r="F121" i="7"/>
  <c r="F122" i="7"/>
  <c r="F123" i="7"/>
  <c r="F124" i="7"/>
  <c r="F125" i="7"/>
  <c r="F126" i="7"/>
  <c r="F127" i="7"/>
  <c r="F128" i="7"/>
  <c r="F129" i="7"/>
  <c r="F130" i="7"/>
  <c r="F131" i="7"/>
  <c r="F132" i="7"/>
  <c r="F133" i="7"/>
  <c r="F134" i="7"/>
  <c r="F135" i="7"/>
  <c r="F136" i="7"/>
  <c r="F137" i="7"/>
  <c r="F138" i="7"/>
  <c r="F139" i="7"/>
  <c r="F140" i="7"/>
  <c r="F141" i="7"/>
  <c r="F142" i="7"/>
  <c r="F143" i="7"/>
  <c r="F144" i="7"/>
  <c r="F145" i="7"/>
  <c r="F146" i="7"/>
  <c r="F147" i="7"/>
  <c r="F148" i="7"/>
  <c r="F149" i="7"/>
  <c r="F109" i="7"/>
  <c r="F110" i="7"/>
  <c r="F111" i="7"/>
  <c r="F112" i="7"/>
  <c r="F113" i="7"/>
  <c r="F114" i="7"/>
  <c r="F77" i="7"/>
  <c r="G77" i="7"/>
  <c r="F78" i="7"/>
  <c r="F79" i="7"/>
  <c r="G79" i="7"/>
  <c r="F80" i="7"/>
  <c r="F81" i="7"/>
  <c r="F82" i="7"/>
  <c r="F83" i="7"/>
  <c r="F84" i="7"/>
  <c r="F85" i="7"/>
  <c r="F86" i="7"/>
  <c r="F87" i="7"/>
  <c r="F88" i="7"/>
  <c r="F89" i="7"/>
  <c r="F90" i="7"/>
  <c r="F91" i="7"/>
  <c r="G91" i="7"/>
  <c r="F92" i="7"/>
  <c r="F93" i="7"/>
  <c r="F94" i="7"/>
  <c r="F95" i="7"/>
  <c r="F96" i="7"/>
  <c r="F97" i="7"/>
  <c r="F98" i="7"/>
  <c r="F99" i="7"/>
  <c r="G99" i="7"/>
  <c r="F100" i="7"/>
  <c r="F101" i="7"/>
  <c r="F102" i="7"/>
  <c r="F103" i="7"/>
  <c r="F104" i="7"/>
  <c r="F105" i="7"/>
  <c r="F106" i="7"/>
  <c r="F107" i="7"/>
  <c r="F108" i="7"/>
  <c r="F76" i="7"/>
  <c r="F59" i="7"/>
  <c r="F60" i="7"/>
  <c r="F61" i="7"/>
  <c r="F62" i="7"/>
  <c r="F63" i="7"/>
  <c r="F64" i="7"/>
  <c r="F65" i="7"/>
  <c r="F66" i="7"/>
  <c r="F67" i="7"/>
  <c r="F68" i="7"/>
  <c r="F69" i="7"/>
  <c r="F70" i="7"/>
  <c r="F71" i="7"/>
  <c r="F72" i="7"/>
  <c r="F73" i="7"/>
  <c r="F74" i="7"/>
  <c r="F75" i="7"/>
  <c r="G76" i="7" l="1"/>
  <c r="G92" i="7"/>
  <c r="J153" i="7"/>
  <c r="G154" i="7"/>
  <c r="G139" i="7"/>
  <c r="G147" i="7"/>
  <c r="G119" i="7"/>
  <c r="G126" i="7"/>
  <c r="G143" i="7"/>
  <c r="G144" i="7"/>
  <c r="G134" i="7"/>
  <c r="G127" i="7"/>
  <c r="G120" i="7"/>
  <c r="G142" i="7"/>
  <c r="G135" i="7"/>
  <c r="G118" i="7"/>
  <c r="G148" i="7"/>
  <c r="G140" i="7"/>
  <c r="G132" i="7"/>
  <c r="G124" i="7"/>
  <c r="G116" i="7"/>
  <c r="G89" i="7"/>
  <c r="G106" i="7"/>
  <c r="G82" i="7"/>
  <c r="G103" i="7"/>
  <c r="G83" i="7"/>
  <c r="G112" i="7"/>
  <c r="G80" i="7"/>
  <c r="G88" i="7"/>
  <c r="G81" i="7"/>
  <c r="G90" i="7"/>
  <c r="G113" i="7"/>
  <c r="G114" i="7"/>
  <c r="G104" i="7"/>
  <c r="G105" i="7"/>
  <c r="G96" i="7"/>
  <c r="G97" i="7"/>
  <c r="G111" i="7"/>
  <c r="G110" i="7"/>
  <c r="G94" i="7"/>
  <c r="G86" i="7"/>
  <c r="G78" i="7"/>
  <c r="G101" i="7"/>
  <c r="G72" i="7"/>
  <c r="G71" i="7"/>
  <c r="G70" i="7"/>
  <c r="G62" i="7"/>
  <c r="G63" i="7"/>
  <c r="G64" i="7"/>
  <c r="G69" i="7"/>
  <c r="G61" i="7"/>
  <c r="G75" i="7"/>
  <c r="G68" i="7"/>
  <c r="G60" i="7"/>
  <c r="B35" i="9" l="1"/>
  <c r="C35" i="9"/>
  <c r="G35" i="9" s="1"/>
  <c r="D35" i="9"/>
  <c r="B37" i="9"/>
  <c r="C37" i="9"/>
  <c r="G37" i="9" s="1"/>
  <c r="D37" i="9"/>
  <c r="F33" i="7" l="1"/>
  <c r="G33" i="7"/>
  <c r="I151" i="7" l="1"/>
  <c r="J151" i="7" s="1"/>
  <c r="I152" i="7"/>
  <c r="J152" i="7" s="1"/>
  <c r="G152" i="7" l="1"/>
  <c r="G151" i="7"/>
  <c r="E43" i="3" l="1"/>
  <c r="G44" i="7"/>
  <c r="E11" i="3"/>
  <c r="G31" i="7"/>
  <c r="G38" i="7"/>
  <c r="I150" i="7"/>
  <c r="J150" i="7" s="1"/>
  <c r="G13" i="7"/>
  <c r="G14" i="7"/>
  <c r="G15" i="7"/>
  <c r="G16" i="7"/>
  <c r="G43" i="7" l="1"/>
  <c r="G41" i="7"/>
  <c r="G42" i="7"/>
  <c r="G34" i="7"/>
  <c r="G39" i="7"/>
  <c r="G37" i="7"/>
  <c r="G36" i="7"/>
  <c r="G35" i="7"/>
  <c r="G32" i="7"/>
  <c r="G30" i="7"/>
  <c r="G29" i="7"/>
  <c r="G28" i="7"/>
  <c r="G27" i="7"/>
  <c r="G26" i="7"/>
  <c r="M5" i="7" l="1"/>
  <c r="D40" i="7" s="1"/>
  <c r="D154" i="7" l="1"/>
  <c r="D153" i="7"/>
  <c r="D116" i="7"/>
  <c r="D130" i="7"/>
  <c r="D135" i="7"/>
  <c r="D145" i="7"/>
  <c r="D120" i="7"/>
  <c r="D124" i="7"/>
  <c r="D140" i="7"/>
  <c r="D149" i="7"/>
  <c r="D115" i="7"/>
  <c r="D119" i="7"/>
  <c r="D129" i="7"/>
  <c r="D134" i="7"/>
  <c r="D139" i="7"/>
  <c r="D144" i="7"/>
  <c r="D123" i="7"/>
  <c r="D128" i="7"/>
  <c r="D148" i="7"/>
  <c r="D118" i="7"/>
  <c r="D133" i="7"/>
  <c r="D138" i="7"/>
  <c r="D143" i="7"/>
  <c r="D147" i="7"/>
  <c r="D125" i="7"/>
  <c r="D122" i="7"/>
  <c r="D127" i="7"/>
  <c r="D141" i="7"/>
  <c r="D117" i="7"/>
  <c r="D126" i="7"/>
  <c r="D131" i="7"/>
  <c r="D132" i="7"/>
  <c r="D136" i="7"/>
  <c r="D137" i="7"/>
  <c r="D142" i="7"/>
  <c r="D146" i="7"/>
  <c r="D121" i="7"/>
  <c r="D110" i="7"/>
  <c r="D81" i="7"/>
  <c r="D88" i="7"/>
  <c r="D94" i="7"/>
  <c r="D102" i="7"/>
  <c r="D108" i="7"/>
  <c r="D114" i="7"/>
  <c r="D80" i="7"/>
  <c r="D87" i="7"/>
  <c r="D89" i="7"/>
  <c r="D103" i="7"/>
  <c r="D109" i="7"/>
  <c r="D79" i="7"/>
  <c r="D93" i="7"/>
  <c r="D97" i="7"/>
  <c r="D101" i="7"/>
  <c r="D106" i="7"/>
  <c r="D107" i="7"/>
  <c r="D113" i="7"/>
  <c r="D86" i="7"/>
  <c r="D112" i="7"/>
  <c r="D78" i="7"/>
  <c r="D85" i="7"/>
  <c r="D92" i="7"/>
  <c r="D96" i="7"/>
  <c r="D100" i="7"/>
  <c r="D105" i="7"/>
  <c r="D77" i="7"/>
  <c r="D91" i="7"/>
  <c r="D111" i="7"/>
  <c r="D83" i="7"/>
  <c r="D84" i="7"/>
  <c r="D90" i="7"/>
  <c r="D95" i="7"/>
  <c r="D98" i="7"/>
  <c r="D99" i="7"/>
  <c r="D104" i="7"/>
  <c r="D82" i="7"/>
  <c r="D33" i="7"/>
  <c r="D64" i="7"/>
  <c r="D70" i="7"/>
  <c r="D63" i="7"/>
  <c r="D66" i="7"/>
  <c r="D76" i="7"/>
  <c r="D62" i="7"/>
  <c r="D69" i="7"/>
  <c r="D75" i="7"/>
  <c r="D59" i="7"/>
  <c r="D74" i="7"/>
  <c r="D61" i="7"/>
  <c r="D68" i="7"/>
  <c r="D67" i="7"/>
  <c r="D72" i="7"/>
  <c r="D73" i="7"/>
  <c r="D65" i="7"/>
  <c r="D60" i="7"/>
  <c r="D71" i="7"/>
  <c r="D152" i="7"/>
  <c r="D151" i="7"/>
  <c r="D43" i="7"/>
  <c r="D44" i="7"/>
  <c r="D42" i="7"/>
  <c r="D41" i="7"/>
  <c r="D13" i="7"/>
  <c r="D37" i="7"/>
  <c r="D34" i="7"/>
  <c r="D31" i="7"/>
  <c r="D26" i="7"/>
  <c r="D35" i="7"/>
  <c r="D29" i="7"/>
  <c r="D38" i="7"/>
  <c r="D27" i="7"/>
  <c r="D36" i="7"/>
  <c r="D32" i="7"/>
  <c r="D30" i="7"/>
  <c r="D39" i="7"/>
  <c r="D28" i="7"/>
  <c r="B165" i="4"/>
  <c r="B164" i="4"/>
  <c r="R17" i="5"/>
  <c r="F36" i="7" l="1"/>
  <c r="F31" i="7"/>
  <c r="F43" i="7"/>
  <c r="F28" i="7"/>
  <c r="F39" i="7"/>
  <c r="F35" i="7"/>
  <c r="F30" i="7"/>
  <c r="F42" i="7"/>
  <c r="F38" i="7"/>
  <c r="F27" i="7"/>
  <c r="F26" i="7"/>
  <c r="F34" i="7"/>
  <c r="F13" i="7"/>
  <c r="F44" i="7"/>
  <c r="F37" i="7"/>
  <c r="F29" i="7"/>
  <c r="F41" i="7"/>
  <c r="F32" i="7"/>
  <c r="E58" i="3"/>
  <c r="E101" i="3" l="1"/>
  <c r="E100" i="3"/>
  <c r="E99" i="3"/>
  <c r="E98" i="3"/>
  <c r="E97" i="3"/>
  <c r="E96" i="3"/>
  <c r="E95" i="3"/>
  <c r="E94" i="3"/>
  <c r="E93" i="3"/>
  <c r="E92" i="3"/>
  <c r="E91" i="3"/>
  <c r="E90" i="3"/>
  <c r="E89" i="3"/>
  <c r="E88" i="3"/>
  <c r="E87" i="3"/>
  <c r="E86" i="3"/>
  <c r="E85" i="3"/>
  <c r="E84" i="3"/>
  <c r="E83" i="3"/>
  <c r="E82" i="3"/>
  <c r="E81" i="3"/>
  <c r="E80" i="3"/>
  <c r="E79" i="3"/>
  <c r="E78" i="3"/>
  <c r="E77" i="3"/>
  <c r="E76" i="3"/>
  <c r="E75" i="3"/>
  <c r="E74" i="3"/>
  <c r="E73" i="3"/>
  <c r="E72" i="3"/>
  <c r="E71" i="3"/>
  <c r="E70" i="3"/>
  <c r="E69" i="3"/>
  <c r="E68" i="3"/>
  <c r="E67" i="3"/>
  <c r="E66" i="3"/>
  <c r="E65" i="3"/>
  <c r="E64" i="3"/>
  <c r="E63" i="3"/>
  <c r="E62" i="3"/>
  <c r="E61" i="3"/>
  <c r="E60" i="3"/>
  <c r="E59" i="3"/>
  <c r="E57" i="3"/>
  <c r="E56" i="3"/>
  <c r="E55" i="3"/>
  <c r="E54" i="3"/>
  <c r="E53" i="3"/>
  <c r="E52" i="3"/>
  <c r="E51" i="3"/>
  <c r="E50" i="3"/>
  <c r="E49" i="3"/>
  <c r="E48" i="3"/>
  <c r="E47" i="3"/>
  <c r="E46" i="3"/>
  <c r="E45" i="3"/>
  <c r="E44" i="3"/>
  <c r="E42" i="3"/>
  <c r="E41" i="3"/>
  <c r="E40" i="3"/>
  <c r="E39" i="3"/>
  <c r="E38" i="3"/>
  <c r="E37" i="3"/>
  <c r="E36" i="3"/>
  <c r="E35" i="3"/>
  <c r="E34" i="3"/>
  <c r="E33" i="3"/>
  <c r="E32" i="3"/>
  <c r="E31" i="3"/>
  <c r="E30" i="3"/>
  <c r="E29" i="3"/>
  <c r="E28" i="3"/>
  <c r="E27" i="3"/>
  <c r="E26" i="3"/>
  <c r="E25" i="3"/>
  <c r="E24" i="3"/>
  <c r="E23" i="3"/>
  <c r="E22" i="3"/>
  <c r="E21" i="3"/>
  <c r="E20" i="3"/>
  <c r="E19" i="3"/>
  <c r="E18" i="3"/>
  <c r="E17" i="3"/>
  <c r="E16" i="3"/>
  <c r="E15" i="3"/>
  <c r="E14" i="3"/>
  <c r="E13" i="3"/>
  <c r="E12" i="3"/>
  <c r="E10" i="3"/>
  <c r="E9" i="3"/>
  <c r="E8" i="3"/>
  <c r="E7" i="3"/>
  <c r="E6" i="3"/>
  <c r="E5" i="3"/>
  <c r="E4" i="3"/>
  <c r="E3" i="3"/>
  <c r="E2" i="3"/>
  <c r="E102" i="3"/>
  <c r="E109" i="3"/>
  <c r="E110" i="3"/>
  <c r="E111" i="3"/>
  <c r="E112" i="3"/>
  <c r="E113" i="3"/>
  <c r="E114" i="3"/>
  <c r="E115" i="3"/>
  <c r="E116" i="3"/>
  <c r="E117" i="3"/>
  <c r="E118" i="3"/>
  <c r="E119" i="3"/>
  <c r="E120" i="3"/>
  <c r="E121" i="3"/>
  <c r="E122" i="3"/>
  <c r="E123" i="3"/>
  <c r="E124" i="3"/>
  <c r="E125" i="3"/>
  <c r="E126" i="3"/>
  <c r="E127" i="3"/>
  <c r="E128" i="3"/>
  <c r="E129" i="3"/>
  <c r="E130" i="3"/>
  <c r="E131" i="3"/>
  <c r="E133" i="3"/>
  <c r="E134" i="3"/>
  <c r="E135" i="3"/>
  <c r="E136" i="3"/>
  <c r="E137" i="3"/>
  <c r="E138" i="3"/>
  <c r="E140" i="3"/>
  <c r="E141" i="3"/>
  <c r="E142" i="3"/>
  <c r="E143" i="3"/>
  <c r="E144" i="3"/>
  <c r="E145" i="3"/>
  <c r="E146" i="3"/>
  <c r="E147" i="3"/>
  <c r="E148" i="3"/>
  <c r="E149" i="3"/>
  <c r="E150" i="3"/>
  <c r="E151" i="3"/>
  <c r="E152" i="3"/>
  <c r="E153" i="3"/>
  <c r="E154" i="3"/>
  <c r="E155" i="3"/>
  <c r="E156" i="3"/>
  <c r="E157" i="3"/>
  <c r="E158" i="3"/>
  <c r="E159" i="3"/>
  <c r="E160" i="3"/>
  <c r="E107" i="3"/>
  <c r="O18" i="5"/>
  <c r="U18" i="5" s="1"/>
  <c r="O15" i="5"/>
  <c r="O14" i="5"/>
  <c r="Q18" i="5"/>
  <c r="Q17" i="5"/>
  <c r="T17" i="5" s="1"/>
  <c r="Q15" i="5"/>
  <c r="R14" i="5"/>
  <c r="P18" i="5"/>
  <c r="P17" i="5"/>
  <c r="P15" i="5"/>
  <c r="P14" i="5"/>
  <c r="D68" i="9"/>
  <c r="C68" i="9"/>
  <c r="G68" i="9" s="1"/>
  <c r="B68" i="9"/>
  <c r="D67" i="9"/>
  <c r="C67" i="9"/>
  <c r="G67" i="9" s="1"/>
  <c r="B67" i="9"/>
  <c r="D66" i="9"/>
  <c r="C66" i="9"/>
  <c r="G66" i="9" s="1"/>
  <c r="B66" i="9"/>
  <c r="D65" i="9"/>
  <c r="C65" i="9"/>
  <c r="G65" i="9" s="1"/>
  <c r="B65" i="9"/>
  <c r="D64" i="9"/>
  <c r="C64" i="9"/>
  <c r="G64" i="9" s="1"/>
  <c r="B64" i="9"/>
  <c r="D63" i="9"/>
  <c r="C63" i="9"/>
  <c r="G63" i="9" s="1"/>
  <c r="B63" i="9"/>
  <c r="D62" i="9"/>
  <c r="C62" i="9"/>
  <c r="G62" i="9" s="1"/>
  <c r="B62" i="9"/>
  <c r="D61" i="9"/>
  <c r="C61" i="9"/>
  <c r="G61" i="9" s="1"/>
  <c r="B61" i="9"/>
  <c r="D60" i="9"/>
  <c r="C60" i="9"/>
  <c r="G60" i="9" s="1"/>
  <c r="B60" i="9"/>
  <c r="D59" i="9"/>
  <c r="C59" i="9"/>
  <c r="G59" i="9" s="1"/>
  <c r="B59" i="9"/>
  <c r="D58" i="9"/>
  <c r="C58" i="9"/>
  <c r="G58" i="9" s="1"/>
  <c r="B58" i="9"/>
  <c r="D57" i="9"/>
  <c r="C57" i="9"/>
  <c r="G57" i="9" s="1"/>
  <c r="B57" i="9"/>
  <c r="D56" i="9"/>
  <c r="C56" i="9"/>
  <c r="G56" i="9" s="1"/>
  <c r="B56" i="9"/>
  <c r="D55" i="9"/>
  <c r="C55" i="9"/>
  <c r="G55" i="9" s="1"/>
  <c r="B55" i="9"/>
  <c r="D54" i="9"/>
  <c r="C54" i="9"/>
  <c r="G54" i="9" s="1"/>
  <c r="B54" i="9"/>
  <c r="D53" i="9"/>
  <c r="C53" i="9"/>
  <c r="G53" i="9" s="1"/>
  <c r="B53" i="9"/>
  <c r="D52" i="9"/>
  <c r="C52" i="9"/>
  <c r="G52" i="9" s="1"/>
  <c r="B52" i="9"/>
  <c r="D51" i="9"/>
  <c r="C51" i="9"/>
  <c r="G51" i="9" s="1"/>
  <c r="B51" i="9"/>
  <c r="D50" i="9"/>
  <c r="C50" i="9"/>
  <c r="G50" i="9" s="1"/>
  <c r="B50" i="9"/>
  <c r="D49" i="9"/>
  <c r="C49" i="9"/>
  <c r="G49" i="9" s="1"/>
  <c r="B49" i="9"/>
  <c r="D48" i="9"/>
  <c r="C48" i="9"/>
  <c r="G48" i="9" s="1"/>
  <c r="B48" i="9"/>
  <c r="D47" i="9"/>
  <c r="C47" i="9"/>
  <c r="G47" i="9" s="1"/>
  <c r="B47" i="9"/>
  <c r="D46" i="9"/>
  <c r="C46" i="9"/>
  <c r="G46" i="9" s="1"/>
  <c r="B46" i="9"/>
  <c r="D45" i="9"/>
  <c r="C45" i="9"/>
  <c r="G45" i="9" s="1"/>
  <c r="B45" i="9"/>
  <c r="D44" i="9"/>
  <c r="C44" i="9"/>
  <c r="G44" i="9" s="1"/>
  <c r="B44" i="9"/>
  <c r="D43" i="9"/>
  <c r="C43" i="9"/>
  <c r="G43" i="9" s="1"/>
  <c r="B43" i="9"/>
  <c r="D42" i="9"/>
  <c r="C42" i="9"/>
  <c r="G42" i="9" s="1"/>
  <c r="B42" i="9"/>
  <c r="D41" i="9"/>
  <c r="C41" i="9"/>
  <c r="G41" i="9" s="1"/>
  <c r="B41" i="9"/>
  <c r="D40" i="9"/>
  <c r="C40" i="9"/>
  <c r="G40" i="9" s="1"/>
  <c r="B40" i="9"/>
  <c r="D39" i="9"/>
  <c r="C39" i="9"/>
  <c r="G39" i="9" s="1"/>
  <c r="B39" i="9"/>
  <c r="D38" i="9"/>
  <c r="C38" i="9"/>
  <c r="G38" i="9" s="1"/>
  <c r="B38" i="9"/>
  <c r="D34" i="9"/>
  <c r="C34" i="9"/>
  <c r="G34" i="9" s="1"/>
  <c r="B34" i="9"/>
  <c r="D33" i="9"/>
  <c r="C33" i="9"/>
  <c r="G33" i="9" s="1"/>
  <c r="B33" i="9"/>
  <c r="D32" i="9"/>
  <c r="C32" i="9"/>
  <c r="G32" i="9" s="1"/>
  <c r="B32" i="9"/>
  <c r="D31" i="9"/>
  <c r="C31" i="9"/>
  <c r="G31" i="9" s="1"/>
  <c r="B31" i="9"/>
  <c r="D30" i="9"/>
  <c r="C30" i="9"/>
  <c r="G30" i="9" s="1"/>
  <c r="B30" i="9"/>
  <c r="D29" i="9"/>
  <c r="C29" i="9"/>
  <c r="G29" i="9" s="1"/>
  <c r="B29" i="9"/>
  <c r="D28" i="9"/>
  <c r="C28" i="9"/>
  <c r="G28" i="9" s="1"/>
  <c r="B28" i="9"/>
  <c r="D27" i="9"/>
  <c r="C27" i="9"/>
  <c r="G27" i="9" s="1"/>
  <c r="B27" i="9"/>
  <c r="D26" i="9"/>
  <c r="C26" i="9"/>
  <c r="G26" i="9" s="1"/>
  <c r="B26" i="9"/>
  <c r="D25" i="9"/>
  <c r="C25" i="9"/>
  <c r="G25" i="9" s="1"/>
  <c r="B25" i="9"/>
  <c r="D24" i="9"/>
  <c r="C24" i="9"/>
  <c r="G24" i="9" s="1"/>
  <c r="B24" i="9"/>
  <c r="D23" i="9"/>
  <c r="C23" i="9"/>
  <c r="G23" i="9" s="1"/>
  <c r="B23" i="9"/>
  <c r="D22" i="9"/>
  <c r="C22" i="9"/>
  <c r="G22" i="9" s="1"/>
  <c r="B22" i="9"/>
  <c r="D21" i="9"/>
  <c r="C21" i="9"/>
  <c r="G21" i="9" s="1"/>
  <c r="B21" i="9"/>
  <c r="D20" i="9"/>
  <c r="C20" i="9"/>
  <c r="G20" i="9" s="1"/>
  <c r="B20" i="9"/>
  <c r="D19" i="9"/>
  <c r="C19" i="9"/>
  <c r="G19" i="9" s="1"/>
  <c r="B19" i="9"/>
  <c r="D18" i="9"/>
  <c r="C18" i="9"/>
  <c r="G18" i="9" s="1"/>
  <c r="B18" i="9"/>
  <c r="D17" i="9"/>
  <c r="C17" i="9"/>
  <c r="G17" i="9" s="1"/>
  <c r="B17" i="9"/>
  <c r="D16" i="9"/>
  <c r="C16" i="9"/>
  <c r="G16" i="9" s="1"/>
  <c r="B16" i="9"/>
  <c r="D15" i="9"/>
  <c r="C15" i="9"/>
  <c r="G15" i="9" s="1"/>
  <c r="B15" i="9"/>
  <c r="D14" i="9"/>
  <c r="C14" i="9"/>
  <c r="G14" i="9" s="1"/>
  <c r="B14" i="9"/>
  <c r="D13" i="9"/>
  <c r="C13" i="9"/>
  <c r="G13" i="9" s="1"/>
  <c r="B13" i="9"/>
  <c r="D12" i="9"/>
  <c r="C12" i="9"/>
  <c r="G12" i="9" s="1"/>
  <c r="B12" i="9"/>
  <c r="D11" i="9"/>
  <c r="C11" i="9"/>
  <c r="G11" i="9" s="1"/>
  <c r="B11" i="9"/>
  <c r="D10" i="9"/>
  <c r="C10" i="9"/>
  <c r="B10" i="9"/>
  <c r="G72" i="9" l="1"/>
  <c r="G80" i="9" s="1"/>
  <c r="G10" i="9"/>
  <c r="E72" i="9" s="1"/>
  <c r="T14" i="5"/>
  <c r="T15" i="5"/>
  <c r="T13" i="5" s="1"/>
  <c r="U17" i="5"/>
  <c r="U16" i="5" s="1"/>
  <c r="D213" i="5" s="1"/>
  <c r="U14" i="5"/>
  <c r="T18" i="5"/>
  <c r="U15" i="5"/>
  <c r="T16" i="5" l="1"/>
  <c r="C213" i="5" s="1"/>
  <c r="J12" i="7" s="1"/>
  <c r="C212" i="5"/>
  <c r="U13" i="5"/>
  <c r="D212" i="5" s="1"/>
  <c r="I72" i="9" l="1"/>
  <c r="J86" i="9"/>
  <c r="H80" i="9"/>
  <c r="J42" i="7"/>
  <c r="J50" i="7"/>
  <c r="J58" i="7"/>
  <c r="J66" i="7"/>
  <c r="J73" i="7"/>
  <c r="J81" i="7"/>
  <c r="J89" i="7"/>
  <c r="J97" i="7"/>
  <c r="J104" i="7"/>
  <c r="J112" i="7"/>
  <c r="J120" i="7"/>
  <c r="J128" i="7"/>
  <c r="J43" i="7"/>
  <c r="J51" i="7"/>
  <c r="J59" i="7"/>
  <c r="J67" i="7"/>
  <c r="J74" i="7"/>
  <c r="J82" i="7"/>
  <c r="J90" i="7"/>
  <c r="J105" i="7"/>
  <c r="J113" i="7"/>
  <c r="J121" i="7"/>
  <c r="J129" i="7"/>
  <c r="J145" i="7"/>
  <c r="J44" i="7"/>
  <c r="J60" i="7"/>
  <c r="J68" i="7"/>
  <c r="J75" i="7"/>
  <c r="J83" i="7"/>
  <c r="J91" i="7"/>
  <c r="J98" i="7"/>
  <c r="J106" i="7"/>
  <c r="J114" i="7"/>
  <c r="J122" i="7"/>
  <c r="J130" i="7"/>
  <c r="J138" i="7"/>
  <c r="J146" i="7"/>
  <c r="J45" i="7"/>
  <c r="J61" i="7"/>
  <c r="J84" i="7"/>
  <c r="J99" i="7"/>
  <c r="J107" i="7"/>
  <c r="J115" i="7"/>
  <c r="J123" i="7"/>
  <c r="J131" i="7"/>
  <c r="J139" i="7"/>
  <c r="J147" i="7"/>
  <c r="J140" i="7"/>
  <c r="J141" i="7"/>
  <c r="J46" i="7"/>
  <c r="J62" i="7"/>
  <c r="J77" i="7"/>
  <c r="J85" i="7"/>
  <c r="J93" i="7"/>
  <c r="J100" i="7"/>
  <c r="J108" i="7"/>
  <c r="J116" i="7"/>
  <c r="J124" i="7"/>
  <c r="J132" i="7"/>
  <c r="J148" i="7"/>
  <c r="J47" i="7"/>
  <c r="J63" i="7"/>
  <c r="J78" i="7"/>
  <c r="J86" i="7"/>
  <c r="J94" i="7"/>
  <c r="J101" i="7"/>
  <c r="J109" i="7"/>
  <c r="J117" i="7"/>
  <c r="J125" i="7"/>
  <c r="J133" i="7"/>
  <c r="J149" i="7"/>
  <c r="J48" i="7"/>
  <c r="J56" i="7"/>
  <c r="J64" i="7"/>
  <c r="J71" i="7"/>
  <c r="J79" i="7"/>
  <c r="J87" i="7"/>
  <c r="J95" i="7"/>
  <c r="J102" i="7"/>
  <c r="J110" i="7"/>
  <c r="J118" i="7"/>
  <c r="J126" i="7"/>
  <c r="J134" i="7"/>
  <c r="J142" i="7"/>
  <c r="J41" i="7"/>
  <c r="J49" i="7"/>
  <c r="J57" i="7"/>
  <c r="J65" i="7"/>
  <c r="J72" i="7"/>
  <c r="J80" i="7"/>
  <c r="J88" i="7"/>
  <c r="J96" i="7"/>
  <c r="J103" i="7"/>
  <c r="J111" i="7"/>
  <c r="J119" i="7"/>
  <c r="J127" i="7"/>
  <c r="J135" i="7"/>
  <c r="J136" i="7"/>
  <c r="J137" i="7"/>
  <c r="G17" i="7"/>
  <c r="G21" i="7"/>
  <c r="G24" i="7"/>
  <c r="G47" i="7"/>
  <c r="G150" i="7"/>
  <c r="G50" i="7"/>
  <c r="G48" i="7"/>
  <c r="F46" i="7"/>
  <c r="G25" i="7" l="1"/>
  <c r="G18" i="7"/>
  <c r="G49" i="7"/>
  <c r="G57" i="7"/>
  <c r="G54" i="7"/>
  <c r="G155" i="7"/>
  <c r="G22" i="7"/>
  <c r="G53" i="7"/>
  <c r="G58" i="7"/>
  <c r="G45" i="7"/>
  <c r="G51" i="7"/>
  <c r="G20" i="7"/>
  <c r="G12" i="7"/>
  <c r="G55" i="7"/>
  <c r="G52" i="7"/>
  <c r="G56" i="7"/>
  <c r="F49" i="7"/>
  <c r="F53" i="7"/>
  <c r="F57" i="7"/>
  <c r="F48" i="7"/>
  <c r="F50" i="7"/>
  <c r="F54" i="7"/>
  <c r="F58" i="7"/>
  <c r="F51" i="7"/>
  <c r="F55" i="7"/>
  <c r="F52" i="7"/>
  <c r="F56" i="7"/>
  <c r="G19" i="7"/>
  <c r="G23" i="7"/>
  <c r="G46" i="7"/>
  <c r="F21" i="7"/>
  <c r="F14" i="7"/>
  <c r="F18" i="7"/>
  <c r="F22" i="7"/>
  <c r="F25" i="7"/>
  <c r="F12" i="7"/>
  <c r="F24" i="7"/>
  <c r="F47" i="7"/>
  <c r="F15" i="7"/>
  <c r="F19" i="7"/>
  <c r="F45" i="7"/>
  <c r="F17" i="7"/>
  <c r="F16" i="7"/>
  <c r="F20" i="7"/>
  <c r="F23" i="7"/>
  <c r="F20" i="2" l="1"/>
  <c r="F29" i="2" s="1"/>
  <c r="E24" i="2"/>
  <c r="E30" i="2" s="1"/>
  <c r="E20" i="2"/>
  <c r="E29" i="2" s="1"/>
  <c r="E16" i="2"/>
  <c r="E28" i="2" s="1"/>
  <c r="E12" i="2"/>
  <c r="E27" i="2" s="1"/>
  <c r="E8" i="2"/>
  <c r="E26" i="2" s="1"/>
  <c r="M4" i="7" l="1"/>
  <c r="C40" i="7" s="1"/>
  <c r="M40" i="7" s="1"/>
  <c r="D155" i="7"/>
  <c r="D15" i="7"/>
  <c r="D150" i="7"/>
  <c r="D56" i="7"/>
  <c r="D16" i="7"/>
  <c r="D19" i="7"/>
  <c r="D14" i="7"/>
  <c r="D51" i="7"/>
  <c r="D49" i="7"/>
  <c r="D24" i="7"/>
  <c r="D50" i="7"/>
  <c r="D18" i="7"/>
  <c r="D12" i="7"/>
  <c r="D55" i="7"/>
  <c r="D23" i="7"/>
  <c r="D20" i="7"/>
  <c r="D45" i="7"/>
  <c r="D22" i="7"/>
  <c r="D17" i="7"/>
  <c r="D54" i="7"/>
  <c r="D25" i="7"/>
  <c r="D21" i="7"/>
  <c r="D48" i="7"/>
  <c r="D53" i="7"/>
  <c r="D47" i="7"/>
  <c r="D46" i="7"/>
  <c r="D58" i="7"/>
  <c r="D57" i="7"/>
  <c r="D52" i="7"/>
  <c r="C52" i="7" l="1"/>
  <c r="C59" i="7"/>
  <c r="M59" i="7" s="1"/>
  <c r="C100" i="7"/>
  <c r="M100" i="7" s="1"/>
  <c r="C143" i="7"/>
  <c r="M143" i="7" s="1"/>
  <c r="C138" i="7"/>
  <c r="M138" i="7" s="1"/>
  <c r="C110" i="7"/>
  <c r="M110" i="7" s="1"/>
  <c r="C150" i="7"/>
  <c r="C64" i="7"/>
  <c r="M64" i="7" s="1"/>
  <c r="C18" i="7"/>
  <c r="C118" i="7"/>
  <c r="M118" i="7" s="1"/>
  <c r="C105" i="7"/>
  <c r="M105" i="7" s="1"/>
  <c r="C103" i="7"/>
  <c r="M103" i="7" s="1"/>
  <c r="C16" i="7"/>
  <c r="M16" i="7" s="1"/>
  <c r="C122" i="7"/>
  <c r="M122" i="7" s="1"/>
  <c r="C20" i="7"/>
  <c r="C114" i="7"/>
  <c r="M114" i="7" s="1"/>
  <c r="C32" i="7"/>
  <c r="M32" i="7" s="1"/>
  <c r="C130" i="7"/>
  <c r="M130" i="7" s="1"/>
  <c r="C28" i="7"/>
  <c r="M28" i="7" s="1"/>
  <c r="C68" i="7"/>
  <c r="M68" i="7" s="1"/>
  <c r="C26" i="7"/>
  <c r="M26" i="7" s="1"/>
  <c r="C98" i="7"/>
  <c r="M98" i="7" s="1"/>
  <c r="C113" i="7"/>
  <c r="M113" i="7" s="1"/>
  <c r="C141" i="7"/>
  <c r="M141" i="7" s="1"/>
  <c r="C56" i="7"/>
  <c r="M56" i="7" s="1"/>
  <c r="C35" i="7"/>
  <c r="M35" i="7" s="1"/>
  <c r="C21" i="7"/>
  <c r="C74" i="7"/>
  <c r="M74" i="7" s="1"/>
  <c r="C84" i="7"/>
  <c r="M84" i="7" s="1"/>
  <c r="C102" i="7"/>
  <c r="M102" i="7" s="1"/>
  <c r="C125" i="7"/>
  <c r="M125" i="7" s="1"/>
  <c r="C128" i="7"/>
  <c r="M128" i="7" s="1"/>
  <c r="C117" i="7"/>
  <c r="M117" i="7" s="1"/>
  <c r="C155" i="7"/>
  <c r="M155" i="7" s="1"/>
  <c r="C73" i="7"/>
  <c r="M73" i="7" s="1"/>
  <c r="C27" i="7"/>
  <c r="M27" i="7" s="1"/>
  <c r="C144" i="7"/>
  <c r="M144" i="7" s="1"/>
  <c r="C79" i="7"/>
  <c r="M79" i="7" s="1"/>
  <c r="C22" i="7"/>
  <c r="C54" i="7"/>
  <c r="M54" i="7" s="1"/>
  <c r="C80" i="7"/>
  <c r="M80" i="7" s="1"/>
  <c r="C51" i="7"/>
  <c r="C82" i="7"/>
  <c r="M82" i="7" s="1"/>
  <c r="C38" i="7"/>
  <c r="M38" i="7" s="1"/>
  <c r="C94" i="7"/>
  <c r="M94" i="7" s="1"/>
  <c r="C86" i="7"/>
  <c r="M86" i="7" s="1"/>
  <c r="C24" i="7"/>
  <c r="M24" i="7" s="1"/>
  <c r="C17" i="7"/>
  <c r="M17" i="7" s="1"/>
  <c r="C69" i="7"/>
  <c r="M69" i="7" s="1"/>
  <c r="C111" i="7"/>
  <c r="M111" i="7" s="1"/>
  <c r="C106" i="7"/>
  <c r="M106" i="7" s="1"/>
  <c r="C142" i="7"/>
  <c r="M142" i="7" s="1"/>
  <c r="C139" i="7"/>
  <c r="M139" i="7" s="1"/>
  <c r="C152" i="7"/>
  <c r="M152" i="7" s="1"/>
  <c r="C46" i="7"/>
  <c r="C87" i="7"/>
  <c r="M87" i="7" s="1"/>
  <c r="C96" i="7"/>
  <c r="M96" i="7" s="1"/>
  <c r="C147" i="7"/>
  <c r="M147" i="7" s="1"/>
  <c r="C49" i="7"/>
  <c r="M49" i="7" s="1"/>
  <c r="C67" i="7"/>
  <c r="M67" i="7" s="1"/>
  <c r="C34" i="7"/>
  <c r="M34" i="7" s="1"/>
  <c r="C116" i="7"/>
  <c r="M116" i="7" s="1"/>
  <c r="C23" i="7"/>
  <c r="C121" i="7"/>
  <c r="M121" i="7" s="1"/>
  <c r="C39" i="7"/>
  <c r="M39" i="7" s="1"/>
  <c r="C63" i="7"/>
  <c r="M63" i="7" s="1"/>
  <c r="C91" i="7"/>
  <c r="M91" i="7" s="1"/>
  <c r="C101" i="7"/>
  <c r="M101" i="7" s="1"/>
  <c r="C132" i="7"/>
  <c r="M132" i="7" s="1"/>
  <c r="C134" i="7"/>
  <c r="M134" i="7" s="1"/>
  <c r="C25" i="7"/>
  <c r="M25" i="7" s="1"/>
  <c r="C151" i="7"/>
  <c r="M151" i="7" s="1"/>
  <c r="C127" i="7"/>
  <c r="M127" i="7" s="1"/>
  <c r="C89" i="7"/>
  <c r="M89" i="7" s="1"/>
  <c r="C57" i="7"/>
  <c r="C72" i="7"/>
  <c r="M72" i="7" s="1"/>
  <c r="C85" i="7"/>
  <c r="M85" i="7" s="1"/>
  <c r="C47" i="7"/>
  <c r="C88" i="7"/>
  <c r="M88" i="7" s="1"/>
  <c r="C12" i="7"/>
  <c r="M12" i="7" s="1"/>
  <c r="C104" i="7"/>
  <c r="M104" i="7" s="1"/>
  <c r="C58" i="7"/>
  <c r="M58" i="7" s="1"/>
  <c r="C61" i="7"/>
  <c r="M61" i="7" s="1"/>
  <c r="C55" i="7"/>
  <c r="M55" i="7" s="1"/>
  <c r="C70" i="7"/>
  <c r="M70" i="7" s="1"/>
  <c r="C83" i="7"/>
  <c r="M83" i="7" s="1"/>
  <c r="C107" i="7"/>
  <c r="M107" i="7" s="1"/>
  <c r="C45" i="7"/>
  <c r="C37" i="7"/>
  <c r="M37" i="7" s="1"/>
  <c r="C13" i="7"/>
  <c r="M13" i="7" s="1"/>
  <c r="C50" i="7"/>
  <c r="M50" i="7" s="1"/>
  <c r="C44" i="7"/>
  <c r="M44" i="7" s="1"/>
  <c r="C33" i="7"/>
  <c r="M33" i="7" s="1"/>
  <c r="C48" i="7"/>
  <c r="M48" i="7" s="1"/>
  <c r="C42" i="7"/>
  <c r="M42" i="7" s="1"/>
  <c r="C29" i="7"/>
  <c r="M29" i="7" s="1"/>
  <c r="C66" i="7"/>
  <c r="M66" i="7" s="1"/>
  <c r="C81" i="7"/>
  <c r="M81" i="7" s="1"/>
  <c r="C77" i="7"/>
  <c r="M77" i="7" s="1"/>
  <c r="C97" i="7"/>
  <c r="M97" i="7" s="1"/>
  <c r="C131" i="7"/>
  <c r="M131" i="7" s="1"/>
  <c r="C129" i="7"/>
  <c r="M129" i="7" s="1"/>
  <c r="C119" i="7"/>
  <c r="M119" i="7" s="1"/>
  <c r="C115" i="7"/>
  <c r="M115" i="7" s="1"/>
  <c r="C149" i="7"/>
  <c r="M149" i="7" s="1"/>
  <c r="C30" i="7"/>
  <c r="M30" i="7" s="1"/>
  <c r="C14" i="7"/>
  <c r="M14" i="7" s="1"/>
  <c r="C65" i="7"/>
  <c r="M65" i="7" s="1"/>
  <c r="C75" i="7"/>
  <c r="M75" i="7" s="1"/>
  <c r="C99" i="7"/>
  <c r="M99" i="7" s="1"/>
  <c r="C92" i="7"/>
  <c r="M92" i="7" s="1"/>
  <c r="C93" i="7"/>
  <c r="M93" i="7" s="1"/>
  <c r="C146" i="7"/>
  <c r="M146" i="7" s="1"/>
  <c r="C133" i="7"/>
  <c r="M133" i="7" s="1"/>
  <c r="C140" i="7"/>
  <c r="M140" i="7" s="1"/>
  <c r="C124" i="7"/>
  <c r="M124" i="7" s="1"/>
  <c r="C120" i="7"/>
  <c r="M120" i="7" s="1"/>
  <c r="C43" i="7"/>
  <c r="M43" i="7" s="1"/>
  <c r="C19" i="7"/>
  <c r="M19" i="7" s="1"/>
  <c r="C31" i="7"/>
  <c r="M31" i="7" s="1"/>
  <c r="C71" i="7"/>
  <c r="M71" i="7" s="1"/>
  <c r="C62" i="7"/>
  <c r="M62" i="7" s="1"/>
  <c r="C95" i="7"/>
  <c r="M95" i="7" s="1"/>
  <c r="C78" i="7"/>
  <c r="M78" i="7" s="1"/>
  <c r="C109" i="7"/>
  <c r="M109" i="7" s="1"/>
  <c r="C137" i="7"/>
  <c r="M137" i="7" s="1"/>
  <c r="C145" i="7"/>
  <c r="M145" i="7" s="1"/>
  <c r="C53" i="7"/>
  <c r="M53" i="7" s="1"/>
  <c r="C41" i="7"/>
  <c r="M41" i="7" s="1"/>
  <c r="C15" i="7"/>
  <c r="M15" i="7" s="1"/>
  <c r="C36" i="7"/>
  <c r="M36" i="7" s="1"/>
  <c r="C60" i="7"/>
  <c r="M60" i="7" s="1"/>
  <c r="C76" i="7"/>
  <c r="M76" i="7" s="1"/>
  <c r="C90" i="7"/>
  <c r="M90" i="7" s="1"/>
  <c r="C112" i="7"/>
  <c r="M112" i="7" s="1"/>
  <c r="C108" i="7"/>
  <c r="M108" i="7" s="1"/>
  <c r="C136" i="7"/>
  <c r="M136" i="7" s="1"/>
  <c r="C148" i="7"/>
  <c r="M148" i="7" s="1"/>
  <c r="C153" i="7"/>
  <c r="C135" i="7"/>
  <c r="M135" i="7" s="1"/>
  <c r="C126" i="7"/>
  <c r="M126" i="7" s="1"/>
  <c r="C123" i="7"/>
  <c r="M123" i="7" s="1"/>
  <c r="C154" i="7"/>
  <c r="M154" i="7" s="1"/>
  <c r="M153" i="7"/>
  <c r="M22" i="7"/>
  <c r="M21" i="7"/>
  <c r="M57" i="7"/>
  <c r="M51" i="7"/>
  <c r="M20" i="7"/>
  <c r="M47" i="7"/>
  <c r="M23" i="7"/>
  <c r="M45" i="7"/>
  <c r="M150" i="7"/>
  <c r="M46" i="7"/>
  <c r="M18" i="7"/>
  <c r="M52" i="7"/>
  <c r="M156" i="7" l="1"/>
  <c r="M158" i="7" s="1"/>
  <c r="M160" i="7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<sst xmlns="http://schemas.openxmlformats.org/spreadsheetml/2006/main" count="1601" uniqueCount="558">
  <si>
    <t>Média</t>
  </si>
  <si>
    <t>Municipio</t>
  </si>
  <si>
    <t>Contenda</t>
  </si>
  <si>
    <t>Localização</t>
  </si>
  <si>
    <t xml:space="preserve">C. G. </t>
  </si>
  <si>
    <t>Extremo 1</t>
  </si>
  <si>
    <t>Extremo 2</t>
  </si>
  <si>
    <t>Guaraqueçaba</t>
  </si>
  <si>
    <t>Palmas</t>
  </si>
  <si>
    <t>Prudentópolis</t>
  </si>
  <si>
    <t>Quedas do Iguaçu</t>
  </si>
  <si>
    <t>Santana do Itararé</t>
  </si>
  <si>
    <t>Porecatu</t>
  </si>
  <si>
    <t>Altamira do Paraná</t>
  </si>
  <si>
    <t xml:space="preserve">Porto São José </t>
  </si>
  <si>
    <t>Terra Roxa</t>
  </si>
  <si>
    <t>Imbau</t>
  </si>
  <si>
    <t>Superintendência</t>
  </si>
  <si>
    <t>LESTE</t>
  </si>
  <si>
    <t>CAMPOS GERAIS</t>
  </si>
  <si>
    <t>NORTE</t>
  </si>
  <si>
    <t>NOROESTE</t>
  </si>
  <si>
    <t>OESTE</t>
  </si>
  <si>
    <t>Cianorte</t>
  </si>
  <si>
    <t>Capitão Leônidas Marques</t>
  </si>
  <si>
    <t>Curitiba</t>
  </si>
  <si>
    <t>São Sebastião da Amoreira</t>
  </si>
  <si>
    <t>DMT</t>
  </si>
  <si>
    <t>RP</t>
  </si>
  <si>
    <t>P</t>
  </si>
  <si>
    <t>Código</t>
  </si>
  <si>
    <t>Descrição do Equipamento</t>
  </si>
  <si>
    <t>Transportador</t>
  </si>
  <si>
    <t>FU</t>
  </si>
  <si>
    <t>K</t>
  </si>
  <si>
    <t>Carreg. frontal pneus 924-K leve</t>
  </si>
  <si>
    <t>Cavalo mecânico com semirreboque com capacidade de 22 t - 240 kW</t>
  </si>
  <si>
    <t>Carreg. frontal pneus 924-K média</t>
  </si>
  <si>
    <t>Carreg. frontal pneus 924-K severa</t>
  </si>
  <si>
    <t>Carreg. frontal pneus 950-H leve</t>
  </si>
  <si>
    <t>Carreg. frontal pneus 950-H média</t>
  </si>
  <si>
    <t>Carreg. frontal pneus 950-H severa</t>
  </si>
  <si>
    <t>Carreg. frontal pneus L 60-F média</t>
  </si>
  <si>
    <t>Carreta de perfuração</t>
  </si>
  <si>
    <t>Central dosadora de concreto capac. 30 m3/h</t>
  </si>
  <si>
    <t>Conj. britagem completo 80 m3/h</t>
  </si>
  <si>
    <t>Escav. hidráulica 320D L leve</t>
  </si>
  <si>
    <t>Escav. hidráulica 320D L média</t>
  </si>
  <si>
    <t>Escav. hidráulica 320D L severa</t>
  </si>
  <si>
    <t>Escav. hidráulica 336D L leve</t>
  </si>
  <si>
    <t>Escav. hidráulica 336D L média</t>
  </si>
  <si>
    <t>Escav. hidráulica 336D L severa</t>
  </si>
  <si>
    <t>Escav. hidráulica E-215 C leve</t>
  </si>
  <si>
    <t>Escav. hidráulica E-215 C média</t>
  </si>
  <si>
    <t>Escav. hidráulica E-215 C severa</t>
  </si>
  <si>
    <t>Escav. hidráulica EC-140 leve</t>
  </si>
  <si>
    <t>Escav. hidráulica EC-140 média</t>
  </si>
  <si>
    <t>Escav. hidráulica EC-140 severa</t>
  </si>
  <si>
    <t>Extrusora para defensa de concreto</t>
  </si>
  <si>
    <t>Extrusora para defensa de concreto armada</t>
  </si>
  <si>
    <t>Extrusora para meio fio de concreto</t>
  </si>
  <si>
    <t>Fresadora asfalto a frio PM-102</t>
  </si>
  <si>
    <t>Fresadora asfalto a frio W-1000</t>
  </si>
  <si>
    <t>Fresadora asfalto a frio W-200 F</t>
  </si>
  <si>
    <t>Minicarregadeira de pneus S-450 c/vassoura</t>
  </si>
  <si>
    <t>Minicarregadeira de pneus S-650 c/fresadora asf. a frio L&lt;=1,00m c/vassoura</t>
  </si>
  <si>
    <t>Minicarregadeira de pneus S-650 c/valetadeira mecânica WS-24</t>
  </si>
  <si>
    <t>Motoniveladora 120-K leve</t>
  </si>
  <si>
    <t>Motoniveladora 120-K média</t>
  </si>
  <si>
    <t>Motoniveladora 120-K severa</t>
  </si>
  <si>
    <t>Motoniveladora 140-K leve</t>
  </si>
  <si>
    <t>Motoniveladora 140-k média</t>
  </si>
  <si>
    <t>Motoniveladora 140-k severa</t>
  </si>
  <si>
    <t>Motoniveladora c/ escarificador 140-K leve</t>
  </si>
  <si>
    <t>Motoniveladora c/ escarificador 140-K média</t>
  </si>
  <si>
    <t>Motoniveladora c/ escarificador 140-K severa</t>
  </si>
  <si>
    <t>Pavimentadora/extrusora de concreto 4400</t>
  </si>
  <si>
    <t>Recicl. a frio WR-240 p/asp.água/emulsão</t>
  </si>
  <si>
    <t>Recicl. a frio WR-240 p/espuma de asfalto</t>
  </si>
  <si>
    <t>Recicladora a frio MPH-364</t>
  </si>
  <si>
    <t>Recicladora a frio RM-300</t>
  </si>
  <si>
    <t>Recicladora a frio RM-500</t>
  </si>
  <si>
    <t>Régua vibratória treliçada L&lt;=6,00m</t>
  </si>
  <si>
    <t>Retroescavadeira 580N leve</t>
  </si>
  <si>
    <t>Retroescavadeira 580N média</t>
  </si>
  <si>
    <t>Retroescavadeira 580N severa</t>
  </si>
  <si>
    <t>Rolo liso autopropelido VAP-55 P</t>
  </si>
  <si>
    <t>Rolo pé de carneiro autopropelido VAP-70 PT</t>
  </si>
  <si>
    <t>Rolo pneus autopropelido 21 t</t>
  </si>
  <si>
    <t>Rolo pneus autopropelido 22 t</t>
  </si>
  <si>
    <t>Rolo pneus autopropelido 27 t</t>
  </si>
  <si>
    <t>Rolo tandem CC-900</t>
  </si>
  <si>
    <t>Rolo tandem liso 6-8 t</t>
  </si>
  <si>
    <t>Rolo tandem liso autopropelido CC-4200</t>
  </si>
  <si>
    <t>Rolo tandem liso autopropelido HD 14VV</t>
  </si>
  <si>
    <t>Rolo vibratório corrug. autopr. CP-54 B</t>
  </si>
  <si>
    <t>Rolo vibratório liso autoprop. 3411</t>
  </si>
  <si>
    <t>Rolo vibratório liso autoprop. CA 150A</t>
  </si>
  <si>
    <t>Rolo vibratório liso autoprop. CS-44 B</t>
  </si>
  <si>
    <t>Rolo vibratório liso autoprop. CS-54 B</t>
  </si>
  <si>
    <t>Tanque depósito asfalto borracha 20 t</t>
  </si>
  <si>
    <t>Tanque depósito asfalto frio 10000 l</t>
  </si>
  <si>
    <t>Tanque depósito asfalto frio 20000 l</t>
  </si>
  <si>
    <t>Tanque depósito asfalto isotérmico 25 t</t>
  </si>
  <si>
    <t>Trator agrícola  5105 4x4</t>
  </si>
  <si>
    <t>Trator agrícola BH-174 4x4</t>
  </si>
  <si>
    <t>Trator agrícola c/ roçadeira 150/540</t>
  </si>
  <si>
    <t>Trator c/ escarificador D61-EX leve</t>
  </si>
  <si>
    <t>Trator c/ escarificador D61-EX média</t>
  </si>
  <si>
    <t>Trator c/ escarificador D61-EX severa</t>
  </si>
  <si>
    <t>Trator c/ escarificador D8-T leve</t>
  </si>
  <si>
    <t>Trator c/ escarificador D8-T média</t>
  </si>
  <si>
    <t>Trator c/ escarificador D8-T severa</t>
  </si>
  <si>
    <t>Trator lâmina 7D média</t>
  </si>
  <si>
    <t>Trator lâmina D-150B média</t>
  </si>
  <si>
    <t>Trator lâmina D61-EX leve</t>
  </si>
  <si>
    <t>Trator lâmina D61-EX média</t>
  </si>
  <si>
    <t>Trator lâmina D61-EX severa</t>
  </si>
  <si>
    <t>Trator lâmina D6-K2 leve</t>
  </si>
  <si>
    <t>Trator lâmina D6-K2 média</t>
  </si>
  <si>
    <t>Trator lâmina D6-K2 severa</t>
  </si>
  <si>
    <t>Trator lâmina D6-N leve</t>
  </si>
  <si>
    <t>Trator lâmina D6-N média</t>
  </si>
  <si>
    <t>Trator lâmina D6-N severa</t>
  </si>
  <si>
    <t>Trator lâmina D8-T leve</t>
  </si>
  <si>
    <t>Trator lâmina D8-T média</t>
  </si>
  <si>
    <t>Trator lâmina D8-T severa</t>
  </si>
  <si>
    <t>Usina misturadora PMF 40/60 t/hora</t>
  </si>
  <si>
    <t>Usina p/ microrevestimento asfáltico a frio</t>
  </si>
  <si>
    <t>Usina solos brita graduada 200/500 t/hora</t>
  </si>
  <si>
    <t>Usina solos c/ dosador cimento 200/500 t/hora</t>
  </si>
  <si>
    <t>Vibro acabadora esteiras</t>
  </si>
  <si>
    <t>Equipamento p/fusão e aplicação manual de termoplástico</t>
  </si>
  <si>
    <t>Microtrator c/ pulverizador 450 l</t>
  </si>
  <si>
    <t>Tanque água sem bomba 6000 l</t>
  </si>
  <si>
    <t>Bate estacas leve</t>
  </si>
  <si>
    <t>Cavalo mecânico com semirreboque com capacidade de 30 t - 265 kW</t>
  </si>
  <si>
    <t>Bate estacas hidráulico 300 kg</t>
  </si>
  <si>
    <t>Microônibus transporte urbano capacidade 16 pessoas</t>
  </si>
  <si>
    <t>Microônibus transporte urbano capacidade 30 pessoas</t>
  </si>
  <si>
    <t>Veiculo transporte coletivo 40 passageiros</t>
  </si>
  <si>
    <t>Veículo utilitário pot. mín. 60 HP(c/motor.)</t>
  </si>
  <si>
    <t>Veículo utilitário pot. min. 60 HP(s/motor.)</t>
  </si>
  <si>
    <t>Cam. bascul. 1419 6m3 leve</t>
  </si>
  <si>
    <t>Cam. bascul. 2426/48  6m3 leve</t>
  </si>
  <si>
    <t>Cam. bascul. 2426/48  6m3 média</t>
  </si>
  <si>
    <t>Cam. bascul. 2426/48  6m3 severa</t>
  </si>
  <si>
    <t>Caminhão transp. material asfáltico</t>
  </si>
  <si>
    <t>Espargidor de asfalto 6000 l</t>
  </si>
  <si>
    <t>Automóvel sedan pot. mín.60 HP(c/motor.)</t>
  </si>
  <si>
    <t>Automóvel sedan pot. min.60 HP(s/motor.)</t>
  </si>
  <si>
    <t>Caldeira de asfalto reboc.2000 l a gasolina</t>
  </si>
  <si>
    <t>Cam. bascul. 2426/48  8m3 média</t>
  </si>
  <si>
    <t>Cam. bascul. 2426/48  9m3 média</t>
  </si>
  <si>
    <t>Cam. bascul. 2426/48 10m3 média</t>
  </si>
  <si>
    <t>Distr. agregados rebocável 1,3 m3</t>
  </si>
  <si>
    <t>Distr. agregados rebocável 9 m³</t>
  </si>
  <si>
    <t>Caminhão carroceria 1419 14 t</t>
  </si>
  <si>
    <t>Caminhão betoneira 8 m³</t>
  </si>
  <si>
    <t>Cam. caçamba minério 10m3 severa</t>
  </si>
  <si>
    <t>Caminhão pipa 6000 l</t>
  </si>
  <si>
    <t>Equipamento demarcação faixa a frio</t>
  </si>
  <si>
    <t>Máquina pintura de faixas</t>
  </si>
  <si>
    <t>Cam. bascul. 2730/36  5m3 média</t>
  </si>
  <si>
    <t>Cam. bascul. 1635/45 12m3 leve</t>
  </si>
  <si>
    <t>Cam. bascul. 1635/45 12m3 média</t>
  </si>
  <si>
    <t>Cam. bascul. 1635/45 12m3 severa</t>
  </si>
  <si>
    <t>Equipamento para lama asfáltica LA-6</t>
  </si>
  <si>
    <t>Usina asfalto móvel contra-fluxo 50/100 t/hora</t>
  </si>
  <si>
    <t>Usina asfalto móvel contra-fluxo 60/120 t/hora asf. borracha/polímero</t>
  </si>
  <si>
    <t>Caminhão c/ guindauto</t>
  </si>
  <si>
    <t>Caminhão carroceria 815/37 6 t</t>
  </si>
  <si>
    <t>Equipamento aplicação termoplástico Spray/ Extrusão</t>
  </si>
  <si>
    <t>Forma metálica p/ abrigo</t>
  </si>
  <si>
    <t>Caminhão com guindaste com cesto</t>
  </si>
  <si>
    <t>Equipamento p/ hidrossemeadura</t>
  </si>
  <si>
    <t>Espargidor p/asfalto borracha 20 t EHR-700H</t>
  </si>
  <si>
    <t>Cam. chassi 1419</t>
  </si>
  <si>
    <t>Cam. chassi 17.230</t>
  </si>
  <si>
    <t>Cam. chassi 1726 p/ carroceria</t>
  </si>
  <si>
    <t>Cam. chassi 1726 p/ lama asfáltica</t>
  </si>
  <si>
    <t>Cam. chassi VM-330 p/ microrevestimento</t>
  </si>
  <si>
    <t>Caminhão carroceria cabine dupla</t>
  </si>
  <si>
    <t>Caminhão comboio abastecedor</t>
  </si>
  <si>
    <t>Caminhão irrigador 6000 l</t>
  </si>
  <si>
    <t>Caminhonete cabine dupla 4x4 pot. mín.120 HP( c/motor.)</t>
  </si>
  <si>
    <t>Caminhonete cabine dupla 4x4 pot. mín.120 HP( s/motor.)</t>
  </si>
  <si>
    <t>Prancha p/ carreta (25 t)</t>
  </si>
  <si>
    <t>Equipamento</t>
  </si>
  <si>
    <t>Transporte Rodoviário</t>
  </si>
  <si>
    <t>CHP</t>
  </si>
  <si>
    <t>CHI</t>
  </si>
  <si>
    <t>Arado reversível 3 discos 28"</t>
  </si>
  <si>
    <t>Betoneira 600 l elétrica</t>
  </si>
  <si>
    <t>Betoneira 600 l gasolina</t>
  </si>
  <si>
    <t>Bomba esgotamento 3"</t>
  </si>
  <si>
    <t>Carrinho de concretagem 80 l</t>
  </si>
  <si>
    <t>Compactador manual solos gasolina</t>
  </si>
  <si>
    <t>Compressor de ar 175 pcm</t>
  </si>
  <si>
    <t>Compressor de ar 293 pcm</t>
  </si>
  <si>
    <t>Compressor de ar 748 pcm</t>
  </si>
  <si>
    <t>Enxada rotativa rebocável</t>
  </si>
  <si>
    <t>Furadeira elétrica de impacto</t>
  </si>
  <si>
    <t>Grade de discos</t>
  </si>
  <si>
    <t>Grupo gerador  40 KVA</t>
  </si>
  <si>
    <t>Grupo gerador  55 KVA</t>
  </si>
  <si>
    <t>Grupo gerador 150 KVA</t>
  </si>
  <si>
    <t>Grupo gerador 450 KVA</t>
  </si>
  <si>
    <t>Hidrocompressor 3700 lb/3,675 Kw</t>
  </si>
  <si>
    <t>Martelete elétrico TE-70</t>
  </si>
  <si>
    <t>Mesa vibrat. completa elétrica</t>
  </si>
  <si>
    <t>Motopoda a gasolina</t>
  </si>
  <si>
    <t>Perfuratriz manual elétrica</t>
  </si>
  <si>
    <t>Perfuratriz manual 18 kg</t>
  </si>
  <si>
    <t>Perfuratriz manual 24 kg</t>
  </si>
  <si>
    <t>Roçadeira costal</t>
  </si>
  <si>
    <t>Serra circular elétrica</t>
  </si>
  <si>
    <t>Serra circular gasolina</t>
  </si>
  <si>
    <t>Serra elétrica corte concreto 4100</t>
  </si>
  <si>
    <t>Soprador a gasolina</t>
  </si>
  <si>
    <t>Talha guincho manual 3 t</t>
  </si>
  <si>
    <t>Vassoura mecânica rebocável</t>
  </si>
  <si>
    <t>Vibrador imersão elétrico 45mm</t>
  </si>
  <si>
    <t>Vibrador imersão gasolina 45mm</t>
  </si>
  <si>
    <t>Leste</t>
  </si>
  <si>
    <t>Velocidade Média de Transporte (km/h) - Pavimentado</t>
  </si>
  <si>
    <t>Prazo de execução - mês/meses</t>
  </si>
  <si>
    <t>Horas globais/ mês trabalháveis</t>
  </si>
  <si>
    <t>MOBILIZAÇÃO DE EQUIPAMENTOS</t>
  </si>
  <si>
    <t>CÓDIGO</t>
  </si>
  <si>
    <t>DESCRIÇÃO</t>
  </si>
  <si>
    <t>QUANTIDADE</t>
  </si>
  <si>
    <t>TRANSPORTE</t>
  </si>
  <si>
    <t>CH TRANSPORTE</t>
  </si>
  <si>
    <t>Nº EIXOS</t>
  </si>
  <si>
    <t>PEDÁGIO</t>
  </si>
  <si>
    <t>CUSTO DE MOBILIZAÇÃO</t>
  </si>
  <si>
    <t>-</t>
  </si>
  <si>
    <t>CUSTO FINAL DA MOBILIZAÇÃO DE EQUIPAMENTOS</t>
  </si>
  <si>
    <t>QUANTIDADE HORAS PROJETO</t>
  </si>
  <si>
    <t>DMT P (km) - média da região</t>
  </si>
  <si>
    <t>Noroeste</t>
  </si>
  <si>
    <t>DMT RP (km) - média da região</t>
  </si>
  <si>
    <t>Velocidade Média de Transporte (km/h) - Revestimento Primário</t>
  </si>
  <si>
    <t>DM P (km)</t>
  </si>
  <si>
    <t>DM RP (km)</t>
  </si>
  <si>
    <t xml:space="preserve">A cada mobilização corresponderá uma desmobilização. O cálculo do custo da desmobilização será igual ao da mobilização </t>
  </si>
  <si>
    <t>Campos Gerais</t>
  </si>
  <si>
    <t>Norte</t>
  </si>
  <si>
    <t>Oeste</t>
  </si>
  <si>
    <t>UNIDADE</t>
  </si>
  <si>
    <t>MO ALOJADA</t>
  </si>
  <si>
    <t>MO ORDINÁRIA</t>
  </si>
  <si>
    <t>Apontador</t>
  </si>
  <si>
    <t>hora</t>
  </si>
  <si>
    <t>não</t>
  </si>
  <si>
    <t>Armador</t>
  </si>
  <si>
    <t>Blaster</t>
  </si>
  <si>
    <t>Calceteiro</t>
  </si>
  <si>
    <t>Cancheiro</t>
  </si>
  <si>
    <t>Carpinteiro</t>
  </si>
  <si>
    <t>Eletricista</t>
  </si>
  <si>
    <t>Equipe Carreta Perfuração</t>
  </si>
  <si>
    <t>Equipe Conjunto de Britagem</t>
  </si>
  <si>
    <t>Equipe Usina Asfalto</t>
  </si>
  <si>
    <t>Equipe Usina Solos B. Graduada</t>
  </si>
  <si>
    <t>Equipe Usina Solos c/dosador asfalto</t>
  </si>
  <si>
    <t>Equipe Usina Solos c/dosador cimento</t>
  </si>
  <si>
    <t>Marroeiro</t>
  </si>
  <si>
    <t>Marteleteiro</t>
  </si>
  <si>
    <t>Montador</t>
  </si>
  <si>
    <t>Motorista transp. asfalto</t>
  </si>
  <si>
    <t>Motorista veículo leve</t>
  </si>
  <si>
    <t>Motorista veículo médio</t>
  </si>
  <si>
    <t>Motorista veículo pesado</t>
  </si>
  <si>
    <t>Operador da leve</t>
  </si>
  <si>
    <t>Operador da pesada</t>
  </si>
  <si>
    <t>Operador de equipamentos manuais</t>
  </si>
  <si>
    <t>Pedreiro</t>
  </si>
  <si>
    <t>Pintor</t>
  </si>
  <si>
    <t>Pré-marcador (Sinalização)</t>
  </si>
  <si>
    <t>Serralheiro</t>
  </si>
  <si>
    <t>Servente</t>
  </si>
  <si>
    <t>Soldador</t>
  </si>
  <si>
    <t>Topógrafo</t>
  </si>
  <si>
    <t>MO ADM. LOCAL</t>
  </si>
  <si>
    <t>MO001</t>
  </si>
  <si>
    <t>Engenheiro Chefe</t>
  </si>
  <si>
    <t>mês</t>
  </si>
  <si>
    <t>MO002</t>
  </si>
  <si>
    <t>Engenheiro Pleno</t>
  </si>
  <si>
    <t>MO003</t>
  </si>
  <si>
    <t>MO004</t>
  </si>
  <si>
    <t>Técnico Nível Médio Estradas</t>
  </si>
  <si>
    <t>MO005</t>
  </si>
  <si>
    <t>Desenhista</t>
  </si>
  <si>
    <t>MO006</t>
  </si>
  <si>
    <t>MO007</t>
  </si>
  <si>
    <t>Técnico Especializado</t>
  </si>
  <si>
    <t>MO008</t>
  </si>
  <si>
    <t>Engenheiro de Segurança do Trabalho</t>
  </si>
  <si>
    <t>MO009</t>
  </si>
  <si>
    <t>Médico de Segurança do Trabalho</t>
  </si>
  <si>
    <t>MO010</t>
  </si>
  <si>
    <t>Técnico de Segurança do Trabalho</t>
  </si>
  <si>
    <t>MO011</t>
  </si>
  <si>
    <t>MO012</t>
  </si>
  <si>
    <t>Auxiliar de Topografia</t>
  </si>
  <si>
    <t>MO013</t>
  </si>
  <si>
    <t>Laboratorista</t>
  </si>
  <si>
    <t>MO014</t>
  </si>
  <si>
    <t>Auxiliar de Laboratorista</t>
  </si>
  <si>
    <t>MO015</t>
  </si>
  <si>
    <t>Encarregado Geral</t>
  </si>
  <si>
    <t>MO016</t>
  </si>
  <si>
    <t>Encarregado Especializado</t>
  </si>
  <si>
    <t>MO017</t>
  </si>
  <si>
    <t>MO018</t>
  </si>
  <si>
    <t>Motorista de veículo leve</t>
  </si>
  <si>
    <t>MO019</t>
  </si>
  <si>
    <t>Encarregado Administrativo</t>
  </si>
  <si>
    <t>MO020</t>
  </si>
  <si>
    <t>Auxiliar Administrativo</t>
  </si>
  <si>
    <t>MO021</t>
  </si>
  <si>
    <t>Almoxarife/Comprador</t>
  </si>
  <si>
    <t>MO022</t>
  </si>
  <si>
    <t>Recepcionista/ Telefonista</t>
  </si>
  <si>
    <t>MO023</t>
  </si>
  <si>
    <t>Faxineira</t>
  </si>
  <si>
    <t>MO024</t>
  </si>
  <si>
    <t>Vigia Diurno</t>
  </si>
  <si>
    <t>MO025</t>
  </si>
  <si>
    <t>Vigia Noturno</t>
  </si>
  <si>
    <t>sim</t>
  </si>
  <si>
    <t>TIPO DE TRANSPORTE</t>
  </si>
  <si>
    <t>CUSTO</t>
  </si>
  <si>
    <t>Adm. Local</t>
  </si>
  <si>
    <t>Veículo Leve</t>
  </si>
  <si>
    <t xml:space="preserve">Ônibus </t>
  </si>
  <si>
    <t>Micro-Ônibus</t>
  </si>
  <si>
    <t>Van</t>
  </si>
  <si>
    <t>Pesquisa</t>
  </si>
  <si>
    <t>Ônibus interurbano</t>
  </si>
  <si>
    <t>Ônibus urbano</t>
  </si>
  <si>
    <t>Aéreo</t>
  </si>
  <si>
    <t>Metrô</t>
  </si>
  <si>
    <t>Número viagem/mês</t>
  </si>
  <si>
    <t>MOBILIZAÇÃO DE PESSOAL</t>
  </si>
  <si>
    <t>QUANTIDADE ADM LOCAL</t>
  </si>
  <si>
    <t>Nº VIAGENS</t>
  </si>
  <si>
    <t>EFETIVO A SER MOBILIZADO</t>
  </si>
  <si>
    <t>CUSTO DO TRANSPORTE</t>
  </si>
  <si>
    <t>CUSTO FINAL DA MOBILIZAÇÃO E DESMOBILIZAÇÃO - PESSOAL</t>
  </si>
  <si>
    <t>Semirreboque com 2 eixos</t>
  </si>
  <si>
    <t>Semirreboque com 3 eixos</t>
  </si>
  <si>
    <t>CT</t>
  </si>
  <si>
    <t>Pot</t>
  </si>
  <si>
    <t>V.Ut</t>
  </si>
  <si>
    <t>H/ano</t>
  </si>
  <si>
    <t>Aquisição</t>
  </si>
  <si>
    <t>Coef</t>
  </si>
  <si>
    <t>Combust.</t>
  </si>
  <si>
    <t>Dep.juros</t>
  </si>
  <si>
    <t>Manut.</t>
  </si>
  <si>
    <t>Material</t>
  </si>
  <si>
    <t>M. Obra</t>
  </si>
  <si>
    <t>Resid.</t>
  </si>
  <si>
    <t>Hora prod.</t>
  </si>
  <si>
    <t>Improd.</t>
  </si>
  <si>
    <t>EQ001</t>
  </si>
  <si>
    <t>EQ002</t>
  </si>
  <si>
    <t>EQ_AX01</t>
  </si>
  <si>
    <t>EQ_AX02</t>
  </si>
  <si>
    <t>EQ_AX03</t>
  </si>
  <si>
    <t>Diesel</t>
  </si>
  <si>
    <t>Taxa de juros:</t>
  </si>
  <si>
    <t xml:space="preserve">Depreciação e Juros:       </t>
  </si>
  <si>
    <t xml:space="preserve">Manutenção:     </t>
  </si>
  <si>
    <t xml:space="preserve">Materiais de Operação:    </t>
  </si>
  <si>
    <t>Álcool:</t>
  </si>
  <si>
    <t>Diesel:</t>
  </si>
  <si>
    <t>Gasolina:</t>
  </si>
  <si>
    <t>Elétrico:</t>
  </si>
  <si>
    <t>Óleo Combustível:</t>
  </si>
  <si>
    <t>Salário Base:</t>
  </si>
  <si>
    <t xml:space="preserve">Encargos sociais: </t>
  </si>
  <si>
    <t>SALÁRIO HORA</t>
  </si>
  <si>
    <t xml:space="preserve">Hora produtiva:     </t>
  </si>
  <si>
    <t xml:space="preserve">Hora improdutiva:      </t>
  </si>
  <si>
    <t>Cam. bascul. 1419-C 6m3 média</t>
  </si>
  <si>
    <t>Cam. bascul. 1419-C 6m3 severa</t>
  </si>
  <si>
    <t>Central dosadora de Concreto capacidade 150m³/h - Dosadora e misturadora</t>
  </si>
  <si>
    <t xml:space="preserve">Pavimentadora com formas deslizantes </t>
  </si>
  <si>
    <t>CUSTO FINAL DA MOBILIZAÇÃO E DESMOBILIZAÇÃO - COM DESONERAÇÃO</t>
  </si>
  <si>
    <t>Classificador de madeira</t>
  </si>
  <si>
    <t>Técnico de Campo III</t>
  </si>
  <si>
    <t>Técnico de Campo I</t>
  </si>
  <si>
    <t>Engenheiro Auxiliar</t>
  </si>
  <si>
    <t>Engenheiro em Meio Ambiente</t>
  </si>
  <si>
    <t>MO026</t>
  </si>
  <si>
    <t>MO027</t>
  </si>
  <si>
    <t>Automóvel leve pot. mín. 75 HP(c/motor.)</t>
  </si>
  <si>
    <t>Automóvel leve pot. mín. 75 HP(s/motor.)</t>
  </si>
  <si>
    <t>Caldeira de asfalto reboc. 4000 l a gasolina</t>
  </si>
  <si>
    <t>Cam. chassi VM-390 p/ microrevestimento</t>
  </si>
  <si>
    <t>Cam. chassi 18.210</t>
  </si>
  <si>
    <t xml:space="preserve">Caminhão betoneira 8 m³  </t>
  </si>
  <si>
    <t xml:space="preserve">Caminhão com guindaste com cesto </t>
  </si>
  <si>
    <t>Caminhonete cabine dupla 4x4 pot. mín.120 HP(c/motor.)</t>
  </si>
  <si>
    <t>Caminhonete cabine dupla 4x4 pot. mín.120 HP(s/motor.)</t>
  </si>
  <si>
    <t>Carreg. frontal pneus L 60-H média</t>
  </si>
  <si>
    <t>Carreg. frontal pneus 950-L leve</t>
  </si>
  <si>
    <t>Carreg. frontal pneus 950-L média</t>
  </si>
  <si>
    <t>Carreg. frontal pneus 950-L severa</t>
  </si>
  <si>
    <t>Distr. agregados rebocável 1,90 m3</t>
  </si>
  <si>
    <t>Equipamento aplicação termoplástico Spray/Extrusão</t>
  </si>
  <si>
    <t>Escav. hidráulica 580N C média</t>
  </si>
  <si>
    <t>Escav. hidráulica 580N C severa</t>
  </si>
  <si>
    <t>Escav. hidráulica 580N leve</t>
  </si>
  <si>
    <t>Fresadora asfalto a frio PM-313</t>
  </si>
  <si>
    <t>Gerador de solda ES 400 ED</t>
  </si>
  <si>
    <t>Grupo gerador  8 KVA</t>
  </si>
  <si>
    <t xml:space="preserve">Martelete elétrico TE-A22 </t>
  </si>
  <si>
    <t>Minicarregadeira de pneus 226-B c/vassoura</t>
  </si>
  <si>
    <t>Motosserra a gasolina</t>
  </si>
  <si>
    <t>Recicladora a frio RM-400</t>
  </si>
  <si>
    <t>Recicladora a frio RS-460</t>
  </si>
  <si>
    <t>Rolo tandem liso autopropelido HD 090V</t>
  </si>
  <si>
    <t>Rolo vibratório liso autoprop. CA 15 A</t>
  </si>
  <si>
    <t>Rolo vibratório liso autoprop. CB 10</t>
  </si>
  <si>
    <t>Rompedor manual 27 kg</t>
  </si>
  <si>
    <t>Serra corte concreto/asfalto FS 400LV</t>
  </si>
  <si>
    <t>Serra corte concreto/asfalto TCC 450</t>
  </si>
  <si>
    <t>Trator lâmina D4 leve</t>
  </si>
  <si>
    <t>Trator lâmina D4 média</t>
  </si>
  <si>
    <t>Trator lâmina D4 severa</t>
  </si>
  <si>
    <t>Trator lâmina D5 leve</t>
  </si>
  <si>
    <t>Trator lâmina D5 média</t>
  </si>
  <si>
    <t>Trator lâmina D5 severa</t>
  </si>
  <si>
    <t>Usina misturadora PMF 50/70 t/hora</t>
  </si>
  <si>
    <t>Veículo utilitário pot. mín. 114 HP(c/motor.)</t>
  </si>
  <si>
    <t>Veículo utilitário pot. min. 114 HP(s/motor.)</t>
  </si>
  <si>
    <t>MO028</t>
  </si>
  <si>
    <t>TOTAIS</t>
  </si>
  <si>
    <t>ADM LOCAL</t>
  </si>
  <si>
    <t>SERVIÇOS OBRA</t>
  </si>
  <si>
    <t>GERAL</t>
  </si>
  <si>
    <t>CAPACIDADE</t>
  </si>
  <si>
    <t>Cam. bascul. 1635/45 14m3 média</t>
  </si>
  <si>
    <t>Caminhão silo 30m³</t>
  </si>
  <si>
    <t xml:space="preserve">Fresadora asfalto a frio W 100 HR </t>
  </si>
  <si>
    <t>Caminhão silo 30 m3</t>
  </si>
  <si>
    <t>1 operador da pesada + 1 servente</t>
  </si>
  <si>
    <t>1 operador de nível V + 2 serventes</t>
  </si>
  <si>
    <t>1 operador da pesada + 4 serventes</t>
  </si>
  <si>
    <t>1 operador da pesada + 2 serventes</t>
  </si>
  <si>
    <t>Perfuratriz hidráulica rotopercussiva - 123 kW</t>
  </si>
  <si>
    <t>Perfuratriz hidráulica sobre esteiras com clamshell - 220 kW</t>
  </si>
  <si>
    <t>Guindaste móvel sobre esteiras com capacidade de 40 t - 186 kW</t>
  </si>
  <si>
    <t>EQ003</t>
  </si>
  <si>
    <t>Perfuratriz hidráulica sobre esteiras - 283 kW</t>
  </si>
  <si>
    <t>EQ_AX05</t>
  </si>
  <si>
    <t>EQ_AX06</t>
  </si>
  <si>
    <t>Semirreboque com 4 eixos</t>
  </si>
  <si>
    <t>EQ_AX07</t>
  </si>
  <si>
    <t>Dolly intermediário com 2 eixos para semirreboque</t>
  </si>
  <si>
    <t>Bate estaca de gravidade para 6 t - 119 kW</t>
  </si>
  <si>
    <t>Data Base: 31/08/2025 (Com desoneração)</t>
  </si>
  <si>
    <t>DER/PR -Agosto/2025 (com desoneração)</t>
  </si>
  <si>
    <t>DER/PR - Agosto/2025 (com desoneração)</t>
  </si>
  <si>
    <t xml:space="preserve"> Veículo(s) com capacidade de 16 passageiros</t>
  </si>
  <si>
    <t xml:space="preserve"> Veículo(s) com capacidade de 30 passageiros</t>
  </si>
  <si>
    <t xml:space="preserve"> Veículo(s) com capacidade de 40 passageiros</t>
  </si>
  <si>
    <r>
      <t>=&gt;</t>
    </r>
    <r>
      <rPr>
        <b/>
        <sz val="11"/>
        <color rgb="FF000000"/>
        <rFont val="Arial"/>
        <family val="2"/>
      </rPr>
      <t>75%</t>
    </r>
    <r>
      <rPr>
        <sz val="11"/>
        <color rgb="FF000000"/>
        <rFont val="Arial"/>
        <family val="2"/>
        <charset val="1"/>
      </rPr>
      <t xml:space="preserve"> do total de colaboradores </t>
    </r>
    <r>
      <rPr>
        <u/>
        <sz val="11"/>
        <color rgb="FF000000"/>
        <rFont val="Arial"/>
        <family val="2"/>
      </rPr>
      <t>SERVIÇOS OBRA</t>
    </r>
  </si>
  <si>
    <t>Caminhão transp. material asfáltico (300110)</t>
  </si>
  <si>
    <t>Cam. bascul. 1635/45 14m3 média (323514)</t>
  </si>
  <si>
    <t>Cavalo mecânico com semirreboque com capacidade de 20 t - 276 kW</t>
  </si>
  <si>
    <t>Cavalo mecânico 4 x 2, PBT 16.000 kg - 276 kW - motorista de veículo especial</t>
  </si>
  <si>
    <t>Cavalo mecânico com semirreboque com capacidade de 32 t - 302 kW</t>
  </si>
  <si>
    <t>Cavalo mecânico estradeiro 6 x 2, PBT 23.000 kg - 302 kW - motorista de caminhão</t>
  </si>
  <si>
    <t>Cavalo mecânico com dolly intermediário e semirreboque de 4 eixos com capacidade de 52 t - 364 kW</t>
  </si>
  <si>
    <t>Cavalo mecânico estradeiro 6 x 4, PBT 23.000 kg - 364 kW - motorista de veículo especial</t>
  </si>
  <si>
    <t>c/BDI</t>
  </si>
  <si>
    <t>Quantidade</t>
  </si>
  <si>
    <t>Data Base: 30/04/2024</t>
  </si>
  <si>
    <t>Pedágios</t>
  </si>
  <si>
    <t>Via Araucária - Lote 01</t>
  </si>
  <si>
    <t>EPR Litoral Pioneiro - Lote 02</t>
  </si>
  <si>
    <t>Arteris Litoral Sul</t>
  </si>
  <si>
    <t>Arteris Planalto Sul</t>
  </si>
  <si>
    <t xml:space="preserve">CCR PRVias - Lote 03 </t>
  </si>
  <si>
    <t xml:space="preserve">EPR Iguaçu - Lote 06 </t>
  </si>
  <si>
    <t>MULTIPLICADOR</t>
  </si>
  <si>
    <t>SOMATÓRIA</t>
  </si>
  <si>
    <t>BR-277                   Praça - São Luiz do Purunã</t>
  </si>
  <si>
    <t>BR-277               Praça - Porto Amazonas</t>
  </si>
  <si>
    <t>BR-277        Praça - Irati</t>
  </si>
  <si>
    <t>BR-373     Praça - Imbituva</t>
  </si>
  <si>
    <t>BR-476    Praça - Lapa</t>
  </si>
  <si>
    <t>BR-277    Praça - São José dos Pinhais</t>
  </si>
  <si>
    <t>BR-369  Praça - Jacarezinho</t>
  </si>
  <si>
    <t>PR-151  Praça - Carambeí</t>
  </si>
  <si>
    <t>PR-151  Praça - Jaguariaíva</t>
  </si>
  <si>
    <t>PR-151 km 184,82 Sengés</t>
  </si>
  <si>
    <t>PR-092   km 286,75 Siqueira Campos (quatiguá)</t>
  </si>
  <si>
    <t>BR-376   km 635,5 S.J.Pinhais</t>
  </si>
  <si>
    <t>BR-101  1,300  Garuva</t>
  </si>
  <si>
    <t>BR-116  km 134,4 p/ SC (Fazenda Rio Grande)</t>
  </si>
  <si>
    <t>BR-376    km 529   Witmarsun</t>
  </si>
  <si>
    <t>BR-376   km 448  Tibagi</t>
  </si>
  <si>
    <t>BR-376   km 370  Imbaú</t>
  </si>
  <si>
    <t>BR-376   km 316   Ortigueira</t>
  </si>
  <si>
    <t>BR-376 Mauá da Serra</t>
  </si>
  <si>
    <t>PR-445 Tamarana</t>
  </si>
  <si>
    <t>PR-323      km 03 Sertaneja</t>
  </si>
  <si>
    <t>BR-277           km  302 Prudentópolis</t>
  </si>
  <si>
    <t>BR-277    km 388 Candói</t>
  </si>
  <si>
    <t>BR-277   km 464 Laranjeiras do Sul</t>
  </si>
  <si>
    <t>BR-277   km 568 Cascavel</t>
  </si>
  <si>
    <t>BR-277   km 620 Céu Azul</t>
  </si>
  <si>
    <t>BR-277   km 704   São Miguel do Iguaçu</t>
  </si>
  <si>
    <t>BR-163  Lindoeste</t>
  </si>
  <si>
    <t>PR-483  Ampére</t>
  </si>
  <si>
    <t>PR-280 Pato Branco</t>
  </si>
  <si>
    <t>VALOR DA TARIFA</t>
  </si>
  <si>
    <t>TIPO DE VEÍCULO</t>
  </si>
  <si>
    <t>ROTA PASSA POR PEDÁGIO</t>
  </si>
  <si>
    <t>x</t>
  </si>
  <si>
    <t>M</t>
  </si>
  <si>
    <t>pequeno porte</t>
  </si>
  <si>
    <t>Tárifa básica (carro) 
x multplicador</t>
  </si>
  <si>
    <t>Automóvel, caminhonete e furgão (2 eixos)</t>
  </si>
  <si>
    <t>Caminhão leve, ônibus, caminhão-trator e furgão (2 eixos)</t>
  </si>
  <si>
    <t>Cavalo mecânico com semirreboque - 30 t</t>
  </si>
  <si>
    <t>Automóvel e caminhonete com semirreboque (3 eixos)</t>
  </si>
  <si>
    <t>Caminhão, caminhão-trator, caminhão-trator com semirreboque e ônibus (3 eixos)</t>
  </si>
  <si>
    <t>L</t>
  </si>
  <si>
    <t>Automóvel e caminhonete com reboque (4 eixos)</t>
  </si>
  <si>
    <t>S</t>
  </si>
  <si>
    <t>Caminhão com reboque, caminhão-trator com semirreboque (4 eixos)</t>
  </si>
  <si>
    <t>Caminhão com reboque, caminhão-trator com semirreboque (5 eixos)</t>
  </si>
  <si>
    <t>Caminhão com reboque, caminhão-trator com semirreboque (6 eixos)</t>
  </si>
  <si>
    <t>Caminhão com reboque, caminhão trator com semirreboque (7 eixos)</t>
  </si>
  <si>
    <t>Caminhão com reboque, caminhão trator com semirreboque (8 eixos)</t>
  </si>
  <si>
    <r>
      <t>Caminhão silo 30m</t>
    </r>
    <r>
      <rPr>
        <vertAlign val="superscript"/>
        <sz val="10"/>
        <color indexed="8"/>
        <rFont val="Arial"/>
        <family val="2"/>
      </rPr>
      <t>3</t>
    </r>
  </si>
  <si>
    <t>Cavalo mecânico com semirreboque - 22 t</t>
  </si>
  <si>
    <t>Fresadora asfalto a frio W 100 HR</t>
  </si>
  <si>
    <t>Guindaste para 30T</t>
  </si>
  <si>
    <t>Pavimentadora Gomaco Comander III</t>
  </si>
  <si>
    <t>SCONet - Sistema de Custos e Orçamentos</t>
  </si>
  <si>
    <t>Descrição da Mão de Obra</t>
  </si>
  <si>
    <t>Conferência</t>
  </si>
  <si>
    <t>(assinado e datado eletronicamente)</t>
  </si>
  <si>
    <t>Células de conferência do menor custo que atende ao critério. 
Ocultar ao gerar a impressão</t>
  </si>
  <si>
    <t>TRECHO - Pavimentação e Recape Asfáltico da Avenida Guadalajara</t>
  </si>
  <si>
    <t>GUAPIRAMA/PR</t>
  </si>
  <si>
    <t>José Augusto Davanço</t>
  </si>
  <si>
    <t xml:space="preserve">Engenheiro Civil - Crea 166826/D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</si>
</sst>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8" formatCode="&quot;R$&quot;\ #,##0.00;[Red]\-&quot;R$&quot;\ #,##0.00"/>
    <numFmt numFmtId="164" formatCode="_-&quot;R$&quot;* #,##0.00_-;\-&quot;R$&quot;* #,##0.00_-;_-&quot;R$&quot;* &quot;-&quot;??_-;_-@_-"/>
    <numFmt numFmtId="165" formatCode="#,##0.00_ ;\-#,##0.00\ "/>
    <numFmt numFmtId="166" formatCode="#,##0.0"/>
    <numFmt numFmtId="167" formatCode="#,##0.0000"/>
    <numFmt numFmtId="168" formatCode="&quot;R$ &quot;#,##0.00"/>
    <numFmt numFmtId="169" formatCode="##0.0000"/>
    <numFmt numFmtId="170" formatCode="#0.0000"/>
    <numFmt numFmtId="171" formatCode="0.0000"/>
    <numFmt numFmtId="172" formatCode="&quot;R$&quot;\ #,##0.00"/>
    <numFmt numFmtId="173" formatCode="&quot;R$&quot;\ #,##0.000;[Red]\-&quot;R$&quot;\ #,##0.000"/>
    <numFmt numFmtId="174" formatCode="#0.00"/>
    <numFmt numFmtId="175" formatCode="##0.00"/>
    <numFmt numFmtId="176" formatCode="000000"/>
    <numFmt numFmtId="177" formatCode="00"/>
    <numFmt numFmtId="178" formatCode="##,##0.0000"/>
  </numFmts>
  <fonts count="6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rgb="FF000000"/>
      <name val="Calibri"/>
      <family val="2"/>
      <charset val="1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0"/>
      <color theme="0"/>
      <name val="Arial"/>
      <family val="2"/>
    </font>
    <font>
      <sz val="10"/>
      <color rgb="FF000000"/>
      <name val="Times New Roman"/>
      <family val="1"/>
    </font>
    <font>
      <sz val="10"/>
      <color rgb="FF000000"/>
      <name val="Arial"/>
      <family val="2"/>
    </font>
    <font>
      <sz val="10"/>
      <name val="Arial"/>
      <family val="2"/>
    </font>
    <font>
      <sz val="11"/>
      <color rgb="FF00000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1"/>
      <color rgb="FF000000"/>
      <name val="Arial"/>
      <family val="2"/>
    </font>
    <font>
      <sz val="11"/>
      <color theme="1"/>
      <name val="Arial"/>
      <family val="2"/>
    </font>
    <font>
      <b/>
      <sz val="11"/>
      <color theme="0"/>
      <name val="Arial"/>
      <family val="2"/>
    </font>
    <font>
      <sz val="11"/>
      <color rgb="FF000000"/>
      <name val="Calibri"/>
      <family val="2"/>
      <charset val="1"/>
    </font>
    <font>
      <b/>
      <sz val="22"/>
      <color theme="0"/>
      <name val="Arial"/>
      <family val="2"/>
      <charset val="1"/>
    </font>
    <font>
      <sz val="11"/>
      <color rgb="FF000000"/>
      <name val="Arial"/>
      <family val="2"/>
      <charset val="1"/>
    </font>
    <font>
      <sz val="11"/>
      <color rgb="FFFF0000"/>
      <name val="Arial"/>
      <family val="2"/>
      <charset val="1"/>
    </font>
    <font>
      <b/>
      <sz val="18"/>
      <color theme="0"/>
      <name val="Arial"/>
      <family val="2"/>
      <charset val="1"/>
    </font>
    <font>
      <b/>
      <sz val="12"/>
      <color rgb="FF000000"/>
      <name val="Arial"/>
      <family val="2"/>
      <charset val="1"/>
    </font>
    <font>
      <b/>
      <sz val="11"/>
      <color rgb="FF000000"/>
      <name val="Arial"/>
      <family val="2"/>
      <charset val="1"/>
    </font>
    <font>
      <b/>
      <sz val="11"/>
      <name val="Arial"/>
      <family val="2"/>
      <charset val="1"/>
    </font>
    <font>
      <sz val="10"/>
      <color rgb="FF010000"/>
      <name val="Arial"/>
      <family val="2"/>
    </font>
    <font>
      <b/>
      <sz val="14"/>
      <color rgb="FF000000"/>
      <name val="Arial"/>
      <family val="2"/>
      <charset val="1"/>
    </font>
    <font>
      <b/>
      <sz val="16"/>
      <color rgb="FF000000"/>
      <name val="Arial"/>
      <family val="2"/>
      <charset val="1"/>
    </font>
    <font>
      <b/>
      <sz val="11"/>
      <color rgb="FFFF0000"/>
      <name val="Arial"/>
      <family val="2"/>
      <charset val="1"/>
    </font>
    <font>
      <b/>
      <sz val="12"/>
      <name val="Arial"/>
      <family val="2"/>
      <charset val="1"/>
    </font>
    <font>
      <b/>
      <sz val="11"/>
      <color theme="1"/>
      <name val="Arial"/>
      <family val="2"/>
      <charset val="1"/>
    </font>
    <font>
      <sz val="11"/>
      <color rgb="FFFF0000"/>
      <name val="Arial"/>
      <family val="2"/>
    </font>
    <font>
      <b/>
      <sz val="11"/>
      <color rgb="FF00B0F0"/>
      <name val="Arial"/>
      <family val="2"/>
      <charset val="1"/>
    </font>
    <font>
      <sz val="11"/>
      <name val="Arial"/>
      <family val="2"/>
      <charset val="1"/>
    </font>
    <font>
      <b/>
      <sz val="9"/>
      <name val="Arial"/>
      <family val="2"/>
    </font>
    <font>
      <sz val="8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0"/>
      <color indexed="8"/>
      <name val="Arial"/>
      <family val="2"/>
    </font>
    <font>
      <sz val="10"/>
      <color rgb="FFFF0000"/>
      <name val="Arial"/>
      <family val="2"/>
    </font>
    <font>
      <b/>
      <sz val="11"/>
      <color rgb="FFFF0000"/>
      <name val="Arial"/>
      <family val="2"/>
    </font>
    <font>
      <sz val="11"/>
      <color indexed="8"/>
      <name val="Arial"/>
      <family val="2"/>
    </font>
    <font>
      <sz val="8"/>
      <color theme="1"/>
      <name val="Arial"/>
      <family val="2"/>
    </font>
    <font>
      <b/>
      <sz val="11"/>
      <color theme="1"/>
      <name val="Arial"/>
      <family val="2"/>
    </font>
    <font>
      <u/>
      <sz val="11"/>
      <color rgb="FF000000"/>
      <name val="Arial"/>
      <family val="2"/>
    </font>
    <font>
      <sz val="9"/>
      <name val="Arial"/>
      <family val="2"/>
    </font>
    <font>
      <sz val="10"/>
      <color indexed="8"/>
      <name val="Arial"/>
      <family val="2"/>
    </font>
    <font>
      <sz val="9"/>
      <color rgb="FF000000"/>
      <name val="Arial"/>
      <family val="2"/>
      <charset val="1"/>
    </font>
    <font>
      <sz val="11"/>
      <color rgb="FFFF0000"/>
      <name val="Calibri"/>
      <family val="2"/>
      <scheme val="minor"/>
    </font>
    <font>
      <b/>
      <sz val="9"/>
      <color indexed="8"/>
      <name val="Arial"/>
      <family val="2"/>
    </font>
    <font>
      <sz val="9"/>
      <color indexed="8"/>
      <name val="Arial"/>
      <family val="2"/>
    </font>
    <font>
      <sz val="8"/>
      <color indexed="8"/>
      <name val="Arial"/>
      <family val="2"/>
    </font>
    <font>
      <b/>
      <sz val="10"/>
      <name val="Arial"/>
      <family val="2"/>
    </font>
    <font>
      <b/>
      <sz val="10"/>
      <color indexed="8"/>
      <name val="Arial"/>
      <family val="2"/>
    </font>
    <font>
      <b/>
      <sz val="9"/>
      <color rgb="FFFF0000"/>
      <name val="Arial"/>
      <family val="2"/>
    </font>
    <font>
      <sz val="9"/>
      <color rgb="FFFF0000"/>
      <name val="Arial"/>
      <family val="2"/>
    </font>
    <font>
      <b/>
      <sz val="10"/>
      <color rgb="FFFF0000"/>
      <name val="Arial"/>
      <family val="2"/>
    </font>
    <font>
      <vertAlign val="superscript"/>
      <sz val="10"/>
      <color indexed="8"/>
      <name val="Arial"/>
      <family val="2"/>
    </font>
    <font>
      <sz val="4"/>
      <color indexed="8"/>
      <name val="Arial"/>
      <family val="2"/>
    </font>
    <font>
      <sz val="11"/>
      <color theme="1"/>
      <name val="Arial"/>
      <family val="2"/>
      <charset val="1"/>
    </font>
    <font>
      <i/>
      <sz val="11"/>
      <color theme="0" tint="-0.14999847407452621"/>
      <name val="Arial"/>
      <family val="2"/>
    </font>
    <font>
      <b/>
      <sz val="14"/>
      <color rgb="FFA50021"/>
      <name val="Arial"/>
      <family val="2"/>
    </font>
    <font>
      <i/>
      <sz val="11"/>
      <color theme="0" tint="-0.249977111117893"/>
      <name val="Arial"/>
      <family val="2"/>
    </font>
    <font>
      <sz val="10"/>
      <color indexed="8"/>
      <name val="Arial"/>
      <family val="2"/>
    </font>
  </fonts>
  <fills count="22">
    <fill>
      <patternFill patternType="none"/>
    </fill>
    <fill>
      <patternFill patternType="gray125"/>
    </fill>
    <fill>
      <patternFill patternType="solid">
        <fgColor rgb="FFED7A2B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C9EA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E5E5E5"/>
      </patternFill>
    </fill>
    <fill>
      <patternFill patternType="solid">
        <fgColor theme="0" tint="-0.14999847407452621"/>
        <bgColor rgb="FFC0C0C0"/>
      </patternFill>
    </fill>
    <fill>
      <patternFill patternType="solid">
        <fgColor rgb="FFFFFFFF"/>
        <bgColor rgb="FFFFFFCC"/>
      </patternFill>
    </fill>
    <fill>
      <patternFill patternType="solid">
        <fgColor theme="4" tint="-0.499984740745262"/>
        <bgColor rgb="FFFFFF00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rgb="FFFFFFCC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63"/>
        <bgColor indexed="64"/>
      </patternFill>
    </fill>
  </fills>
  <borders count="1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10000"/>
      </left>
      <right style="thin">
        <color rgb="FF010000"/>
      </right>
      <top style="thin">
        <color rgb="FF010000"/>
      </top>
      <bottom style="thin">
        <color rgb="FF010000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rgb="FF010000"/>
      </left>
      <right style="thin">
        <color rgb="FF010000"/>
      </right>
      <top style="thin">
        <color rgb="FF010000"/>
      </top>
      <bottom style="double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/>
      <right/>
      <top/>
      <bottom style="hair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8"/>
      </bottom>
      <diagonal/>
    </border>
    <border>
      <left style="thin">
        <color indexed="64"/>
      </left>
      <right style="hair">
        <color indexed="8"/>
      </right>
      <top/>
      <bottom style="hair">
        <color indexed="64"/>
      </bottom>
      <diagonal/>
    </border>
    <border>
      <left style="hair">
        <color indexed="8"/>
      </left>
      <right style="hair">
        <color indexed="8"/>
      </right>
      <top/>
      <bottom style="hair">
        <color indexed="64"/>
      </bottom>
      <diagonal/>
    </border>
    <border>
      <left style="hair">
        <color indexed="8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8"/>
      </right>
      <top style="thin">
        <color indexed="64"/>
      </top>
      <bottom style="hair">
        <color indexed="64"/>
      </bottom>
      <diagonal/>
    </border>
    <border>
      <left style="hair">
        <color indexed="8"/>
      </left>
      <right style="hair">
        <color indexed="8"/>
      </right>
      <top style="thin">
        <color indexed="64"/>
      </top>
      <bottom style="hair">
        <color indexed="64"/>
      </bottom>
      <diagonal/>
    </border>
    <border>
      <left style="hair">
        <color indexed="8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8"/>
      </bottom>
      <diagonal/>
    </border>
    <border>
      <left/>
      <right style="hair">
        <color indexed="64"/>
      </right>
      <top style="hair">
        <color indexed="64"/>
      </top>
      <bottom style="hair">
        <color indexed="8"/>
      </bottom>
      <diagonal/>
    </border>
    <border>
      <left/>
      <right style="thin">
        <color indexed="64"/>
      </right>
      <top style="hair">
        <color indexed="64"/>
      </top>
      <bottom style="hair">
        <color indexed="8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8"/>
      </bottom>
      <diagonal/>
    </border>
    <border>
      <left style="hair">
        <color indexed="64"/>
      </left>
      <right/>
      <top style="hair">
        <color indexed="64"/>
      </top>
      <bottom style="hair">
        <color indexed="8"/>
      </bottom>
      <diagonal/>
    </border>
    <border>
      <left style="thin">
        <color indexed="64"/>
      </left>
      <right style="hair">
        <color indexed="64"/>
      </right>
      <top style="hair">
        <color indexed="8"/>
      </top>
      <bottom style="hair">
        <color indexed="64"/>
      </bottom>
      <diagonal/>
    </border>
    <border>
      <left/>
      <right style="hair">
        <color indexed="64"/>
      </right>
      <top style="hair">
        <color indexed="8"/>
      </top>
      <bottom style="hair">
        <color indexed="64"/>
      </bottom>
      <diagonal/>
    </border>
    <border>
      <left/>
      <right style="thin">
        <color indexed="64"/>
      </right>
      <top style="hair">
        <color indexed="8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8"/>
      </top>
      <bottom style="hair">
        <color indexed="64"/>
      </bottom>
      <diagonal/>
    </border>
    <border>
      <left style="hair">
        <color indexed="64"/>
      </left>
      <right/>
      <top style="hair">
        <color indexed="8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8"/>
      </right>
      <top style="hair">
        <color indexed="64"/>
      </top>
      <bottom/>
      <diagonal/>
    </border>
    <border>
      <left style="hair">
        <color indexed="8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8"/>
      </left>
      <right style="hair">
        <color indexed="8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8"/>
      </top>
      <bottom/>
      <diagonal/>
    </border>
    <border>
      <left style="hair">
        <color indexed="64"/>
      </left>
      <right style="hair">
        <color indexed="64"/>
      </right>
      <top style="hair">
        <color indexed="8"/>
      </top>
      <bottom/>
      <diagonal/>
    </border>
    <border>
      <left style="hair">
        <color indexed="64"/>
      </left>
      <right/>
      <top style="hair">
        <color indexed="8"/>
      </top>
      <bottom/>
      <diagonal/>
    </border>
    <border>
      <left/>
      <right style="thin">
        <color indexed="64"/>
      </right>
      <top style="hair">
        <color indexed="8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8"/>
      </right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thin">
        <color indexed="64"/>
      </right>
      <top style="hair">
        <color indexed="8"/>
      </top>
      <bottom/>
      <diagonal/>
    </border>
    <border>
      <left style="thin">
        <color indexed="64"/>
      </left>
      <right style="hair">
        <color indexed="64"/>
      </right>
      <top style="hair">
        <color indexed="8"/>
      </top>
      <bottom style="hair">
        <color indexed="8"/>
      </bottom>
      <diagonal/>
    </border>
    <border>
      <left style="hair">
        <color indexed="64"/>
      </left>
      <right style="hair">
        <color indexed="64"/>
      </right>
      <top style="hair">
        <color indexed="8"/>
      </top>
      <bottom style="hair">
        <color indexed="8"/>
      </bottom>
      <diagonal/>
    </border>
    <border>
      <left style="hair">
        <color indexed="64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hair">
        <color indexed="64"/>
      </left>
      <right/>
      <top style="hair">
        <color indexed="8"/>
      </top>
      <bottom style="hair">
        <color indexed="8"/>
      </bottom>
      <diagonal/>
    </border>
    <border>
      <left style="hair">
        <color indexed="64"/>
      </left>
      <right style="thin">
        <color indexed="64"/>
      </right>
      <top style="hair">
        <color indexed="8"/>
      </top>
      <bottom/>
      <diagonal/>
    </border>
    <border>
      <left style="thin">
        <color indexed="64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8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8"/>
      </top>
      <bottom style="thin">
        <color indexed="64"/>
      </bottom>
      <diagonal/>
    </border>
    <border>
      <left style="hair">
        <color indexed="64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8"/>
      </top>
      <bottom/>
      <diagonal/>
    </border>
  </borders>
  <cellStyleXfs count="7">
    <xf numFmtId="0" fontId="0" fillId="0" borderId="0"/>
    <xf numFmtId="164" fontId="1" fillId="0" borderId="0" applyFont="0" applyFill="0" applyBorder="0" applyAlignment="0" applyProtection="0"/>
    <xf numFmtId="0" fontId="8" fillId="0" borderId="0"/>
    <xf numFmtId="0" fontId="10" fillId="0" borderId="0"/>
    <xf numFmtId="0" fontId="1" fillId="0" borderId="0"/>
    <xf numFmtId="0" fontId="19" fillId="0" borderId="0"/>
    <xf numFmtId="9" fontId="1" fillId="0" borderId="0" applyFont="0" applyFill="0" applyBorder="0" applyAlignment="0" applyProtection="0"/>
  </cellStyleXfs>
  <cellXfs count="488">
    <xf numFmtId="0" fontId="0" fillId="0" borderId="0" xfId="0"/>
    <xf numFmtId="0" fontId="0" fillId="0" borderId="0" xfId="0" applyAlignment="1">
      <alignment horizont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165" fontId="3" fillId="0" borderId="6" xfId="1" applyNumberFormat="1" applyFont="1" applyBorder="1" applyAlignment="1">
      <alignment horizontal="right" vertical="center"/>
    </xf>
    <xf numFmtId="165" fontId="3" fillId="0" borderId="4" xfId="1" applyNumberFormat="1" applyFont="1" applyBorder="1" applyAlignment="1">
      <alignment horizontal="right" vertical="center"/>
    </xf>
    <xf numFmtId="0" fontId="3" fillId="0" borderId="11" xfId="0" applyFont="1" applyBorder="1" applyAlignment="1">
      <alignment horizontal="center" vertical="center"/>
    </xf>
    <xf numFmtId="165" fontId="3" fillId="0" borderId="12" xfId="1" applyNumberFormat="1" applyFont="1" applyBorder="1" applyAlignment="1">
      <alignment horizontal="right" vertical="center"/>
    </xf>
    <xf numFmtId="165" fontId="0" fillId="0" borderId="0" xfId="0" applyNumberFormat="1"/>
    <xf numFmtId="0" fontId="0" fillId="7" borderId="0" xfId="0" applyFill="1"/>
    <xf numFmtId="165" fontId="3" fillId="7" borderId="6" xfId="1" applyNumberFormat="1" applyFont="1" applyFill="1" applyBorder="1" applyAlignment="1">
      <alignment horizontal="right" vertical="center"/>
    </xf>
    <xf numFmtId="165" fontId="3" fillId="7" borderId="4" xfId="1" applyNumberFormat="1" applyFont="1" applyFill="1" applyBorder="1" applyAlignment="1">
      <alignment horizontal="right" vertical="center"/>
    </xf>
    <xf numFmtId="165" fontId="5" fillId="8" borderId="6" xfId="1" applyNumberFormat="1" applyFont="1" applyFill="1" applyBorder="1" applyAlignment="1" applyProtection="1">
      <alignment horizontal="right" vertical="center"/>
    </xf>
    <xf numFmtId="165" fontId="5" fillId="0" borderId="12" xfId="1" applyNumberFormat="1" applyFont="1" applyFill="1" applyBorder="1" applyAlignment="1" applyProtection="1">
      <alignment horizontal="right" vertical="center"/>
    </xf>
    <xf numFmtId="165" fontId="3" fillId="0" borderId="12" xfId="1" applyNumberFormat="1" applyFont="1" applyFill="1" applyBorder="1" applyAlignment="1">
      <alignment horizontal="right" vertical="center"/>
    </xf>
    <xf numFmtId="165" fontId="3" fillId="0" borderId="9" xfId="1" applyNumberFormat="1" applyFont="1" applyFill="1" applyBorder="1" applyAlignment="1">
      <alignment horizontal="right" vertical="center"/>
    </xf>
    <xf numFmtId="165" fontId="3" fillId="0" borderId="21" xfId="1" applyNumberFormat="1" applyFont="1" applyBorder="1" applyAlignment="1">
      <alignment horizontal="right" vertical="center"/>
    </xf>
    <xf numFmtId="165" fontId="3" fillId="0" borderId="5" xfId="1" applyNumberFormat="1" applyFont="1" applyBorder="1" applyAlignment="1">
      <alignment horizontal="right" vertical="center"/>
    </xf>
    <xf numFmtId="165" fontId="3" fillId="0" borderId="22" xfId="1" applyNumberFormat="1" applyFont="1" applyBorder="1" applyAlignment="1">
      <alignment horizontal="right" vertical="center"/>
    </xf>
    <xf numFmtId="165" fontId="5" fillId="0" borderId="21" xfId="1" applyNumberFormat="1" applyFont="1" applyFill="1" applyBorder="1" applyAlignment="1" applyProtection="1">
      <alignment horizontal="right" vertical="center"/>
    </xf>
    <xf numFmtId="165" fontId="5" fillId="7" borderId="5" xfId="1" applyNumberFormat="1" applyFont="1" applyFill="1" applyBorder="1" applyAlignment="1" applyProtection="1">
      <alignment horizontal="right" vertical="center"/>
    </xf>
    <xf numFmtId="165" fontId="5" fillId="8" borderId="5" xfId="1" applyNumberFormat="1" applyFont="1" applyFill="1" applyBorder="1" applyAlignment="1" applyProtection="1">
      <alignment horizontal="right" vertical="center"/>
    </xf>
    <xf numFmtId="165" fontId="3" fillId="0" borderId="21" xfId="1" applyNumberFormat="1" applyFont="1" applyFill="1" applyBorder="1" applyAlignment="1">
      <alignment horizontal="right" vertical="center"/>
    </xf>
    <xf numFmtId="165" fontId="3" fillId="7" borderId="5" xfId="1" applyNumberFormat="1" applyFont="1" applyFill="1" applyBorder="1" applyAlignment="1">
      <alignment horizontal="right" vertical="center"/>
    </xf>
    <xf numFmtId="0" fontId="2" fillId="0" borderId="2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164" fontId="7" fillId="9" borderId="18" xfId="1" applyFont="1" applyFill="1" applyBorder="1" applyAlignment="1">
      <alignment horizontal="center" vertical="center"/>
    </xf>
    <xf numFmtId="164" fontId="7" fillId="9" borderId="9" xfId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/>
    </xf>
    <xf numFmtId="165" fontId="7" fillId="2" borderId="23" xfId="1" applyNumberFormat="1" applyFont="1" applyFill="1" applyBorder="1" applyAlignment="1">
      <alignment horizontal="right" vertical="center"/>
    </xf>
    <xf numFmtId="165" fontId="7" fillId="2" borderId="16" xfId="1" applyNumberFormat="1" applyFont="1" applyFill="1" applyBorder="1" applyAlignment="1">
      <alignment horizontal="right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23" xfId="0" applyFont="1" applyFill="1" applyBorder="1" applyAlignment="1">
      <alignment horizontal="center" vertical="center" wrapText="1"/>
    </xf>
    <xf numFmtId="0" fontId="7" fillId="3" borderId="15" xfId="0" applyFont="1" applyFill="1" applyBorder="1" applyAlignment="1">
      <alignment horizontal="center" vertical="center"/>
    </xf>
    <xf numFmtId="165" fontId="7" fillId="3" borderId="23" xfId="1" applyNumberFormat="1" applyFont="1" applyFill="1" applyBorder="1" applyAlignment="1">
      <alignment horizontal="right" vertical="center"/>
    </xf>
    <xf numFmtId="165" fontId="7" fillId="3" borderId="16" xfId="1" applyNumberFormat="1" applyFont="1" applyFill="1" applyBorder="1" applyAlignment="1">
      <alignment horizontal="right" vertical="center"/>
    </xf>
    <xf numFmtId="0" fontId="4" fillId="4" borderId="1" xfId="0" applyFont="1" applyFill="1" applyBorder="1" applyAlignment="1">
      <alignment horizontal="center" vertical="center" wrapText="1"/>
    </xf>
    <xf numFmtId="0" fontId="4" fillId="4" borderId="23" xfId="0" applyFont="1" applyFill="1" applyBorder="1" applyAlignment="1">
      <alignment horizontal="center" vertical="center" wrapText="1"/>
    </xf>
    <xf numFmtId="0" fontId="7" fillId="4" borderId="15" xfId="0" applyFont="1" applyFill="1" applyBorder="1" applyAlignment="1">
      <alignment horizontal="center" vertical="center"/>
    </xf>
    <xf numFmtId="165" fontId="7" fillId="4" borderId="23" xfId="1" applyNumberFormat="1" applyFont="1" applyFill="1" applyBorder="1" applyAlignment="1">
      <alignment horizontal="right" vertical="center"/>
    </xf>
    <xf numFmtId="165" fontId="7" fillId="4" borderId="16" xfId="1" applyNumberFormat="1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center" vertical="center" wrapText="1"/>
    </xf>
    <xf numFmtId="0" fontId="4" fillId="5" borderId="23" xfId="0" applyFont="1" applyFill="1" applyBorder="1" applyAlignment="1">
      <alignment horizontal="center" vertical="center" wrapText="1"/>
    </xf>
    <xf numFmtId="0" fontId="7" fillId="5" borderId="15" xfId="0" applyFont="1" applyFill="1" applyBorder="1" applyAlignment="1">
      <alignment horizontal="center" vertical="center"/>
    </xf>
    <xf numFmtId="165" fontId="7" fillId="5" borderId="23" xfId="1" applyNumberFormat="1" applyFont="1" applyFill="1" applyBorder="1" applyAlignment="1">
      <alignment horizontal="right" vertical="center"/>
    </xf>
    <xf numFmtId="165" fontId="7" fillId="5" borderId="14" xfId="1" applyNumberFormat="1" applyFont="1" applyFill="1" applyBorder="1" applyAlignment="1">
      <alignment horizontal="right" vertical="center"/>
    </xf>
    <xf numFmtId="0" fontId="4" fillId="6" borderId="1" xfId="0" applyFont="1" applyFill="1" applyBorder="1" applyAlignment="1">
      <alignment horizontal="center" vertical="center" wrapText="1"/>
    </xf>
    <xf numFmtId="0" fontId="4" fillId="6" borderId="23" xfId="0" applyFont="1" applyFill="1" applyBorder="1" applyAlignment="1">
      <alignment horizontal="center" vertical="center" wrapText="1"/>
    </xf>
    <xf numFmtId="0" fontId="7" fillId="6" borderId="15" xfId="0" applyFont="1" applyFill="1" applyBorder="1" applyAlignment="1">
      <alignment horizontal="center" vertical="center"/>
    </xf>
    <xf numFmtId="165" fontId="7" fillId="6" borderId="23" xfId="1" applyNumberFormat="1" applyFont="1" applyFill="1" applyBorder="1" applyAlignment="1">
      <alignment horizontal="right" vertical="center"/>
    </xf>
    <xf numFmtId="165" fontId="7" fillId="6" borderId="16" xfId="1" applyNumberFormat="1" applyFont="1" applyFill="1" applyBorder="1" applyAlignment="1">
      <alignment horizontal="right" vertical="center"/>
    </xf>
    <xf numFmtId="0" fontId="9" fillId="10" borderId="24" xfId="2" applyFont="1" applyFill="1" applyBorder="1" applyAlignment="1">
      <alignment horizontal="center" vertical="center"/>
    </xf>
    <xf numFmtId="0" fontId="10" fillId="0" borderId="0" xfId="3" applyAlignment="1">
      <alignment horizontal="left" vertical="center"/>
    </xf>
    <xf numFmtId="1" fontId="11" fillId="0" borderId="25" xfId="3" applyNumberFormat="1" applyFont="1" applyBorder="1" applyAlignment="1">
      <alignment horizontal="left" vertical="center" shrinkToFit="1"/>
    </xf>
    <xf numFmtId="0" fontId="12" fillId="0" borderId="26" xfId="3" applyFont="1" applyBorder="1" applyAlignment="1">
      <alignment horizontal="left" vertical="center" wrapText="1"/>
    </xf>
    <xf numFmtId="2" fontId="11" fillId="0" borderId="27" xfId="3" applyNumberFormat="1" applyFont="1" applyBorder="1" applyAlignment="1">
      <alignment horizontal="center" vertical="center" shrinkToFit="1"/>
    </xf>
    <xf numFmtId="1" fontId="11" fillId="0" borderId="25" xfId="3" applyNumberFormat="1" applyFont="1" applyBorder="1" applyAlignment="1">
      <alignment horizontal="center" vertical="center" shrinkToFit="1"/>
    </xf>
    <xf numFmtId="0" fontId="12" fillId="0" borderId="30" xfId="3" applyFont="1" applyBorder="1" applyAlignment="1">
      <alignment horizontal="center" vertical="center" wrapText="1"/>
    </xf>
    <xf numFmtId="2" fontId="11" fillId="0" borderId="25" xfId="3" applyNumberFormat="1" applyFont="1" applyBorder="1" applyAlignment="1">
      <alignment horizontal="center" vertical="center" shrinkToFit="1"/>
    </xf>
    <xf numFmtId="0" fontId="12" fillId="0" borderId="26" xfId="3" applyFont="1" applyBorder="1" applyAlignment="1">
      <alignment horizontal="center" vertical="center" wrapText="1"/>
    </xf>
    <xf numFmtId="1" fontId="11" fillId="0" borderId="26" xfId="3" applyNumberFormat="1" applyFont="1" applyBorder="1" applyAlignment="1">
      <alignment horizontal="center" vertical="center" shrinkToFit="1"/>
    </xf>
    <xf numFmtId="0" fontId="13" fillId="0" borderId="0" xfId="2" applyFont="1"/>
    <xf numFmtId="0" fontId="13" fillId="0" borderId="24" xfId="2" applyFont="1" applyBorder="1" applyAlignment="1">
      <alignment horizontal="center" vertical="center"/>
    </xf>
    <xf numFmtId="4" fontId="13" fillId="0" borderId="24" xfId="2" applyNumberFormat="1" applyFont="1" applyBorder="1" applyAlignment="1">
      <alignment horizontal="center" vertical="center"/>
    </xf>
    <xf numFmtId="0" fontId="13" fillId="0" borderId="0" xfId="2" applyFont="1" applyAlignment="1">
      <alignment horizontal="center" vertical="center"/>
    </xf>
    <xf numFmtId="4" fontId="13" fillId="0" borderId="0" xfId="2" applyNumberFormat="1" applyFont="1" applyAlignment="1">
      <alignment horizontal="center" vertical="center"/>
    </xf>
    <xf numFmtId="0" fontId="13" fillId="0" borderId="24" xfId="2" applyFont="1" applyBorder="1" applyAlignment="1">
      <alignment horizontal="justify" wrapText="1"/>
    </xf>
    <xf numFmtId="0" fontId="18" fillId="10" borderId="24" xfId="2" applyFont="1" applyFill="1" applyBorder="1" applyAlignment="1">
      <alignment horizontal="center" vertical="center"/>
    </xf>
    <xf numFmtId="4" fontId="18" fillId="10" borderId="24" xfId="2" applyNumberFormat="1" applyFont="1" applyFill="1" applyBorder="1" applyAlignment="1">
      <alignment horizontal="center" vertical="center"/>
    </xf>
    <xf numFmtId="1" fontId="13" fillId="0" borderId="25" xfId="0" applyNumberFormat="1" applyFont="1" applyBorder="1" applyAlignment="1">
      <alignment horizontal="left" vertical="center" shrinkToFit="1"/>
    </xf>
    <xf numFmtId="0" fontId="15" fillId="0" borderId="26" xfId="0" applyFont="1" applyBorder="1" applyAlignment="1">
      <alignment horizontal="left" vertical="center" wrapText="1"/>
    </xf>
    <xf numFmtId="0" fontId="17" fillId="0" borderId="24" xfId="4" applyFont="1" applyBorder="1" applyAlignment="1">
      <alignment horizontal="center"/>
    </xf>
    <xf numFmtId="0" fontId="21" fillId="0" borderId="0" xfId="5" applyFont="1" applyAlignment="1">
      <alignment vertical="center"/>
    </xf>
    <xf numFmtId="0" fontId="22" fillId="0" borderId="0" xfId="5" applyFont="1" applyAlignment="1">
      <alignment horizontal="center" vertical="center"/>
    </xf>
    <xf numFmtId="2" fontId="21" fillId="0" borderId="24" xfId="5" applyNumberFormat="1" applyFont="1" applyBorder="1" applyAlignment="1">
      <alignment vertical="center"/>
    </xf>
    <xf numFmtId="0" fontId="26" fillId="12" borderId="5" xfId="5" applyFont="1" applyFill="1" applyBorder="1" applyAlignment="1">
      <alignment horizontal="center" vertical="center"/>
    </xf>
    <xf numFmtId="0" fontId="26" fillId="12" borderId="5" xfId="5" applyFont="1" applyFill="1" applyBorder="1" applyAlignment="1">
      <alignment horizontal="center" vertical="center" wrapText="1"/>
    </xf>
    <xf numFmtId="2" fontId="21" fillId="0" borderId="34" xfId="5" applyNumberFormat="1" applyFont="1" applyBorder="1" applyAlignment="1">
      <alignment horizontal="center" vertical="center"/>
    </xf>
    <xf numFmtId="0" fontId="21" fillId="0" borderId="34" xfId="5" applyFont="1" applyBorder="1" applyAlignment="1">
      <alignment horizontal="center" vertical="center"/>
    </xf>
    <xf numFmtId="166" fontId="21" fillId="0" borderId="34" xfId="5" applyNumberFormat="1" applyFont="1" applyBorder="1" applyAlignment="1">
      <alignment horizontal="center" vertical="center"/>
    </xf>
    <xf numFmtId="4" fontId="21" fillId="0" borderId="34" xfId="5" applyNumberFormat="1" applyFont="1" applyBorder="1" applyAlignment="1">
      <alignment horizontal="center" vertical="center"/>
    </xf>
    <xf numFmtId="168" fontId="21" fillId="0" borderId="34" xfId="5" applyNumberFormat="1" applyFont="1" applyBorder="1" applyAlignment="1">
      <alignment vertical="center"/>
    </xf>
    <xf numFmtId="0" fontId="28" fillId="12" borderId="29" xfId="5" applyFont="1" applyFill="1" applyBorder="1" applyAlignment="1">
      <alignment horizontal="center" vertical="center"/>
    </xf>
    <xf numFmtId="168" fontId="28" fillId="12" borderId="29" xfId="5" applyNumberFormat="1" applyFont="1" applyFill="1" applyBorder="1" applyAlignment="1">
      <alignment vertical="center"/>
    </xf>
    <xf numFmtId="168" fontId="28" fillId="12" borderId="24" xfId="5" applyNumberFormat="1" applyFont="1" applyFill="1" applyBorder="1" applyAlignment="1">
      <alignment vertical="center"/>
    </xf>
    <xf numFmtId="0" fontId="19" fillId="0" borderId="0" xfId="5" applyAlignment="1">
      <alignment vertical="center"/>
    </xf>
    <xf numFmtId="0" fontId="30" fillId="12" borderId="5" xfId="5" applyFont="1" applyFill="1" applyBorder="1" applyAlignment="1">
      <alignment horizontal="center" vertical="center" wrapText="1"/>
    </xf>
    <xf numFmtId="0" fontId="25" fillId="0" borderId="31" xfId="5" applyFont="1" applyBorder="1" applyAlignment="1">
      <alignment horizontal="left" vertical="center"/>
    </xf>
    <xf numFmtId="0" fontId="25" fillId="0" borderId="32" xfId="5" applyFont="1" applyBorder="1" applyAlignment="1">
      <alignment horizontal="left" vertical="center"/>
    </xf>
    <xf numFmtId="167" fontId="27" fillId="13" borderId="34" xfId="5" applyNumberFormat="1" applyFont="1" applyFill="1" applyBorder="1" applyAlignment="1">
      <alignment horizontal="center" vertical="center" wrapText="1"/>
    </xf>
    <xf numFmtId="0" fontId="14" fillId="0" borderId="0" xfId="0" applyFont="1" applyAlignment="1">
      <alignment horizontal="left" vertical="center" wrapText="1"/>
    </xf>
    <xf numFmtId="0" fontId="26" fillId="12" borderId="24" xfId="5" applyFont="1" applyFill="1" applyBorder="1" applyAlignment="1">
      <alignment horizontal="center" vertical="center"/>
    </xf>
    <xf numFmtId="0" fontId="32" fillId="12" borderId="24" xfId="5" applyFont="1" applyFill="1" applyBorder="1" applyAlignment="1">
      <alignment horizontal="center" vertical="center" wrapText="1"/>
    </xf>
    <xf numFmtId="0" fontId="13" fillId="0" borderId="29" xfId="2" applyFont="1" applyBorder="1" applyAlignment="1">
      <alignment horizontal="justify" wrapText="1"/>
    </xf>
    <xf numFmtId="0" fontId="13" fillId="0" borderId="29" xfId="2" applyFont="1" applyBorder="1" applyAlignment="1">
      <alignment horizontal="center" wrapText="1"/>
    </xf>
    <xf numFmtId="0" fontId="13" fillId="0" borderId="24" xfId="2" applyFont="1" applyBorder="1" applyAlignment="1">
      <alignment horizontal="center" wrapText="1"/>
    </xf>
    <xf numFmtId="0" fontId="33" fillId="0" borderId="29" xfId="4" applyFont="1" applyBorder="1" applyAlignment="1">
      <alignment horizontal="center"/>
    </xf>
    <xf numFmtId="0" fontId="33" fillId="0" borderId="24" xfId="4" applyFont="1" applyBorder="1" applyAlignment="1">
      <alignment horizontal="center"/>
    </xf>
    <xf numFmtId="0" fontId="32" fillId="12" borderId="5" xfId="5" applyFont="1" applyFill="1" applyBorder="1" applyAlignment="1">
      <alignment horizontal="center" vertical="center" wrapText="1"/>
    </xf>
    <xf numFmtId="0" fontId="0" fillId="0" borderId="24" xfId="0" applyBorder="1" applyAlignment="1">
      <alignment horizontal="center"/>
    </xf>
    <xf numFmtId="172" fontId="0" fillId="0" borderId="24" xfId="0" applyNumberFormat="1" applyBorder="1" applyAlignment="1">
      <alignment horizontal="center"/>
    </xf>
    <xf numFmtId="172" fontId="0" fillId="15" borderId="24" xfId="0" applyNumberFormat="1" applyFill="1" applyBorder="1" applyAlignment="1">
      <alignment horizontal="center"/>
    </xf>
    <xf numFmtId="0" fontId="34" fillId="12" borderId="5" xfId="5" applyFont="1" applyFill="1" applyBorder="1" applyAlignment="1">
      <alignment horizontal="center" vertical="center" wrapText="1"/>
    </xf>
    <xf numFmtId="9" fontId="21" fillId="0" borderId="34" xfId="6" applyFont="1" applyBorder="1" applyAlignment="1">
      <alignment horizontal="center" vertical="center"/>
    </xf>
    <xf numFmtId="0" fontId="35" fillId="0" borderId="34" xfId="5" applyFont="1" applyBorder="1" applyAlignment="1">
      <alignment horizontal="center" vertical="center"/>
    </xf>
    <xf numFmtId="0" fontId="36" fillId="11" borderId="25" xfId="3" applyFont="1" applyFill="1" applyBorder="1" applyAlignment="1">
      <alignment horizontal="center" vertical="top" wrapText="1"/>
    </xf>
    <xf numFmtId="0" fontId="17" fillId="0" borderId="0" xfId="0" applyFont="1" applyAlignment="1">
      <alignment horizontal="center" vertical="center"/>
    </xf>
    <xf numFmtId="0" fontId="17" fillId="0" borderId="0" xfId="0" applyFont="1" applyAlignment="1">
      <alignment horizontal="left" vertical="center"/>
    </xf>
    <xf numFmtId="4" fontId="17" fillId="0" borderId="0" xfId="0" applyNumberFormat="1" applyFont="1" applyAlignment="1">
      <alignment horizontal="center" vertical="center"/>
    </xf>
    <xf numFmtId="3" fontId="17" fillId="0" borderId="0" xfId="0" applyNumberFormat="1" applyFont="1" applyAlignment="1">
      <alignment horizontal="center" vertical="center"/>
    </xf>
    <xf numFmtId="0" fontId="17" fillId="0" borderId="0" xfId="0" applyFont="1" applyAlignment="1">
      <alignment vertical="center"/>
    </xf>
    <xf numFmtId="0" fontId="12" fillId="0" borderId="0" xfId="0" applyFont="1" applyAlignment="1">
      <alignment horizontal="left" vertical="top"/>
    </xf>
    <xf numFmtId="0" fontId="38" fillId="0" borderId="0" xfId="0" applyFont="1" applyAlignment="1">
      <alignment horizontal="justify" vertical="center"/>
    </xf>
    <xf numFmtId="0" fontId="39" fillId="0" borderId="0" xfId="0" applyFont="1"/>
    <xf numFmtId="0" fontId="17" fillId="0" borderId="0" xfId="0" applyFont="1"/>
    <xf numFmtId="10" fontId="17" fillId="0" borderId="0" xfId="0" applyNumberFormat="1" applyFont="1" applyAlignment="1">
      <alignment horizontal="center" vertical="center"/>
    </xf>
    <xf numFmtId="2" fontId="17" fillId="0" borderId="0" xfId="0" applyNumberFormat="1" applyFont="1" applyAlignment="1">
      <alignment horizontal="center" vertical="center"/>
    </xf>
    <xf numFmtId="8" fontId="17" fillId="0" borderId="0" xfId="0" applyNumberFormat="1" applyFont="1" applyAlignment="1">
      <alignment horizontal="center" vertical="center"/>
    </xf>
    <xf numFmtId="0" fontId="40" fillId="16" borderId="35" xfId="0" applyFont="1" applyFill="1" applyBorder="1" applyAlignment="1">
      <alignment vertical="top" wrapText="1"/>
    </xf>
    <xf numFmtId="0" fontId="14" fillId="11" borderId="36" xfId="0" applyFont="1" applyFill="1" applyBorder="1" applyAlignment="1">
      <alignment horizontal="center" vertical="center" wrapText="1"/>
    </xf>
    <xf numFmtId="1" fontId="16" fillId="0" borderId="0" xfId="5" applyNumberFormat="1" applyFont="1" applyAlignment="1">
      <alignment horizontal="center" vertical="center"/>
    </xf>
    <xf numFmtId="0" fontId="16" fillId="0" borderId="0" xfId="5" applyFont="1" applyAlignment="1">
      <alignment vertical="center"/>
    </xf>
    <xf numFmtId="4" fontId="21" fillId="0" borderId="0" xfId="5" applyNumberFormat="1" applyFont="1" applyAlignment="1">
      <alignment vertical="center"/>
    </xf>
    <xf numFmtId="0" fontId="21" fillId="0" borderId="0" xfId="5" applyFont="1" applyAlignment="1">
      <alignment horizontal="center" vertical="center"/>
    </xf>
    <xf numFmtId="0" fontId="21" fillId="7" borderId="0" xfId="5" applyFont="1" applyFill="1" applyAlignment="1">
      <alignment vertical="center"/>
    </xf>
    <xf numFmtId="0" fontId="15" fillId="0" borderId="0" xfId="5" applyFont="1" applyAlignment="1">
      <alignment vertical="center"/>
    </xf>
    <xf numFmtId="10" fontId="16" fillId="0" borderId="0" xfId="5" applyNumberFormat="1" applyFont="1" applyAlignment="1">
      <alignment vertical="center"/>
    </xf>
    <xf numFmtId="0" fontId="16" fillId="0" borderId="0" xfId="5" applyFont="1" applyAlignment="1">
      <alignment horizontal="center" vertical="center"/>
    </xf>
    <xf numFmtId="0" fontId="15" fillId="17" borderId="24" xfId="4" applyFont="1" applyFill="1" applyBorder="1" applyAlignment="1">
      <alignment horizontal="center"/>
    </xf>
    <xf numFmtId="2" fontId="21" fillId="17" borderId="34" xfId="5" applyNumberFormat="1" applyFont="1" applyFill="1" applyBorder="1" applyAlignment="1">
      <alignment horizontal="center" vertical="center"/>
    </xf>
    <xf numFmtId="0" fontId="21" fillId="17" borderId="34" xfId="5" applyFont="1" applyFill="1" applyBorder="1" applyAlignment="1">
      <alignment horizontal="center" vertical="center"/>
    </xf>
    <xf numFmtId="4" fontId="21" fillId="17" borderId="34" xfId="5" applyNumberFormat="1" applyFont="1" applyFill="1" applyBorder="1" applyAlignment="1">
      <alignment horizontal="center" vertical="center"/>
    </xf>
    <xf numFmtId="168" fontId="21" fillId="17" borderId="34" xfId="5" applyNumberFormat="1" applyFont="1" applyFill="1" applyBorder="1" applyAlignment="1">
      <alignment vertical="center"/>
    </xf>
    <xf numFmtId="169" fontId="41" fillId="18" borderId="34" xfId="5" applyNumberFormat="1" applyFont="1" applyFill="1" applyBorder="1" applyAlignment="1">
      <alignment horizontal="center" vertical="center" wrapText="1"/>
    </xf>
    <xf numFmtId="2" fontId="42" fillId="15" borderId="24" xfId="5" applyNumberFormat="1" applyFont="1" applyFill="1" applyBorder="1" applyAlignment="1">
      <alignment vertical="center"/>
    </xf>
    <xf numFmtId="168" fontId="22" fillId="0" borderId="34" xfId="5" applyNumberFormat="1" applyFont="1" applyBorder="1" applyAlignment="1">
      <alignment vertical="center"/>
    </xf>
    <xf numFmtId="168" fontId="22" fillId="17" borderId="34" xfId="5" applyNumberFormat="1" applyFont="1" applyFill="1" applyBorder="1" applyAlignment="1">
      <alignment vertical="center"/>
    </xf>
    <xf numFmtId="176" fontId="43" fillId="16" borderId="24" xfId="0" applyNumberFormat="1" applyFont="1" applyFill="1" applyBorder="1" applyAlignment="1">
      <alignment horizontal="center" vertical="top" wrapText="1"/>
    </xf>
    <xf numFmtId="4" fontId="13" fillId="0" borderId="25" xfId="0" applyNumberFormat="1" applyFont="1" applyBorder="1" applyAlignment="1">
      <alignment horizontal="right" vertical="center" shrinkToFit="1"/>
    </xf>
    <xf numFmtId="0" fontId="33" fillId="0" borderId="37" xfId="4" applyFont="1" applyBorder="1" applyAlignment="1">
      <alignment horizontal="center"/>
    </xf>
    <xf numFmtId="0" fontId="13" fillId="0" borderId="37" xfId="2" applyFont="1" applyBorder="1" applyAlignment="1">
      <alignment horizontal="justify" wrapText="1"/>
    </xf>
    <xf numFmtId="0" fontId="13" fillId="0" borderId="37" xfId="2" applyFont="1" applyBorder="1" applyAlignment="1">
      <alignment horizontal="center" wrapText="1"/>
    </xf>
    <xf numFmtId="167" fontId="27" fillId="13" borderId="38" xfId="5" applyNumberFormat="1" applyFont="1" applyFill="1" applyBorder="1" applyAlignment="1">
      <alignment horizontal="center" vertical="center" wrapText="1"/>
    </xf>
    <xf numFmtId="2" fontId="21" fillId="0" borderId="38" xfId="5" applyNumberFormat="1" applyFont="1" applyBorder="1" applyAlignment="1">
      <alignment horizontal="center" vertical="center"/>
    </xf>
    <xf numFmtId="0" fontId="21" fillId="0" borderId="38" xfId="5" applyFont="1" applyBorder="1" applyAlignment="1">
      <alignment horizontal="center" vertical="center"/>
    </xf>
    <xf numFmtId="9" fontId="21" fillId="0" borderId="38" xfId="6" applyFont="1" applyBorder="1" applyAlignment="1">
      <alignment horizontal="center" vertical="center"/>
    </xf>
    <xf numFmtId="0" fontId="35" fillId="0" borderId="38" xfId="5" applyFont="1" applyBorder="1" applyAlignment="1">
      <alignment horizontal="center" vertical="center"/>
    </xf>
    <xf numFmtId="4" fontId="21" fillId="0" borderId="38" xfId="5" applyNumberFormat="1" applyFont="1" applyBorder="1" applyAlignment="1">
      <alignment horizontal="center" vertical="center"/>
    </xf>
    <xf numFmtId="168" fontId="21" fillId="0" borderId="38" xfId="5" applyNumberFormat="1" applyFont="1" applyBorder="1" applyAlignment="1">
      <alignment vertical="center"/>
    </xf>
    <xf numFmtId="0" fontId="44" fillId="0" borderId="0" xfId="0" applyFont="1" applyAlignment="1">
      <alignment horizontal="left" vertical="center"/>
    </xf>
    <xf numFmtId="8" fontId="17" fillId="0" borderId="24" xfId="0" applyNumberFormat="1" applyFont="1" applyBorder="1" applyAlignment="1">
      <alignment vertical="center"/>
    </xf>
    <xf numFmtId="176" fontId="43" fillId="16" borderId="24" xfId="0" applyNumberFormat="1" applyFont="1" applyFill="1" applyBorder="1" applyAlignment="1">
      <alignment horizontal="center" vertical="center" wrapText="1"/>
    </xf>
    <xf numFmtId="166" fontId="35" fillId="17" borderId="34" xfId="5" applyNumberFormat="1" applyFont="1" applyFill="1" applyBorder="1" applyAlignment="1">
      <alignment horizontal="center" vertical="center"/>
    </xf>
    <xf numFmtId="4" fontId="0" fillId="0" borderId="0" xfId="0" applyNumberFormat="1"/>
    <xf numFmtId="10" fontId="45" fillId="9" borderId="0" xfId="6" applyNumberFormat="1" applyFont="1" applyFill="1" applyAlignment="1">
      <alignment horizontal="center" vertical="center"/>
    </xf>
    <xf numFmtId="10" fontId="21" fillId="0" borderId="0" xfId="5" applyNumberFormat="1" applyFont="1" applyAlignment="1">
      <alignment horizontal="center" vertical="center"/>
    </xf>
    <xf numFmtId="0" fontId="16" fillId="9" borderId="0" xfId="5" applyFont="1" applyFill="1" applyAlignment="1">
      <alignment horizontal="center" vertical="center"/>
    </xf>
    <xf numFmtId="0" fontId="14" fillId="11" borderId="36" xfId="0" applyFont="1" applyFill="1" applyBorder="1" applyAlignment="1">
      <alignment horizontal="left" vertical="center" wrapText="1"/>
    </xf>
    <xf numFmtId="0" fontId="14" fillId="11" borderId="39" xfId="0" applyFont="1" applyFill="1" applyBorder="1" applyAlignment="1">
      <alignment horizontal="left" vertical="center" wrapText="1"/>
    </xf>
    <xf numFmtId="0" fontId="13" fillId="17" borderId="24" xfId="2" applyFont="1" applyFill="1" applyBorder="1" applyAlignment="1">
      <alignment horizontal="justify" wrapText="1"/>
    </xf>
    <xf numFmtId="0" fontId="33" fillId="0" borderId="0" xfId="0" applyFont="1" applyAlignment="1">
      <alignment vertical="center"/>
    </xf>
    <xf numFmtId="0" fontId="47" fillId="0" borderId="0" xfId="0" applyNumberFormat="1" applyFont="1" applyFill="1" applyBorder="1" applyAlignment="1">
      <alignment vertical="top"/>
    </xf>
    <xf numFmtId="0" fontId="13" fillId="0" borderId="0" xfId="0" applyFont="1"/>
    <xf numFmtId="0" fontId="47" fillId="0" borderId="0" xfId="0" applyNumberFormat="1" applyFont="1" applyFill="1" applyBorder="1" applyAlignment="1">
      <alignment vertical="center"/>
    </xf>
    <xf numFmtId="4" fontId="15" fillId="0" borderId="25" xfId="0" applyNumberFormat="1" applyFont="1" applyBorder="1" applyAlignment="1">
      <alignment horizontal="right" vertical="center" shrinkToFit="1"/>
    </xf>
    <xf numFmtId="176" fontId="48" fillId="16" borderId="40" xfId="0" applyNumberFormat="1" applyFont="1" applyFill="1" applyBorder="1" applyAlignment="1">
      <alignment vertical="top" wrapText="1"/>
    </xf>
    <xf numFmtId="0" fontId="48" fillId="16" borderId="40" xfId="0" applyNumberFormat="1" applyFont="1" applyFill="1" applyBorder="1" applyAlignment="1">
      <alignment vertical="top" wrapText="1"/>
    </xf>
    <xf numFmtId="2" fontId="48" fillId="16" borderId="40" xfId="0" applyNumberFormat="1" applyFont="1" applyFill="1" applyBorder="1" applyAlignment="1">
      <alignment vertical="top" wrapText="1"/>
    </xf>
    <xf numFmtId="2" fontId="48" fillId="16" borderId="40" xfId="0" applyNumberFormat="1" applyFont="1" applyFill="1" applyBorder="1" applyAlignment="1">
      <alignment horizontal="right" vertical="top" wrapText="1"/>
    </xf>
    <xf numFmtId="175" fontId="48" fillId="16" borderId="40" xfId="0" applyNumberFormat="1" applyFont="1" applyFill="1" applyBorder="1" applyAlignment="1">
      <alignment vertical="top" wrapText="1"/>
    </xf>
    <xf numFmtId="174" fontId="48" fillId="16" borderId="40" xfId="0" applyNumberFormat="1" applyFont="1" applyFill="1" applyBorder="1" applyAlignment="1">
      <alignment horizontal="right" vertical="top" wrapText="1"/>
    </xf>
    <xf numFmtId="174" fontId="48" fillId="16" borderId="40" xfId="0" applyNumberFormat="1" applyFont="1" applyFill="1" applyBorder="1" applyAlignment="1">
      <alignment vertical="top" wrapText="1"/>
    </xf>
    <xf numFmtId="0" fontId="17" fillId="17" borderId="0" xfId="0" applyFont="1" applyFill="1" applyAlignment="1">
      <alignment horizontal="center" vertical="center"/>
    </xf>
    <xf numFmtId="0" fontId="17" fillId="17" borderId="0" xfId="0" applyFont="1" applyFill="1" applyAlignment="1">
      <alignment horizontal="left" vertical="center"/>
    </xf>
    <xf numFmtId="0" fontId="17" fillId="19" borderId="0" xfId="0" applyFont="1" applyFill="1" applyAlignment="1">
      <alignment horizontal="center" vertical="center"/>
    </xf>
    <xf numFmtId="0" fontId="17" fillId="19" borderId="0" xfId="0" applyFont="1" applyFill="1" applyAlignment="1">
      <alignment horizontal="left" vertical="center"/>
    </xf>
    <xf numFmtId="2" fontId="17" fillId="19" borderId="0" xfId="0" applyNumberFormat="1" applyFont="1" applyFill="1" applyAlignment="1">
      <alignment horizontal="center" vertical="center"/>
    </xf>
    <xf numFmtId="8" fontId="17" fillId="19" borderId="0" xfId="0" applyNumberFormat="1" applyFont="1" applyFill="1" applyAlignment="1">
      <alignment horizontal="center" vertical="center"/>
    </xf>
    <xf numFmtId="2" fontId="17" fillId="17" borderId="0" xfId="0" applyNumberFormat="1" applyFont="1" applyFill="1" applyAlignment="1">
      <alignment horizontal="center" vertical="center"/>
    </xf>
    <xf numFmtId="8" fontId="17" fillId="17" borderId="0" xfId="0" applyNumberFormat="1" applyFont="1" applyFill="1" applyAlignment="1">
      <alignment horizontal="center" vertical="center"/>
    </xf>
    <xf numFmtId="176" fontId="48" fillId="16" borderId="40" xfId="0" applyNumberFormat="1" applyFont="1" applyFill="1" applyBorder="1" applyAlignment="1">
      <alignment vertical="center" wrapText="1"/>
    </xf>
    <xf numFmtId="0" fontId="48" fillId="16" borderId="40" xfId="0" applyNumberFormat="1" applyFont="1" applyFill="1" applyBorder="1" applyAlignment="1">
      <alignment vertical="center" wrapText="1"/>
    </xf>
    <xf numFmtId="0" fontId="12" fillId="0" borderId="0" xfId="3" applyFont="1" applyBorder="1" applyAlignment="1">
      <alignment horizontal="left" vertical="center" wrapText="1"/>
    </xf>
    <xf numFmtId="8" fontId="41" fillId="0" borderId="0" xfId="0" applyNumberFormat="1" applyFont="1" applyAlignment="1">
      <alignment vertical="top" wrapText="1"/>
    </xf>
    <xf numFmtId="10" fontId="33" fillId="0" borderId="0" xfId="6" applyNumberFormat="1" applyFont="1" applyAlignment="1">
      <alignment horizontal="center" vertical="center"/>
    </xf>
    <xf numFmtId="173" fontId="33" fillId="0" borderId="0" xfId="6" applyNumberFormat="1" applyFont="1" applyAlignment="1">
      <alignment horizontal="center" vertical="center"/>
    </xf>
    <xf numFmtId="0" fontId="41" fillId="0" borderId="0" xfId="0" applyFont="1" applyAlignment="1">
      <alignment horizontal="left" vertical="top"/>
    </xf>
    <xf numFmtId="8" fontId="41" fillId="0" borderId="0" xfId="0" applyNumberFormat="1" applyFont="1" applyAlignment="1">
      <alignment horizontal="center" vertical="top" wrapText="1"/>
    </xf>
    <xf numFmtId="177" fontId="21" fillId="0" borderId="0" xfId="5" applyNumberFormat="1" applyFont="1" applyAlignment="1">
      <alignment horizontal="center" vertical="center"/>
    </xf>
    <xf numFmtId="0" fontId="21" fillId="0" borderId="0" xfId="5" quotePrefix="1" applyFont="1" applyAlignment="1">
      <alignment horizontal="right" vertical="center"/>
    </xf>
    <xf numFmtId="10" fontId="21" fillId="0" borderId="0" xfId="5" applyNumberFormat="1" applyFont="1" applyAlignment="1">
      <alignment vertical="center"/>
    </xf>
    <xf numFmtId="4" fontId="16" fillId="0" borderId="0" xfId="5" applyNumberFormat="1" applyFont="1" applyAlignment="1">
      <alignment vertical="center"/>
    </xf>
    <xf numFmtId="176" fontId="40" fillId="16" borderId="40" xfId="0" applyNumberFormat="1" applyFont="1" applyFill="1" applyBorder="1" applyAlignment="1">
      <alignment horizontal="center" vertical="top" wrapText="1"/>
    </xf>
    <xf numFmtId="0" fontId="40" fillId="16" borderId="40" xfId="0" applyNumberFormat="1" applyFont="1" applyFill="1" applyBorder="1" applyAlignment="1">
      <alignment vertical="top" wrapText="1"/>
    </xf>
    <xf numFmtId="2" fontId="40" fillId="16" borderId="40" xfId="0" applyNumberFormat="1" applyFont="1" applyFill="1" applyBorder="1" applyAlignment="1">
      <alignment horizontal="right" vertical="top" wrapText="1"/>
    </xf>
    <xf numFmtId="175" fontId="40" fillId="16" borderId="40" xfId="0" applyNumberFormat="1" applyFont="1" applyFill="1" applyBorder="1" applyAlignment="1">
      <alignment horizontal="right" vertical="top" wrapText="1"/>
    </xf>
    <xf numFmtId="174" fontId="40" fillId="16" borderId="40" xfId="0" applyNumberFormat="1" applyFont="1" applyFill="1" applyBorder="1" applyAlignment="1">
      <alignment horizontal="right" vertical="top" wrapText="1"/>
    </xf>
    <xf numFmtId="4" fontId="40" fillId="16" borderId="40" xfId="0" applyNumberFormat="1" applyFont="1" applyFill="1" applyBorder="1" applyAlignment="1">
      <alignment horizontal="right" vertical="top" wrapText="1"/>
    </xf>
    <xf numFmtId="0" fontId="40" fillId="16" borderId="47" xfId="0" applyNumberFormat="1" applyFont="1" applyFill="1" applyBorder="1" applyAlignment="1">
      <alignment vertical="top" wrapText="1"/>
    </xf>
    <xf numFmtId="0" fontId="11" fillId="0" borderId="47" xfId="2" applyFont="1" applyBorder="1" applyAlignment="1">
      <alignment horizontal="center" wrapText="1"/>
    </xf>
    <xf numFmtId="174" fontId="40" fillId="16" borderId="47" xfId="0" applyNumberFormat="1" applyFont="1" applyFill="1" applyBorder="1" applyAlignment="1">
      <alignment horizontal="right" vertical="top" wrapText="1"/>
    </xf>
    <xf numFmtId="0" fontId="40" fillId="16" borderId="48" xfId="0" applyNumberFormat="1" applyFont="1" applyFill="1" applyBorder="1" applyAlignment="1">
      <alignment vertical="top" wrapText="1"/>
    </xf>
    <xf numFmtId="0" fontId="11" fillId="0" borderId="48" xfId="2" applyFont="1" applyBorder="1" applyAlignment="1">
      <alignment horizontal="center" wrapText="1"/>
    </xf>
    <xf numFmtId="174" fontId="40" fillId="16" borderId="48" xfId="0" applyNumberFormat="1" applyFont="1" applyFill="1" applyBorder="1" applyAlignment="1">
      <alignment horizontal="right" vertical="top" wrapText="1"/>
    </xf>
    <xf numFmtId="175" fontId="40" fillId="16" borderId="48" xfId="0" applyNumberFormat="1" applyFont="1" applyFill="1" applyBorder="1" applyAlignment="1">
      <alignment horizontal="right" vertical="top" wrapText="1"/>
    </xf>
    <xf numFmtId="0" fontId="40" fillId="16" borderId="49" xfId="0" applyNumberFormat="1" applyFont="1" applyFill="1" applyBorder="1" applyAlignment="1">
      <alignment vertical="top" wrapText="1"/>
    </xf>
    <xf numFmtId="0" fontId="11" fillId="0" borderId="49" xfId="2" applyFont="1" applyBorder="1" applyAlignment="1">
      <alignment horizontal="center" wrapText="1"/>
    </xf>
    <xf numFmtId="174" fontId="40" fillId="16" borderId="49" xfId="0" applyNumberFormat="1" applyFont="1" applyFill="1" applyBorder="1" applyAlignment="1">
      <alignment horizontal="right" vertical="top" wrapText="1"/>
    </xf>
    <xf numFmtId="176" fontId="40" fillId="16" borderId="47" xfId="0" applyNumberFormat="1" applyFont="1" applyFill="1" applyBorder="1" applyAlignment="1">
      <alignment horizontal="center" vertical="top" wrapText="1"/>
    </xf>
    <xf numFmtId="176" fontId="40" fillId="16" borderId="48" xfId="0" applyNumberFormat="1" applyFont="1" applyFill="1" applyBorder="1" applyAlignment="1">
      <alignment horizontal="center" vertical="top" wrapText="1"/>
    </xf>
    <xf numFmtId="176" fontId="40" fillId="16" borderId="49" xfId="0" applyNumberFormat="1" applyFont="1" applyFill="1" applyBorder="1" applyAlignment="1">
      <alignment horizontal="center" vertical="top" wrapText="1"/>
    </xf>
    <xf numFmtId="0" fontId="17" fillId="20" borderId="0" xfId="0" applyFont="1" applyFill="1" applyAlignment="1">
      <alignment vertical="center"/>
    </xf>
    <xf numFmtId="0" fontId="21" fillId="0" borderId="0" xfId="5" applyFont="1" applyAlignment="1">
      <alignment horizontal="right" vertical="center"/>
    </xf>
    <xf numFmtId="4" fontId="49" fillId="0" borderId="0" xfId="5" applyNumberFormat="1" applyFont="1" applyAlignment="1">
      <alignment vertical="center"/>
    </xf>
    <xf numFmtId="0" fontId="51" fillId="0" borderId="40" xfId="0" applyFont="1" applyBorder="1" applyAlignment="1">
      <alignment horizontal="center" vertical="center" wrapText="1"/>
    </xf>
    <xf numFmtId="0" fontId="51" fillId="0" borderId="40" xfId="0" applyFont="1" applyBorder="1" applyAlignment="1">
      <alignment horizontal="left" vertical="center" wrapText="1"/>
    </xf>
    <xf numFmtId="0" fontId="52" fillId="16" borderId="0" xfId="0" applyFont="1" applyFill="1" applyAlignment="1">
      <alignment vertical="center" wrapText="1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52" fillId="16" borderId="50" xfId="0" applyFont="1" applyFill="1" applyBorder="1" applyAlignment="1">
      <alignment horizontal="left" vertical="center" wrapText="1"/>
    </xf>
    <xf numFmtId="0" fontId="52" fillId="16" borderId="50" xfId="0" applyFont="1" applyFill="1" applyBorder="1" applyAlignment="1">
      <alignment vertical="center" wrapText="1"/>
    </xf>
    <xf numFmtId="0" fontId="52" fillId="16" borderId="0" xfId="0" applyFont="1" applyFill="1" applyAlignment="1">
      <alignment horizontal="left" vertical="center" wrapText="1"/>
    </xf>
    <xf numFmtId="0" fontId="40" fillId="16" borderId="0" xfId="0" applyFont="1" applyFill="1" applyAlignment="1">
      <alignment vertical="center" wrapText="1"/>
    </xf>
    <xf numFmtId="0" fontId="40" fillId="16" borderId="0" xfId="0" applyFont="1" applyFill="1" applyAlignment="1">
      <alignment horizontal="right" vertical="center" wrapText="1"/>
    </xf>
    <xf numFmtId="0" fontId="53" fillId="0" borderId="0" xfId="0" applyFont="1" applyAlignment="1">
      <alignment vertical="center" wrapText="1"/>
    </xf>
    <xf numFmtId="0" fontId="52" fillId="0" borderId="0" xfId="0" applyFont="1" applyAlignment="1">
      <alignment horizontal="center" vertical="center"/>
    </xf>
    <xf numFmtId="14" fontId="54" fillId="0" borderId="0" xfId="0" applyNumberFormat="1" applyFont="1" applyAlignment="1">
      <alignment vertical="center"/>
    </xf>
    <xf numFmtId="4" fontId="51" fillId="0" borderId="0" xfId="0" applyNumberFormat="1" applyFont="1" applyAlignment="1">
      <alignment horizontal="center" vertical="center" wrapText="1"/>
    </xf>
    <xf numFmtId="4" fontId="51" fillId="0" borderId="29" xfId="0" applyNumberFormat="1" applyFont="1" applyBorder="1" applyAlignment="1">
      <alignment horizontal="center" vertical="center" wrapText="1"/>
    </xf>
    <xf numFmtId="0" fontId="51" fillId="0" borderId="52" xfId="0" applyFont="1" applyBorder="1" applyAlignment="1">
      <alignment horizontal="center" vertical="center" wrapText="1"/>
    </xf>
    <xf numFmtId="4" fontId="51" fillId="0" borderId="53" xfId="0" applyNumberFormat="1" applyFont="1" applyBorder="1" applyAlignment="1">
      <alignment horizontal="center" vertical="center" wrapText="1"/>
    </xf>
    <xf numFmtId="4" fontId="51" fillId="0" borderId="54" xfId="0" applyNumberFormat="1" applyFont="1" applyBorder="1" applyAlignment="1">
      <alignment horizontal="center" vertical="center" wrapText="1"/>
    </xf>
    <xf numFmtId="4" fontId="51" fillId="0" borderId="55" xfId="0" applyNumberFormat="1" applyFont="1" applyBorder="1" applyAlignment="1">
      <alignment horizontal="center" vertical="center" wrapText="1"/>
    </xf>
    <xf numFmtId="4" fontId="51" fillId="0" borderId="56" xfId="0" applyNumberFormat="1" applyFont="1" applyBorder="1" applyAlignment="1">
      <alignment horizontal="center" vertical="center" wrapText="1"/>
    </xf>
    <xf numFmtId="4" fontId="51" fillId="0" borderId="57" xfId="0" applyNumberFormat="1" applyFont="1" applyBorder="1" applyAlignment="1">
      <alignment horizontal="center" vertical="center" wrapText="1"/>
    </xf>
    <xf numFmtId="4" fontId="51" fillId="0" borderId="58" xfId="0" applyNumberFormat="1" applyFont="1" applyBorder="1" applyAlignment="1">
      <alignment horizontal="center" vertical="center" wrapText="1"/>
    </xf>
    <xf numFmtId="4" fontId="51" fillId="0" borderId="59" xfId="0" applyNumberFormat="1" applyFont="1" applyBorder="1" applyAlignment="1">
      <alignment horizontal="center" vertical="center" wrapText="1"/>
    </xf>
    <xf numFmtId="4" fontId="51" fillId="0" borderId="60" xfId="0" applyNumberFormat="1" applyFont="1" applyBorder="1" applyAlignment="1">
      <alignment horizontal="center" vertical="center" wrapText="1"/>
    </xf>
    <xf numFmtId="4" fontId="51" fillId="0" borderId="61" xfId="0" applyNumberFormat="1" applyFont="1" applyBorder="1" applyAlignment="1">
      <alignment horizontal="center" vertical="center" wrapText="1"/>
    </xf>
    <xf numFmtId="4" fontId="51" fillId="0" borderId="62" xfId="0" applyNumberFormat="1" applyFont="1" applyBorder="1" applyAlignment="1">
      <alignment horizontal="center" vertical="center" wrapText="1"/>
    </xf>
    <xf numFmtId="0" fontId="55" fillId="0" borderId="5" xfId="0" applyFont="1" applyBorder="1" applyAlignment="1">
      <alignment vertical="center" wrapText="1"/>
    </xf>
    <xf numFmtId="4" fontId="56" fillId="0" borderId="66" xfId="0" applyNumberFormat="1" applyFont="1" applyBorder="1" applyAlignment="1">
      <alignment horizontal="center" vertical="center" wrapText="1"/>
    </xf>
    <xf numFmtId="4" fontId="56" fillId="0" borderId="67" xfId="0" applyNumberFormat="1" applyFont="1" applyBorder="1" applyAlignment="1">
      <alignment horizontal="center" vertical="center" wrapText="1"/>
    </xf>
    <xf numFmtId="4" fontId="56" fillId="0" borderId="68" xfId="0" applyNumberFormat="1" applyFont="1" applyBorder="1" applyAlignment="1">
      <alignment horizontal="center" vertical="center" wrapText="1"/>
    </xf>
    <xf numFmtId="4" fontId="56" fillId="0" borderId="0" xfId="0" applyNumberFormat="1" applyFont="1" applyAlignment="1">
      <alignment horizontal="center" vertical="center" wrapText="1"/>
    </xf>
    <xf numFmtId="4" fontId="56" fillId="0" borderId="69" xfId="0" applyNumberFormat="1" applyFont="1" applyBorder="1" applyAlignment="1">
      <alignment horizontal="center" vertical="center" wrapText="1"/>
    </xf>
    <xf numFmtId="4" fontId="56" fillId="0" borderId="70" xfId="0" applyNumberFormat="1" applyFont="1" applyBorder="1" applyAlignment="1">
      <alignment horizontal="center" vertical="center" wrapText="1"/>
    </xf>
    <xf numFmtId="4" fontId="56" fillId="0" borderId="71" xfId="0" applyNumberFormat="1" applyFont="1" applyBorder="1" applyAlignment="1">
      <alignment horizontal="center" vertical="center" wrapText="1"/>
    </xf>
    <xf numFmtId="4" fontId="56" fillId="0" borderId="72" xfId="0" applyNumberFormat="1" applyFont="1" applyBorder="1" applyAlignment="1">
      <alignment horizontal="center" vertical="center" wrapText="1"/>
    </xf>
    <xf numFmtId="0" fontId="57" fillId="0" borderId="0" xfId="0" applyFont="1" applyAlignment="1">
      <alignment horizontal="center" vertical="center"/>
    </xf>
    <xf numFmtId="0" fontId="58" fillId="0" borderId="28" xfId="0" applyFont="1" applyBorder="1" applyAlignment="1">
      <alignment vertical="center" wrapText="1"/>
    </xf>
    <xf numFmtId="0" fontId="50" fillId="0" borderId="0" xfId="0" applyFont="1" applyAlignment="1">
      <alignment vertical="center"/>
    </xf>
    <xf numFmtId="176" fontId="40" fillId="16" borderId="73" xfId="0" applyNumberFormat="1" applyFont="1" applyFill="1" applyBorder="1" applyAlignment="1">
      <alignment vertical="center" wrapText="1"/>
    </xf>
    <xf numFmtId="0" fontId="40" fillId="16" borderId="73" xfId="0" applyFont="1" applyFill="1" applyBorder="1" applyAlignment="1">
      <alignment vertical="center" wrapText="1"/>
    </xf>
    <xf numFmtId="0" fontId="40" fillId="16" borderId="73" xfId="0" applyFont="1" applyFill="1" applyBorder="1" applyAlignment="1">
      <alignment horizontal="center" vertical="center" wrapText="1"/>
    </xf>
    <xf numFmtId="176" fontId="0" fillId="0" borderId="73" xfId="0" applyNumberFormat="1" applyBorder="1" applyAlignment="1">
      <alignment horizontal="center" vertical="center"/>
    </xf>
    <xf numFmtId="2" fontId="0" fillId="0" borderId="73" xfId="0" applyNumberFormat="1" applyBorder="1" applyAlignment="1">
      <alignment horizontal="center" vertical="center"/>
    </xf>
    <xf numFmtId="2" fontId="6" fillId="0" borderId="73" xfId="0" applyNumberFormat="1" applyFont="1" applyBorder="1" applyAlignment="1">
      <alignment horizontal="center" vertical="center"/>
    </xf>
    <xf numFmtId="4" fontId="0" fillId="0" borderId="74" xfId="0" applyNumberFormat="1" applyBorder="1" applyAlignment="1">
      <alignment horizontal="center" vertical="center"/>
    </xf>
    <xf numFmtId="4" fontId="0" fillId="0" borderId="75" xfId="0" applyNumberFormat="1" applyBorder="1" applyAlignment="1">
      <alignment horizontal="center" vertical="center"/>
    </xf>
    <xf numFmtId="4" fontId="0" fillId="0" borderId="76" xfId="0" applyNumberFormat="1" applyBorder="1" applyAlignment="1">
      <alignment horizontal="center" vertical="center"/>
    </xf>
    <xf numFmtId="4" fontId="0" fillId="0" borderId="77" xfId="0" applyNumberFormat="1" applyBorder="1" applyAlignment="1">
      <alignment horizontal="center" vertical="center"/>
    </xf>
    <xf numFmtId="0" fontId="55" fillId="21" borderId="29" xfId="0" applyFont="1" applyFill="1" applyBorder="1" applyAlignment="1">
      <alignment vertical="center" wrapText="1"/>
    </xf>
    <xf numFmtId="176" fontId="40" fillId="0" borderId="73" xfId="0" applyNumberFormat="1" applyFont="1" applyBorder="1" applyAlignment="1">
      <alignment vertical="center" wrapText="1"/>
    </xf>
    <xf numFmtId="0" fontId="40" fillId="0" borderId="73" xfId="0" applyFont="1" applyBorder="1" applyAlignment="1">
      <alignment vertical="center" wrapText="1"/>
    </xf>
    <xf numFmtId="0" fontId="40" fillId="0" borderId="73" xfId="0" applyFont="1" applyBorder="1" applyAlignment="1">
      <alignment horizontal="center" vertical="center" wrapText="1"/>
    </xf>
    <xf numFmtId="4" fontId="0" fillId="0" borderId="78" xfId="0" applyNumberFormat="1" applyBorder="1" applyAlignment="1">
      <alignment horizontal="center" vertical="center"/>
    </xf>
    <xf numFmtId="4" fontId="0" fillId="0" borderId="79" xfId="0" applyNumberFormat="1" applyBorder="1" applyAlignment="1">
      <alignment horizontal="center" vertical="center"/>
    </xf>
    <xf numFmtId="4" fontId="0" fillId="0" borderId="80" xfId="0" applyNumberFormat="1" applyBorder="1" applyAlignment="1">
      <alignment horizontal="center" vertical="center"/>
    </xf>
    <xf numFmtId="4" fontId="0" fillId="0" borderId="81" xfId="0" applyNumberFormat="1" applyBorder="1" applyAlignment="1">
      <alignment horizontal="center" vertical="center"/>
    </xf>
    <xf numFmtId="4" fontId="0" fillId="0" borderId="82" xfId="0" applyNumberFormat="1" applyBorder="1" applyAlignment="1">
      <alignment horizontal="center" vertical="center"/>
    </xf>
    <xf numFmtId="0" fontId="54" fillId="0" borderId="5" xfId="0" applyFont="1" applyBorder="1" applyAlignment="1">
      <alignment vertical="center" wrapText="1"/>
    </xf>
    <xf numFmtId="0" fontId="54" fillId="0" borderId="24" xfId="0" applyFont="1" applyBorder="1" applyAlignment="1">
      <alignment vertical="center"/>
    </xf>
    <xf numFmtId="0" fontId="7" fillId="0" borderId="24" xfId="3" applyFont="1" applyBorder="1" applyAlignment="1">
      <alignment vertical="center" wrapText="1"/>
    </xf>
    <xf numFmtId="4" fontId="0" fillId="0" borderId="83" xfId="0" applyNumberFormat="1" applyBorder="1" applyAlignment="1">
      <alignment horizontal="center" vertical="center"/>
    </xf>
    <xf numFmtId="4" fontId="0" fillId="0" borderId="84" xfId="0" applyNumberFormat="1" applyBorder="1" applyAlignment="1">
      <alignment horizontal="center" vertical="center"/>
    </xf>
    <xf numFmtId="4" fontId="0" fillId="0" borderId="85" xfId="0" applyNumberFormat="1" applyBorder="1" applyAlignment="1">
      <alignment horizontal="center" vertical="center"/>
    </xf>
    <xf numFmtId="4" fontId="0" fillId="0" borderId="86" xfId="0" applyNumberFormat="1" applyBorder="1" applyAlignment="1">
      <alignment horizontal="center" vertical="center"/>
    </xf>
    <xf numFmtId="4" fontId="0" fillId="0" borderId="87" xfId="0" applyNumberFormat="1" applyBorder="1" applyAlignment="1">
      <alignment horizontal="center" vertical="center"/>
    </xf>
    <xf numFmtId="0" fontId="54" fillId="0" borderId="28" xfId="0" applyFont="1" applyBorder="1" applyAlignment="1">
      <alignment vertical="center" wrapText="1"/>
    </xf>
    <xf numFmtId="4" fontId="0" fillId="0" borderId="88" xfId="0" applyNumberFormat="1" applyBorder="1" applyAlignment="1">
      <alignment horizontal="center" vertical="center"/>
    </xf>
    <xf numFmtId="4" fontId="0" fillId="0" borderId="89" xfId="0" applyNumberFormat="1" applyBorder="1" applyAlignment="1">
      <alignment horizontal="center" vertical="center"/>
    </xf>
    <xf numFmtId="0" fontId="0" fillId="0" borderId="73" xfId="0" applyBorder="1" applyAlignment="1">
      <alignment horizontal="center" vertical="center" wrapText="1"/>
    </xf>
    <xf numFmtId="2" fontId="0" fillId="0" borderId="73" xfId="0" applyNumberFormat="1" applyBorder="1" applyAlignment="1">
      <alignment horizontal="center" vertical="center" wrapText="1"/>
    </xf>
    <xf numFmtId="0" fontId="54" fillId="0" borderId="29" xfId="0" applyFont="1" applyBorder="1" applyAlignment="1">
      <alignment vertical="center" wrapText="1"/>
    </xf>
    <xf numFmtId="2" fontId="12" fillId="0" borderId="73" xfId="0" applyNumberFormat="1" applyFont="1" applyBorder="1" applyAlignment="1">
      <alignment horizontal="center" vertical="center" wrapText="1"/>
    </xf>
    <xf numFmtId="4" fontId="0" fillId="0" borderId="90" xfId="0" applyNumberFormat="1" applyBorder="1" applyAlignment="1">
      <alignment horizontal="center" vertical="center"/>
    </xf>
    <xf numFmtId="4" fontId="0" fillId="0" borderId="91" xfId="0" applyNumberFormat="1" applyBorder="1" applyAlignment="1">
      <alignment horizontal="center" vertical="center"/>
    </xf>
    <xf numFmtId="4" fontId="0" fillId="0" borderId="92" xfId="0" applyNumberFormat="1" applyBorder="1" applyAlignment="1">
      <alignment horizontal="center" vertical="center"/>
    </xf>
    <xf numFmtId="4" fontId="0" fillId="0" borderId="93" xfId="0" applyNumberFormat="1" applyBorder="1" applyAlignment="1">
      <alignment horizontal="center" vertical="center"/>
    </xf>
    <xf numFmtId="4" fontId="0" fillId="0" borderId="94" xfId="0" applyNumberFormat="1" applyBorder="1" applyAlignment="1">
      <alignment horizontal="center" vertical="center"/>
    </xf>
    <xf numFmtId="4" fontId="12" fillId="0" borderId="95" xfId="0" applyNumberFormat="1" applyFont="1" applyBorder="1" applyAlignment="1">
      <alignment horizontal="center" vertical="center" wrapText="1"/>
    </xf>
    <xf numFmtId="4" fontId="12" fillId="0" borderId="96" xfId="0" applyNumberFormat="1" applyFont="1" applyBorder="1" applyAlignment="1">
      <alignment horizontal="center" vertical="center" wrapText="1"/>
    </xf>
    <xf numFmtId="4" fontId="12" fillId="0" borderId="97" xfId="0" applyNumberFormat="1" applyFont="1" applyBorder="1" applyAlignment="1">
      <alignment horizontal="center" vertical="center" wrapText="1"/>
    </xf>
    <xf numFmtId="0" fontId="12" fillId="0" borderId="73" xfId="0" applyFont="1" applyBorder="1" applyAlignment="1">
      <alignment horizontal="center" vertical="center"/>
    </xf>
    <xf numFmtId="4" fontId="0" fillId="0" borderId="95" xfId="0" applyNumberFormat="1" applyBorder="1" applyAlignment="1">
      <alignment vertical="center" wrapText="1"/>
    </xf>
    <xf numFmtId="4" fontId="0" fillId="0" borderId="98" xfId="0" applyNumberFormat="1" applyBorder="1" applyAlignment="1">
      <alignment vertical="center" wrapText="1"/>
    </xf>
    <xf numFmtId="4" fontId="0" fillId="0" borderId="96" xfId="0" applyNumberFormat="1" applyBorder="1" applyAlignment="1">
      <alignment vertical="center" wrapText="1"/>
    </xf>
    <xf numFmtId="4" fontId="0" fillId="0" borderId="99" xfId="0" applyNumberFormat="1" applyBorder="1" applyAlignment="1">
      <alignment vertical="center" wrapText="1"/>
    </xf>
    <xf numFmtId="4" fontId="0" fillId="0" borderId="100" xfId="0" applyNumberFormat="1" applyBorder="1" applyAlignment="1">
      <alignment vertical="center" wrapText="1"/>
    </xf>
    <xf numFmtId="4" fontId="0" fillId="0" borderId="101" xfId="0" applyNumberFormat="1" applyBorder="1" applyAlignment="1">
      <alignment vertical="center" wrapText="1"/>
    </xf>
    <xf numFmtId="4" fontId="0" fillId="0" borderId="102" xfId="0" applyNumberFormat="1" applyBorder="1" applyAlignment="1">
      <alignment vertical="center" wrapText="1"/>
    </xf>
    <xf numFmtId="4" fontId="0" fillId="0" borderId="97" xfId="0" applyNumberFormat="1" applyBorder="1" applyAlignment="1">
      <alignment vertical="center" wrapText="1"/>
    </xf>
    <xf numFmtId="4" fontId="0" fillId="0" borderId="90" xfId="0" applyNumberFormat="1" applyBorder="1" applyAlignment="1">
      <alignment vertical="center"/>
    </xf>
    <xf numFmtId="4" fontId="0" fillId="0" borderId="91" xfId="0" applyNumberFormat="1" applyBorder="1" applyAlignment="1">
      <alignment vertical="center"/>
    </xf>
    <xf numFmtId="4" fontId="0" fillId="0" borderId="92" xfId="0" applyNumberFormat="1" applyBorder="1" applyAlignment="1">
      <alignment vertical="center"/>
    </xf>
    <xf numFmtId="4" fontId="0" fillId="0" borderId="72" xfId="0" applyNumberFormat="1" applyBorder="1" applyAlignment="1">
      <alignment vertical="center"/>
    </xf>
    <xf numFmtId="176" fontId="12" fillId="0" borderId="73" xfId="0" applyNumberFormat="1" applyFont="1" applyBorder="1" applyAlignment="1">
      <alignment horizontal="center" vertical="center"/>
    </xf>
    <xf numFmtId="0" fontId="12" fillId="0" borderId="73" xfId="0" applyFont="1" applyBorder="1" applyAlignment="1">
      <alignment horizontal="center" vertical="center" wrapText="1"/>
    </xf>
    <xf numFmtId="4" fontId="0" fillId="0" borderId="0" xfId="0" applyNumberFormat="1" applyAlignment="1">
      <alignment horizontal="center" vertical="center" wrapText="1"/>
    </xf>
    <xf numFmtId="4" fontId="0" fillId="0" borderId="90" xfId="0" applyNumberFormat="1" applyBorder="1" applyAlignment="1">
      <alignment horizontal="center" vertical="center" wrapText="1"/>
    </xf>
    <xf numFmtId="4" fontId="0" fillId="0" borderId="92" xfId="0" applyNumberFormat="1" applyBorder="1" applyAlignment="1">
      <alignment horizontal="center" vertical="center" wrapText="1"/>
    </xf>
    <xf numFmtId="4" fontId="0" fillId="0" borderId="97" xfId="0" applyNumberFormat="1" applyBorder="1" applyAlignment="1">
      <alignment horizontal="center" vertical="center" wrapText="1"/>
    </xf>
    <xf numFmtId="0" fontId="0" fillId="0" borderId="75" xfId="0" applyBorder="1" applyAlignment="1">
      <alignment horizontal="center" vertical="center"/>
    </xf>
    <xf numFmtId="0" fontId="0" fillId="0" borderId="76" xfId="0" applyBorder="1" applyAlignment="1">
      <alignment horizontal="center" vertical="center"/>
    </xf>
    <xf numFmtId="4" fontId="0" fillId="0" borderId="91" xfId="0" applyNumberFormat="1" applyBorder="1" applyAlignment="1">
      <alignment horizontal="center" vertical="center" wrapText="1"/>
    </xf>
    <xf numFmtId="4" fontId="0" fillId="0" borderId="95" xfId="0" applyNumberFormat="1" applyBorder="1" applyAlignment="1">
      <alignment horizontal="center" vertical="center" wrapText="1"/>
    </xf>
    <xf numFmtId="4" fontId="0" fillId="0" borderId="96" xfId="0" applyNumberFormat="1" applyBorder="1" applyAlignment="1">
      <alignment horizontal="center" vertical="center" wrapText="1"/>
    </xf>
    <xf numFmtId="4" fontId="0" fillId="0" borderId="77" xfId="0" applyNumberFormat="1" applyBorder="1" applyAlignment="1">
      <alignment horizontal="center" vertical="center" wrapText="1"/>
    </xf>
    <xf numFmtId="0" fontId="0" fillId="0" borderId="74" xfId="0" applyBorder="1" applyAlignment="1">
      <alignment horizontal="center" vertical="center"/>
    </xf>
    <xf numFmtId="4" fontId="0" fillId="0" borderId="97" xfId="0" applyNumberFormat="1" applyBorder="1" applyAlignment="1">
      <alignment horizontal="center" vertical="center"/>
    </xf>
    <xf numFmtId="4" fontId="0" fillId="0" borderId="75" xfId="0" applyNumberFormat="1" applyBorder="1" applyAlignment="1">
      <alignment horizontal="center" vertical="center" wrapText="1"/>
    </xf>
    <xf numFmtId="4" fontId="0" fillId="0" borderId="76" xfId="0" applyNumberFormat="1" applyBorder="1" applyAlignment="1">
      <alignment horizontal="center" vertical="center" wrapText="1"/>
    </xf>
    <xf numFmtId="4" fontId="0" fillId="0" borderId="103" xfId="0" applyNumberFormat="1" applyBorder="1" applyAlignment="1">
      <alignment horizontal="center" vertical="center" wrapText="1"/>
    </xf>
    <xf numFmtId="4" fontId="0" fillId="0" borderId="104" xfId="0" applyNumberFormat="1" applyBorder="1" applyAlignment="1">
      <alignment horizontal="center" vertical="center" wrapText="1"/>
    </xf>
    <xf numFmtId="4" fontId="0" fillId="0" borderId="94" xfId="0" applyNumberFormat="1" applyBorder="1" applyAlignment="1">
      <alignment horizontal="center" vertical="center" wrapText="1"/>
    </xf>
    <xf numFmtId="176" fontId="41" fillId="16" borderId="73" xfId="0" applyNumberFormat="1" applyFont="1" applyFill="1" applyBorder="1" applyAlignment="1">
      <alignment vertical="center" wrapText="1"/>
    </xf>
    <xf numFmtId="0" fontId="41" fillId="16" borderId="73" xfId="0" applyFont="1" applyFill="1" applyBorder="1" applyAlignment="1">
      <alignment vertical="center" wrapText="1"/>
    </xf>
    <xf numFmtId="0" fontId="41" fillId="16" borderId="73" xfId="0" applyFont="1" applyFill="1" applyBorder="1" applyAlignment="1">
      <alignment horizontal="center" vertical="center" wrapText="1"/>
    </xf>
    <xf numFmtId="0" fontId="41" fillId="0" borderId="73" xfId="0" applyFont="1" applyBorder="1" applyAlignment="1">
      <alignment horizontal="center" vertical="center"/>
    </xf>
    <xf numFmtId="2" fontId="0" fillId="0" borderId="73" xfId="0" applyNumberFormat="1" applyBorder="1" applyAlignment="1">
      <alignment vertical="center" wrapText="1"/>
    </xf>
    <xf numFmtId="4" fontId="0" fillId="0" borderId="105" xfId="0" applyNumberFormat="1" applyBorder="1" applyAlignment="1">
      <alignment vertical="center" wrapText="1"/>
    </xf>
    <xf numFmtId="4" fontId="0" fillId="0" borderId="106" xfId="0" applyNumberFormat="1" applyBorder="1" applyAlignment="1">
      <alignment vertical="center" wrapText="1"/>
    </xf>
    <xf numFmtId="4" fontId="0" fillId="0" borderId="107" xfId="0" applyNumberFormat="1" applyBorder="1" applyAlignment="1">
      <alignment vertical="center" wrapText="1"/>
    </xf>
    <xf numFmtId="4" fontId="0" fillId="0" borderId="105" xfId="0" applyNumberFormat="1" applyBorder="1" applyAlignment="1">
      <alignment vertical="center"/>
    </xf>
    <xf numFmtId="4" fontId="0" fillId="0" borderId="106" xfId="0" applyNumberFormat="1" applyBorder="1" applyAlignment="1">
      <alignment vertical="center"/>
    </xf>
    <xf numFmtId="4" fontId="0" fillId="0" borderId="108" xfId="0" applyNumberFormat="1" applyBorder="1" applyAlignment="1">
      <alignment vertical="center"/>
    </xf>
    <xf numFmtId="4" fontId="0" fillId="0" borderId="18" xfId="0" applyNumberFormat="1" applyBorder="1" applyAlignment="1">
      <alignment vertical="center"/>
    </xf>
    <xf numFmtId="4" fontId="41" fillId="0" borderId="0" xfId="0" applyNumberFormat="1" applyFont="1" applyAlignment="1">
      <alignment horizontal="center" vertical="center"/>
    </xf>
    <xf numFmtId="4" fontId="0" fillId="0" borderId="109" xfId="0" applyNumberFormat="1" applyBorder="1" applyAlignment="1">
      <alignment vertical="center" wrapText="1"/>
    </xf>
    <xf numFmtId="4" fontId="0" fillId="0" borderId="110" xfId="0" applyNumberFormat="1" applyBorder="1" applyAlignment="1">
      <alignment vertical="center" wrapText="1"/>
    </xf>
    <xf numFmtId="4" fontId="0" fillId="0" borderId="77" xfId="0" applyNumberFormat="1" applyBorder="1" applyAlignment="1">
      <alignment vertical="center" wrapText="1"/>
    </xf>
    <xf numFmtId="4" fontId="41" fillId="0" borderId="74" xfId="0" applyNumberFormat="1" applyFont="1" applyBorder="1" applyAlignment="1">
      <alignment horizontal="center" vertical="center"/>
    </xf>
    <xf numFmtId="4" fontId="41" fillId="0" borderId="75" xfId="0" applyNumberFormat="1" applyFont="1" applyBorder="1" applyAlignment="1">
      <alignment horizontal="center" vertical="center"/>
    </xf>
    <xf numFmtId="4" fontId="41" fillId="0" borderId="76" xfId="0" applyNumberFormat="1" applyFont="1" applyBorder="1" applyAlignment="1">
      <alignment horizontal="center" vertical="center"/>
    </xf>
    <xf numFmtId="0" fontId="41" fillId="0" borderId="0" xfId="0" applyFont="1" applyAlignment="1">
      <alignment vertical="center"/>
    </xf>
    <xf numFmtId="4" fontId="0" fillId="0" borderId="99" xfId="0" applyNumberFormat="1" applyBorder="1" applyAlignment="1">
      <alignment horizontal="center" vertical="center" wrapText="1"/>
    </xf>
    <xf numFmtId="4" fontId="0" fillId="0" borderId="100" xfId="0" applyNumberFormat="1" applyBorder="1" applyAlignment="1">
      <alignment horizontal="center" vertical="center" wrapText="1"/>
    </xf>
    <xf numFmtId="4" fontId="0" fillId="0" borderId="101" xfId="0" applyNumberFormat="1" applyBorder="1" applyAlignment="1">
      <alignment horizontal="center" vertical="center" wrapText="1"/>
    </xf>
    <xf numFmtId="4" fontId="0" fillId="0" borderId="102" xfId="0" applyNumberFormat="1" applyBorder="1" applyAlignment="1">
      <alignment horizontal="center" vertical="center" wrapText="1"/>
    </xf>
    <xf numFmtId="4" fontId="0" fillId="0" borderId="111" xfId="0" applyNumberFormat="1" applyBorder="1" applyAlignment="1">
      <alignment horizontal="center" vertical="center" wrapText="1"/>
    </xf>
    <xf numFmtId="4" fontId="0" fillId="0" borderId="112" xfId="0" applyNumberFormat="1" applyBorder="1" applyAlignment="1">
      <alignment horizontal="center" vertical="center" wrapText="1"/>
    </xf>
    <xf numFmtId="4" fontId="0" fillId="0" borderId="93" xfId="0" applyNumberFormat="1" applyBorder="1" applyAlignment="1">
      <alignment horizontal="center" vertical="center" wrapText="1"/>
    </xf>
    <xf numFmtId="176" fontId="40" fillId="16" borderId="73" xfId="0" applyNumberFormat="1" applyFont="1" applyFill="1" applyBorder="1" applyAlignment="1">
      <alignment wrapText="1"/>
    </xf>
    <xf numFmtId="0" fontId="40" fillId="16" borderId="73" xfId="0" applyFont="1" applyFill="1" applyBorder="1" applyAlignment="1">
      <alignment wrapText="1"/>
    </xf>
    <xf numFmtId="0" fontId="40" fillId="16" borderId="73" xfId="0" applyFont="1" applyFill="1" applyBorder="1" applyAlignment="1">
      <alignment horizontal="center" wrapText="1"/>
    </xf>
    <xf numFmtId="176" fontId="0" fillId="0" borderId="73" xfId="0" applyNumberFormat="1" applyBorder="1" applyAlignment="1">
      <alignment horizontal="center" wrapText="1"/>
    </xf>
    <xf numFmtId="2" fontId="0" fillId="0" borderId="73" xfId="0" applyNumberFormat="1" applyBorder="1" applyAlignment="1">
      <alignment horizontal="center" wrapText="1"/>
    </xf>
    <xf numFmtId="4" fontId="0" fillId="0" borderId="113" xfId="0" applyNumberFormat="1" applyBorder="1" applyAlignment="1">
      <alignment horizontal="center" vertical="center"/>
    </xf>
    <xf numFmtId="4" fontId="0" fillId="0" borderId="114" xfId="0" applyNumberFormat="1" applyBorder="1" applyAlignment="1">
      <alignment horizontal="center" vertical="center"/>
    </xf>
    <xf numFmtId="4" fontId="0" fillId="0" borderId="115" xfId="0" applyNumberFormat="1" applyBorder="1" applyAlignment="1">
      <alignment horizontal="center" vertical="center"/>
    </xf>
    <xf numFmtId="4" fontId="0" fillId="0" borderId="116" xfId="0" applyNumberFormat="1" applyBorder="1" applyAlignment="1">
      <alignment horizontal="center" vertical="center"/>
    </xf>
    <xf numFmtId="4" fontId="0" fillId="0" borderId="65" xfId="0" applyNumberFormat="1" applyBorder="1" applyAlignment="1">
      <alignment horizontal="center" vertical="center"/>
    </xf>
    <xf numFmtId="4" fontId="0" fillId="0" borderId="0" xfId="0" applyNumberFormat="1" applyAlignment="1">
      <alignment horizontal="center"/>
    </xf>
    <xf numFmtId="4" fontId="0" fillId="0" borderId="75" xfId="0" applyNumberFormat="1" applyBorder="1" applyAlignment="1">
      <alignment horizontal="center"/>
    </xf>
    <xf numFmtId="4" fontId="0" fillId="0" borderId="76" xfId="0" applyNumberFormat="1" applyBorder="1" applyAlignment="1">
      <alignment horizontal="center"/>
    </xf>
    <xf numFmtId="176" fontId="0" fillId="0" borderId="73" xfId="0" applyNumberFormat="1" applyBorder="1" applyAlignment="1">
      <alignment horizontal="center" vertical="center" wrapText="1"/>
    </xf>
    <xf numFmtId="4" fontId="0" fillId="0" borderId="117" xfId="0" applyNumberFormat="1" applyBorder="1" applyAlignment="1">
      <alignment horizontal="center" vertical="center" wrapText="1"/>
    </xf>
    <xf numFmtId="4" fontId="0" fillId="0" borderId="105" xfId="0" applyNumberFormat="1" applyBorder="1" applyAlignment="1">
      <alignment horizontal="center" vertical="center" wrapText="1"/>
    </xf>
    <xf numFmtId="4" fontId="0" fillId="0" borderId="106" xfId="0" applyNumberFormat="1" applyBorder="1" applyAlignment="1">
      <alignment horizontal="center" vertical="center" wrapText="1"/>
    </xf>
    <xf numFmtId="4" fontId="0" fillId="0" borderId="108" xfId="0" applyNumberFormat="1" applyBorder="1" applyAlignment="1">
      <alignment horizontal="center" vertical="center" wrapText="1"/>
    </xf>
    <xf numFmtId="4" fontId="0" fillId="0" borderId="18" xfId="0" applyNumberFormat="1" applyBorder="1" applyAlignment="1">
      <alignment horizontal="center" vertical="center" wrapText="1"/>
    </xf>
    <xf numFmtId="4" fontId="0" fillId="0" borderId="109" xfId="0" applyNumberFormat="1" applyBorder="1" applyAlignment="1">
      <alignment horizontal="center" vertical="center" wrapText="1"/>
    </xf>
    <xf numFmtId="4" fontId="0" fillId="0" borderId="110" xfId="0" applyNumberFormat="1" applyBorder="1" applyAlignment="1">
      <alignment horizontal="center" vertical="center" wrapText="1"/>
    </xf>
    <xf numFmtId="176" fontId="40" fillId="16" borderId="118" xfId="0" applyNumberFormat="1" applyFont="1" applyFill="1" applyBorder="1" applyAlignment="1">
      <alignment vertical="center" wrapText="1"/>
    </xf>
    <xf numFmtId="0" fontId="40" fillId="16" borderId="118" xfId="0" applyFont="1" applyFill="1" applyBorder="1" applyAlignment="1">
      <alignment vertical="center" wrapText="1"/>
    </xf>
    <xf numFmtId="0" fontId="40" fillId="16" borderId="118" xfId="0" applyFont="1" applyFill="1" applyBorder="1" applyAlignment="1">
      <alignment horizontal="center" vertical="center" wrapText="1"/>
    </xf>
    <xf numFmtId="0" fontId="0" fillId="0" borderId="118" xfId="0" applyBorder="1" applyAlignment="1">
      <alignment horizontal="center" vertical="center" wrapText="1"/>
    </xf>
    <xf numFmtId="2" fontId="0" fillId="0" borderId="118" xfId="0" applyNumberFormat="1" applyBorder="1" applyAlignment="1">
      <alignment horizontal="center" vertical="center" wrapText="1"/>
    </xf>
    <xf numFmtId="2" fontId="6" fillId="0" borderId="118" xfId="0" applyNumberFormat="1" applyFont="1" applyBorder="1" applyAlignment="1">
      <alignment horizontal="center" vertical="center"/>
    </xf>
    <xf numFmtId="4" fontId="0" fillId="0" borderId="119" xfId="0" applyNumberFormat="1" applyBorder="1" applyAlignment="1">
      <alignment horizontal="center" vertical="center"/>
    </xf>
    <xf numFmtId="4" fontId="0" fillId="0" borderId="120" xfId="0" applyNumberFormat="1" applyBorder="1" applyAlignment="1">
      <alignment horizontal="center" vertical="center"/>
    </xf>
    <xf numFmtId="4" fontId="0" fillId="0" borderId="121" xfId="0" applyNumberFormat="1" applyBorder="1" applyAlignment="1">
      <alignment horizontal="center" vertical="center"/>
    </xf>
    <xf numFmtId="4" fontId="0" fillId="0" borderId="122" xfId="0" applyNumberFormat="1" applyBorder="1" applyAlignment="1">
      <alignment horizontal="center" vertical="center"/>
    </xf>
    <xf numFmtId="4" fontId="0" fillId="0" borderId="123" xfId="0" applyNumberFormat="1" applyBorder="1" applyAlignment="1">
      <alignment horizontal="center" vertical="center"/>
    </xf>
    <xf numFmtId="4" fontId="0" fillId="0" borderId="124" xfId="0" applyNumberFormat="1" applyBorder="1" applyAlignment="1">
      <alignment horizontal="center" vertical="center"/>
    </xf>
    <xf numFmtId="4" fontId="0" fillId="0" borderId="125" xfId="0" applyNumberFormat="1" applyBorder="1" applyAlignment="1">
      <alignment horizontal="center" vertical="center"/>
    </xf>
    <xf numFmtId="4" fontId="0" fillId="0" borderId="126" xfId="0" applyNumberFormat="1" applyBorder="1" applyAlignment="1">
      <alignment horizontal="center" vertical="center"/>
    </xf>
    <xf numFmtId="0" fontId="60" fillId="16" borderId="0" xfId="0" applyFont="1" applyFill="1" applyAlignment="1">
      <alignment vertical="center" wrapText="1"/>
    </xf>
    <xf numFmtId="0" fontId="40" fillId="16" borderId="127" xfId="0" applyFont="1" applyFill="1" applyBorder="1" applyAlignment="1">
      <alignment vertical="center" wrapText="1"/>
    </xf>
    <xf numFmtId="0" fontId="0" fillId="0" borderId="0" xfId="0" applyAlignment="1">
      <alignment horizontal="left"/>
    </xf>
    <xf numFmtId="167" fontId="61" fillId="0" borderId="34" xfId="5" applyNumberFormat="1" applyFont="1" applyBorder="1" applyAlignment="1">
      <alignment vertical="center"/>
    </xf>
    <xf numFmtId="167" fontId="22" fillId="0" borderId="34" xfId="5" applyNumberFormat="1" applyFont="1" applyBorder="1" applyAlignment="1">
      <alignment vertical="center"/>
    </xf>
    <xf numFmtId="176" fontId="65" fillId="16" borderId="40" xfId="0" applyNumberFormat="1" applyFont="1" applyFill="1" applyBorder="1" applyAlignment="1">
      <alignment horizontal="left" vertical="top" wrapText="1"/>
    </xf>
    <xf numFmtId="0" fontId="65" fillId="16" borderId="40" xfId="0" applyFont="1" applyFill="1" applyBorder="1" applyAlignment="1">
      <alignment horizontal="left" vertical="top" wrapText="1"/>
    </xf>
    <xf numFmtId="169" fontId="65" fillId="16" borderId="40" xfId="0" applyNumberFormat="1" applyFont="1" applyFill="1" applyBorder="1" applyAlignment="1">
      <alignment horizontal="right" vertical="top" wrapText="1"/>
    </xf>
    <xf numFmtId="170" fontId="65" fillId="16" borderId="40" xfId="0" applyNumberFormat="1" applyFont="1" applyFill="1" applyBorder="1" applyAlignment="1">
      <alignment horizontal="right" vertical="top" wrapText="1"/>
    </xf>
    <xf numFmtId="171" fontId="65" fillId="16" borderId="40" xfId="0" applyNumberFormat="1" applyFont="1" applyFill="1" applyBorder="1" applyAlignment="1">
      <alignment horizontal="right" vertical="top" wrapText="1"/>
    </xf>
    <xf numFmtId="0" fontId="4" fillId="9" borderId="19" xfId="0" applyFont="1" applyFill="1" applyBorder="1" applyAlignment="1">
      <alignment horizontal="center" vertical="center"/>
    </xf>
    <xf numFmtId="0" fontId="4" fillId="9" borderId="20" xfId="0" applyFont="1" applyFill="1" applyBorder="1" applyAlignment="1">
      <alignment horizontal="center" vertical="center"/>
    </xf>
    <xf numFmtId="0" fontId="4" fillId="9" borderId="10" xfId="0" applyFont="1" applyFill="1" applyBorder="1" applyAlignment="1">
      <alignment horizontal="center" vertical="center"/>
    </xf>
    <xf numFmtId="0" fontId="4" fillId="9" borderId="13" xfId="0" applyFont="1" applyFill="1" applyBorder="1" applyAlignment="1">
      <alignment horizontal="center" vertical="center"/>
    </xf>
    <xf numFmtId="0" fontId="4" fillId="9" borderId="2" xfId="0" applyFont="1" applyFill="1" applyBorder="1" applyAlignment="1">
      <alignment horizontal="center" vertical="center" wrapText="1"/>
    </xf>
    <xf numFmtId="0" fontId="4" fillId="9" borderId="3" xfId="0" applyFont="1" applyFill="1" applyBorder="1" applyAlignment="1">
      <alignment horizontal="center" vertical="center" wrapText="1"/>
    </xf>
    <xf numFmtId="0" fontId="6" fillId="9" borderId="1" xfId="0" applyFont="1" applyFill="1" applyBorder="1" applyAlignment="1">
      <alignment horizontal="center" vertical="center"/>
    </xf>
    <xf numFmtId="0" fontId="6" fillId="9" borderId="2" xfId="0" applyFont="1" applyFill="1" applyBorder="1" applyAlignment="1">
      <alignment horizontal="center" vertical="center"/>
    </xf>
    <xf numFmtId="0" fontId="6" fillId="9" borderId="3" xfId="0" applyFont="1" applyFill="1" applyBorder="1" applyAlignment="1">
      <alignment horizontal="center" vertical="center"/>
    </xf>
    <xf numFmtId="49" fontId="4" fillId="0" borderId="19" xfId="0" applyNumberFormat="1" applyFont="1" applyBorder="1" applyAlignment="1">
      <alignment horizontal="center" vertical="center" wrapText="1"/>
    </xf>
    <xf numFmtId="49" fontId="4" fillId="0" borderId="17" xfId="0" applyNumberFormat="1" applyFont="1" applyBorder="1" applyAlignment="1">
      <alignment horizontal="center" vertical="center" wrapText="1"/>
    </xf>
    <xf numFmtId="49" fontId="4" fillId="0" borderId="20" xfId="0" applyNumberFormat="1" applyFont="1" applyBorder="1" applyAlignment="1">
      <alignment horizontal="center" vertical="center" wrapText="1"/>
    </xf>
    <xf numFmtId="0" fontId="13" fillId="0" borderId="5" xfId="2" applyFont="1" applyBorder="1" applyAlignment="1">
      <alignment horizontal="center" vertical="center" wrapText="1"/>
    </xf>
    <xf numFmtId="0" fontId="13" fillId="0" borderId="28" xfId="2" applyFont="1" applyBorder="1" applyAlignment="1">
      <alignment horizontal="center" vertical="center" wrapText="1"/>
    </xf>
    <xf numFmtId="0" fontId="13" fillId="0" borderId="29" xfId="2" applyFont="1" applyBorder="1" applyAlignment="1">
      <alignment horizontal="center" vertical="center" wrapText="1"/>
    </xf>
    <xf numFmtId="0" fontId="12" fillId="0" borderId="36" xfId="0" applyFont="1" applyBorder="1" applyAlignment="1">
      <alignment horizontal="center" vertical="center" wrapText="1"/>
    </xf>
    <xf numFmtId="0" fontId="12" fillId="0" borderId="41" xfId="0" applyFont="1" applyBorder="1" applyAlignment="1">
      <alignment horizontal="center" vertical="center" wrapText="1"/>
    </xf>
    <xf numFmtId="0" fontId="12" fillId="0" borderId="42" xfId="0" applyFont="1" applyBorder="1" applyAlignment="1">
      <alignment horizontal="center" vertical="center" wrapText="1"/>
    </xf>
    <xf numFmtId="2" fontId="11" fillId="0" borderId="36" xfId="3" applyNumberFormat="1" applyFont="1" applyBorder="1" applyAlignment="1">
      <alignment horizontal="center" vertical="center" shrinkToFit="1"/>
    </xf>
    <xf numFmtId="2" fontId="11" fillId="0" borderId="41" xfId="3" applyNumberFormat="1" applyFont="1" applyBorder="1" applyAlignment="1">
      <alignment horizontal="center" vertical="center" shrinkToFit="1"/>
    </xf>
    <xf numFmtId="2" fontId="11" fillId="0" borderId="42" xfId="3" applyNumberFormat="1" applyFont="1" applyBorder="1" applyAlignment="1">
      <alignment horizontal="center" vertical="center" shrinkToFit="1"/>
    </xf>
    <xf numFmtId="1" fontId="11" fillId="0" borderId="36" xfId="3" applyNumberFormat="1" applyFont="1" applyBorder="1" applyAlignment="1">
      <alignment horizontal="center" vertical="center" shrinkToFit="1"/>
    </xf>
    <xf numFmtId="1" fontId="11" fillId="0" borderId="41" xfId="3" applyNumberFormat="1" applyFont="1" applyBorder="1" applyAlignment="1">
      <alignment horizontal="center" vertical="center" shrinkToFit="1"/>
    </xf>
    <xf numFmtId="1" fontId="11" fillId="0" borderId="42" xfId="3" applyNumberFormat="1" applyFont="1" applyBorder="1" applyAlignment="1">
      <alignment horizontal="center" vertical="center" shrinkToFit="1"/>
    </xf>
    <xf numFmtId="0" fontId="18" fillId="10" borderId="24" xfId="2" applyFont="1" applyFill="1" applyBorder="1" applyAlignment="1">
      <alignment horizontal="center" vertical="center"/>
    </xf>
    <xf numFmtId="0" fontId="14" fillId="0" borderId="0" xfId="0" applyFont="1" applyAlignment="1">
      <alignment horizontal="left" vertical="center" wrapText="1"/>
    </xf>
    <xf numFmtId="0" fontId="29" fillId="12" borderId="24" xfId="5" applyFont="1" applyFill="1" applyBorder="1" applyAlignment="1">
      <alignment horizontal="center" vertical="center"/>
    </xf>
    <xf numFmtId="0" fontId="64" fillId="0" borderId="46" xfId="5" applyFont="1" applyBorder="1" applyAlignment="1">
      <alignment horizontal="center" vertical="center"/>
    </xf>
    <xf numFmtId="0" fontId="20" fillId="14" borderId="24" xfId="5" applyFont="1" applyFill="1" applyBorder="1" applyAlignment="1">
      <alignment horizontal="center" vertical="center"/>
    </xf>
    <xf numFmtId="0" fontId="23" fillId="14" borderId="24" xfId="5" applyFont="1" applyFill="1" applyBorder="1" applyAlignment="1">
      <alignment horizontal="center" vertical="center"/>
    </xf>
    <xf numFmtId="0" fontId="24" fillId="0" borderId="31" xfId="5" applyFont="1" applyBorder="1" applyAlignment="1">
      <alignment horizontal="right" vertical="center"/>
    </xf>
    <xf numFmtId="0" fontId="24" fillId="0" borderId="32" xfId="5" applyFont="1" applyBorder="1" applyAlignment="1">
      <alignment horizontal="right" vertical="center"/>
    </xf>
    <xf numFmtId="0" fontId="24" fillId="0" borderId="33" xfId="5" applyFont="1" applyBorder="1" applyAlignment="1">
      <alignment horizontal="right" vertical="center"/>
    </xf>
    <xf numFmtId="0" fontId="24" fillId="12" borderId="24" xfId="5" applyFont="1" applyFill="1" applyBorder="1" applyAlignment="1">
      <alignment horizontal="center" vertical="center"/>
    </xf>
    <xf numFmtId="0" fontId="25" fillId="0" borderId="24" xfId="5" applyFont="1" applyBorder="1" applyAlignment="1">
      <alignment horizontal="left" vertical="center"/>
    </xf>
    <xf numFmtId="0" fontId="31" fillId="12" borderId="24" xfId="5" applyFont="1" applyFill="1" applyBorder="1" applyAlignment="1">
      <alignment horizontal="center" vertical="center"/>
    </xf>
    <xf numFmtId="0" fontId="28" fillId="12" borderId="29" xfId="5" applyFont="1" applyFill="1" applyBorder="1" applyAlignment="1">
      <alignment horizontal="center" vertical="center"/>
    </xf>
    <xf numFmtId="0" fontId="16" fillId="0" borderId="32" xfId="2" applyFont="1" applyBorder="1" applyAlignment="1">
      <alignment horizontal="center" vertical="center"/>
    </xf>
    <xf numFmtId="0" fontId="16" fillId="0" borderId="33" xfId="2" applyFont="1" applyBorder="1" applyAlignment="1">
      <alignment horizontal="center" vertical="center"/>
    </xf>
    <xf numFmtId="0" fontId="25" fillId="0" borderId="24" xfId="5" applyFont="1" applyBorder="1" applyAlignment="1">
      <alignment horizontal="center" vertical="center"/>
    </xf>
    <xf numFmtId="0" fontId="26" fillId="12" borderId="7" xfId="5" applyFont="1" applyFill="1" applyBorder="1" applyAlignment="1">
      <alignment horizontal="left" vertical="center"/>
    </xf>
    <xf numFmtId="0" fontId="26" fillId="12" borderId="43" xfId="5" applyFont="1" applyFill="1" applyBorder="1" applyAlignment="1">
      <alignment horizontal="left" vertical="center"/>
    </xf>
    <xf numFmtId="0" fontId="26" fillId="12" borderId="44" xfId="5" applyFont="1" applyFill="1" applyBorder="1" applyAlignment="1">
      <alignment horizontal="left" vertical="center"/>
    </xf>
    <xf numFmtId="0" fontId="26" fillId="12" borderId="45" xfId="5" applyFont="1" applyFill="1" applyBorder="1" applyAlignment="1">
      <alignment horizontal="left" vertical="center"/>
    </xf>
    <xf numFmtId="0" fontId="26" fillId="12" borderId="46" xfId="5" applyFont="1" applyFill="1" applyBorder="1" applyAlignment="1">
      <alignment horizontal="left" vertical="center"/>
    </xf>
    <xf numFmtId="0" fontId="24" fillId="0" borderId="24" xfId="5" applyFont="1" applyBorder="1" applyAlignment="1">
      <alignment horizontal="right" vertical="center"/>
    </xf>
    <xf numFmtId="0" fontId="20" fillId="14" borderId="31" xfId="5" applyFont="1" applyFill="1" applyBorder="1" applyAlignment="1">
      <alignment horizontal="center" vertical="center"/>
    </xf>
    <xf numFmtId="0" fontId="20" fillId="14" borderId="32" xfId="5" applyFont="1" applyFill="1" applyBorder="1" applyAlignment="1">
      <alignment horizontal="center" vertical="center"/>
    </xf>
    <xf numFmtId="0" fontId="20" fillId="14" borderId="33" xfId="5" applyFont="1" applyFill="1" applyBorder="1" applyAlignment="1">
      <alignment horizontal="center" vertical="center"/>
    </xf>
    <xf numFmtId="0" fontId="23" fillId="14" borderId="31" xfId="5" applyFont="1" applyFill="1" applyBorder="1" applyAlignment="1">
      <alignment horizontal="center" vertical="center"/>
    </xf>
    <xf numFmtId="0" fontId="23" fillId="14" borderId="32" xfId="5" applyFont="1" applyFill="1" applyBorder="1" applyAlignment="1">
      <alignment horizontal="center" vertical="center"/>
    </xf>
    <xf numFmtId="0" fontId="23" fillId="14" borderId="33" xfId="5" applyFont="1" applyFill="1" applyBorder="1" applyAlignment="1">
      <alignment horizontal="center" vertical="center"/>
    </xf>
    <xf numFmtId="0" fontId="21" fillId="0" borderId="43" xfId="5" applyFont="1" applyBorder="1" applyAlignment="1">
      <alignment horizontal="center" vertical="center"/>
    </xf>
    <xf numFmtId="0" fontId="21" fillId="0" borderId="0" xfId="5" applyFont="1" applyAlignment="1">
      <alignment horizontal="center" vertical="center"/>
    </xf>
    <xf numFmtId="0" fontId="63" fillId="0" borderId="24" xfId="5" applyFont="1" applyBorder="1" applyAlignment="1">
      <alignment horizontal="center" vertical="center" wrapText="1"/>
    </xf>
    <xf numFmtId="0" fontId="0" fillId="0" borderId="73" xfId="0" applyBorder="1" applyAlignment="1">
      <alignment horizontal="center" vertical="center" wrapText="1"/>
    </xf>
    <xf numFmtId="0" fontId="12" fillId="0" borderId="73" xfId="0" applyFont="1" applyBorder="1" applyAlignment="1">
      <alignment horizontal="center" vertical="center" wrapText="1"/>
    </xf>
    <xf numFmtId="4" fontId="51" fillId="0" borderId="31" xfId="0" applyNumberFormat="1" applyFont="1" applyBorder="1" applyAlignment="1">
      <alignment horizontal="center" vertical="center" wrapText="1"/>
    </xf>
    <xf numFmtId="4" fontId="51" fillId="0" borderId="32" xfId="0" applyNumberFormat="1" applyFont="1" applyBorder="1" applyAlignment="1">
      <alignment horizontal="center" vertical="center" wrapText="1"/>
    </xf>
    <xf numFmtId="4" fontId="51" fillId="0" borderId="33" xfId="0" applyNumberFormat="1" applyFont="1" applyBorder="1" applyAlignment="1">
      <alignment horizontal="center" vertical="center" wrapText="1"/>
    </xf>
    <xf numFmtId="4" fontId="51" fillId="4" borderId="45" xfId="0" applyNumberFormat="1" applyFont="1" applyFill="1" applyBorder="1" applyAlignment="1">
      <alignment horizontal="center" vertical="center" wrapText="1"/>
    </xf>
    <xf numFmtId="4" fontId="51" fillId="4" borderId="46" xfId="0" applyNumberFormat="1" applyFont="1" applyFill="1" applyBorder="1" applyAlignment="1">
      <alignment horizontal="center" vertical="center" wrapText="1"/>
    </xf>
    <xf numFmtId="4" fontId="51" fillId="4" borderId="51" xfId="0" applyNumberFormat="1" applyFont="1" applyFill="1" applyBorder="1" applyAlignment="1">
      <alignment horizontal="center" vertical="center" wrapText="1"/>
    </xf>
    <xf numFmtId="4" fontId="51" fillId="0" borderId="45" xfId="0" applyNumberFormat="1" applyFont="1" applyBorder="1" applyAlignment="1">
      <alignment horizontal="center" vertical="center" wrapText="1"/>
    </xf>
    <xf numFmtId="4" fontId="51" fillId="0" borderId="46" xfId="0" applyNumberFormat="1" applyFont="1" applyBorder="1" applyAlignment="1">
      <alignment horizontal="center" vertical="center" wrapText="1"/>
    </xf>
    <xf numFmtId="4" fontId="51" fillId="0" borderId="51" xfId="0" applyNumberFormat="1" applyFont="1" applyBorder="1" applyAlignment="1">
      <alignment horizontal="center" vertical="center" wrapText="1"/>
    </xf>
    <xf numFmtId="4" fontId="36" fillId="15" borderId="45" xfId="0" applyNumberFormat="1" applyFont="1" applyFill="1" applyBorder="1" applyAlignment="1">
      <alignment horizontal="center" vertical="center" wrapText="1"/>
    </xf>
    <xf numFmtId="4" fontId="36" fillId="15" borderId="46" xfId="0" applyNumberFormat="1" applyFont="1" applyFill="1" applyBorder="1" applyAlignment="1">
      <alignment horizontal="center" vertical="center" wrapText="1"/>
    </xf>
    <xf numFmtId="4" fontId="36" fillId="15" borderId="51" xfId="0" applyNumberFormat="1" applyFont="1" applyFill="1" applyBorder="1" applyAlignment="1">
      <alignment horizontal="center" vertical="center" wrapText="1"/>
    </xf>
    <xf numFmtId="4" fontId="36" fillId="0" borderId="45" xfId="0" applyNumberFormat="1" applyFont="1" applyBorder="1" applyAlignment="1">
      <alignment horizontal="center" vertical="center" wrapText="1"/>
    </xf>
    <xf numFmtId="4" fontId="36" fillId="0" borderId="46" xfId="0" applyNumberFormat="1" applyFont="1" applyBorder="1" applyAlignment="1">
      <alignment horizontal="center" vertical="center" wrapText="1"/>
    </xf>
    <xf numFmtId="4" fontId="36" fillId="0" borderId="51" xfId="0" applyNumberFormat="1" applyFont="1" applyBorder="1" applyAlignment="1">
      <alignment horizontal="center" vertical="center" wrapText="1"/>
    </xf>
    <xf numFmtId="0" fontId="56" fillId="0" borderId="63" xfId="0" applyFont="1" applyBorder="1" applyAlignment="1">
      <alignment horizontal="center" vertical="center" wrapText="1"/>
    </xf>
    <xf numFmtId="0" fontId="56" fillId="0" borderId="64" xfId="0" applyFont="1" applyBorder="1" applyAlignment="1">
      <alignment horizontal="center" vertical="center" wrapText="1"/>
    </xf>
    <xf numFmtId="0" fontId="56" fillId="0" borderId="65" xfId="0" applyFont="1" applyBorder="1" applyAlignment="1">
      <alignment horizontal="center" vertical="center" wrapText="1"/>
    </xf>
    <xf numFmtId="0" fontId="11" fillId="7" borderId="43" xfId="3" applyFont="1" applyFill="1" applyBorder="1" applyAlignment="1" applyProtection="1">
      <alignment horizontal="center" vertical="center"/>
      <protection locked="0"/>
    </xf>
    <xf numFmtId="0" fontId="11" fillId="7" borderId="0" xfId="3" applyFont="1" applyFill="1" applyAlignment="1" applyProtection="1">
      <alignment horizontal="center" vertical="center"/>
      <protection locked="0"/>
    </xf>
    <xf numFmtId="0" fontId="62" fillId="0" borderId="0" xfId="5" applyFont="1" applyAlignment="1">
      <alignment horizontal="center" vertical="center"/>
    </xf>
    <xf numFmtId="176" fontId="40" fillId="16" borderId="40" xfId="0" applyNumberFormat="1" applyFont="1" applyFill="1" applyBorder="1" applyAlignment="1">
      <alignment horizontal="left" vertical="top" wrapText="1"/>
    </xf>
    <xf numFmtId="0" fontId="40" fillId="16" borderId="40" xfId="0" applyFont="1" applyFill="1" applyBorder="1" applyAlignment="1">
      <alignment horizontal="left" vertical="top" wrapText="1"/>
    </xf>
    <xf numFmtId="169" fontId="40" fillId="16" borderId="40" xfId="0" applyNumberFormat="1" applyFont="1" applyFill="1" applyBorder="1" applyAlignment="1">
      <alignment horizontal="right" vertical="top" wrapText="1"/>
    </xf>
    <xf numFmtId="167" fontId="40" fillId="16" borderId="40" xfId="0" applyNumberFormat="1" applyFont="1" applyFill="1" applyBorder="1" applyAlignment="1">
      <alignment horizontal="right" vertical="top" wrapText="1"/>
    </xf>
    <xf numFmtId="170" fontId="40" fillId="16" borderId="40" xfId="0" applyNumberFormat="1" applyFont="1" applyFill="1" applyBorder="1" applyAlignment="1">
      <alignment horizontal="right" vertical="top" wrapText="1"/>
    </xf>
    <xf numFmtId="171" fontId="40" fillId="16" borderId="40" xfId="0" applyNumberFormat="1" applyFont="1" applyFill="1" applyBorder="1" applyAlignment="1">
      <alignment horizontal="right" vertical="top" wrapText="1"/>
    </xf>
    <xf numFmtId="178" fontId="40" fillId="16" borderId="40" xfId="0" applyNumberFormat="1" applyFont="1" applyFill="1" applyBorder="1" applyAlignment="1">
      <alignment horizontal="right" vertical="top" wrapText="1"/>
    </xf>
  </cellXfs>
  <cellStyles count="7">
    <cellStyle name="Moeda" xfId="1" builtinId="4"/>
    <cellStyle name="Normal" xfId="0" builtinId="0"/>
    <cellStyle name="Normal 2" xfId="3" xr:uid="{00000000-0005-0000-0000-000002000000}"/>
    <cellStyle name="Normal 3" xfId="2" xr:uid="{00000000-0005-0000-0000-000003000000}"/>
    <cellStyle name="Normal 3 2" xfId="4" xr:uid="{00000000-0005-0000-0000-000004000000}"/>
    <cellStyle name="Normal 3 3" xfId="5" xr:uid="{00000000-0005-0000-0000-000005000000}"/>
    <cellStyle name="Porcentagem" xfId="6" builtinId="5"/>
  </cellStyles>
  <dxfs count="0"/>
  <tableStyles count="0" defaultTableStyle="TableStyleMedium2" defaultPivotStyle="PivotStyleLight16"/>
  <colors>
    <mruColors>
      <color rgb="FFA50021"/>
      <color rgb="FFFC9EA5"/>
      <color rgb="FFEE92DC"/>
      <color rgb="FFED7A2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sheetMetadata" Target="metadata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5" Type="http://schemas.openxmlformats.org/officeDocument/2006/relationships/image" Target="../media/image5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29</xdr:row>
          <xdr:rowOff>0</xdr:rowOff>
        </xdr:from>
        <xdr:to>
          <xdr:col>10</xdr:col>
          <xdr:colOff>428625</xdr:colOff>
          <xdr:row>31</xdr:row>
          <xdr:rowOff>66675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3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34</xdr:row>
          <xdr:rowOff>0</xdr:rowOff>
        </xdr:from>
        <xdr:to>
          <xdr:col>9</xdr:col>
          <xdr:colOff>95250</xdr:colOff>
          <xdr:row>37</xdr:row>
          <xdr:rowOff>123825</xdr:rowOff>
        </xdr:to>
        <xdr:sp macro="" textlink="">
          <xdr:nvSpPr>
            <xdr:cNvPr id="1030" name="Object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3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114300</xdr:colOff>
          <xdr:row>39</xdr:row>
          <xdr:rowOff>142875</xdr:rowOff>
        </xdr:from>
        <xdr:to>
          <xdr:col>8</xdr:col>
          <xdr:colOff>457200</xdr:colOff>
          <xdr:row>40</xdr:row>
          <xdr:rowOff>161925</xdr:rowOff>
        </xdr:to>
        <xdr:sp macro="" textlink="">
          <xdr:nvSpPr>
            <xdr:cNvPr id="1034" name="Object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3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9525</xdr:colOff>
          <xdr:row>29</xdr:row>
          <xdr:rowOff>161925</xdr:rowOff>
        </xdr:from>
        <xdr:to>
          <xdr:col>15</xdr:col>
          <xdr:colOff>57150</xdr:colOff>
          <xdr:row>30</xdr:row>
          <xdr:rowOff>161925</xdr:rowOff>
        </xdr:to>
        <xdr:sp macro="" textlink="">
          <xdr:nvSpPr>
            <xdr:cNvPr id="1035" name="Object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3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57150</xdr:colOff>
          <xdr:row>35</xdr:row>
          <xdr:rowOff>0</xdr:rowOff>
        </xdr:from>
        <xdr:to>
          <xdr:col>14</xdr:col>
          <xdr:colOff>104775</xdr:colOff>
          <xdr:row>36</xdr:row>
          <xdr:rowOff>0</xdr:rowOff>
        </xdr:to>
        <xdr:sp macro="" textlink="">
          <xdr:nvSpPr>
            <xdr:cNvPr id="1036" name="Object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3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oseane%20M.%20Koerich\Documents\Pessoal\Trabalho\Beta\Contratos\OAE_Engenharia\Passarelas%20Gen%20Carneiro%20PR\Or&#231;amento\4a_vers&#227;o\Servicos_preliminar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obilização - SEM"/>
      <sheetName val="Mobilização - COM"/>
      <sheetName val="Transporte - FU"/>
      <sheetName val="ADM_SEM"/>
      <sheetName val="ADM_COM"/>
      <sheetName val="Vol 8"/>
      <sheetName val="Detalhamento"/>
      <sheetName val="Coef_Quant"/>
      <sheetName val="MO"/>
      <sheetName val="Equip"/>
      <sheetName val="PEM"/>
      <sheetName val="CO_SEM"/>
      <sheetName val="CO_COM"/>
      <sheetName val="Áreas CO"/>
      <sheetName val="Qtdades CO"/>
      <sheetName val="ABC_MO"/>
      <sheetName val="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1">
          <cell r="A1" t="str">
            <v>CÓDIGO</v>
          </cell>
          <cell r="B1" t="str">
            <v>DESCRIÇÃO</v>
          </cell>
          <cell r="C1" t="str">
            <v>Julho/2019</v>
          </cell>
          <cell r="D1" t="str">
            <v>Julho/2019</v>
          </cell>
        </row>
        <row r="2">
          <cell r="C2" t="str">
            <v>Sem desoneração</v>
          </cell>
          <cell r="D2" t="str">
            <v>Com desoneração</v>
          </cell>
        </row>
        <row r="3">
          <cell r="A3" t="str">
            <v>P9801</v>
          </cell>
          <cell r="B3" t="str">
            <v>Ajudante</v>
          </cell>
          <cell r="C3">
            <v>21.7407</v>
          </cell>
          <cell r="D3">
            <v>19.646999999999998</v>
          </cell>
        </row>
        <row r="4">
          <cell r="A4" t="str">
            <v>P9802</v>
          </cell>
          <cell r="B4" t="str">
            <v>Ajudante especializado</v>
          </cell>
          <cell r="C4">
            <v>25.4924</v>
          </cell>
          <cell r="D4">
            <v>22.984200000000001</v>
          </cell>
        </row>
        <row r="5">
          <cell r="A5" t="str">
            <v>P9803</v>
          </cell>
          <cell r="B5" t="str">
            <v>Almoxarife</v>
          </cell>
          <cell r="C5">
            <v>4507.0452999999998</v>
          </cell>
          <cell r="D5">
            <v>4048.645</v>
          </cell>
        </row>
        <row r="6">
          <cell r="A6" t="str">
            <v>P9804</v>
          </cell>
          <cell r="B6" t="str">
            <v>Apontador</v>
          </cell>
          <cell r="C6">
            <v>4050.9477999999999</v>
          </cell>
          <cell r="D6">
            <v>3654.7055</v>
          </cell>
        </row>
        <row r="7">
          <cell r="A7" t="str">
            <v>P9805</v>
          </cell>
          <cell r="B7" t="str">
            <v>Armador</v>
          </cell>
          <cell r="C7">
            <v>24.386700000000001</v>
          </cell>
          <cell r="D7">
            <v>21.950700000000001</v>
          </cell>
        </row>
        <row r="8">
          <cell r="A8" t="str">
            <v>P9806</v>
          </cell>
          <cell r="B8" t="str">
            <v>Auxiliar administrativo</v>
          </cell>
          <cell r="C8">
            <v>4205.6417000000001</v>
          </cell>
          <cell r="D8">
            <v>3780.0554999999999</v>
          </cell>
        </row>
        <row r="9">
          <cell r="A9" t="str">
            <v>P9807</v>
          </cell>
          <cell r="B9" t="str">
            <v>Bombeiro hidráulico</v>
          </cell>
          <cell r="C9">
            <v>31.7408</v>
          </cell>
          <cell r="D9">
            <v>28.396599999999999</v>
          </cell>
        </row>
        <row r="10">
          <cell r="A10" t="str">
            <v>P9808</v>
          </cell>
          <cell r="B10" t="str">
            <v>Carpinteiro</v>
          </cell>
          <cell r="C10">
            <v>24.7226</v>
          </cell>
          <cell r="D10">
            <v>22.206900000000001</v>
          </cell>
        </row>
        <row r="11">
          <cell r="A11" t="str">
            <v>P9809</v>
          </cell>
          <cell r="B11" t="str">
            <v>Encarregado administrativo</v>
          </cell>
          <cell r="C11">
            <v>8642.9362000000001</v>
          </cell>
          <cell r="D11">
            <v>7608.0019000000002</v>
          </cell>
        </row>
        <row r="12">
          <cell r="A12" t="str">
            <v>P9810</v>
          </cell>
          <cell r="B12" t="str">
            <v>Eletricista</v>
          </cell>
          <cell r="C12">
            <v>25.104800000000001</v>
          </cell>
          <cell r="D12">
            <v>22.560300000000002</v>
          </cell>
        </row>
        <row r="13">
          <cell r="A13" t="str">
            <v>P9811</v>
          </cell>
          <cell r="B13" t="str">
            <v>Encarregado especializado</v>
          </cell>
          <cell r="C13">
            <v>8792.6782999999996</v>
          </cell>
          <cell r="D13">
            <v>7750.3361000000004</v>
          </cell>
        </row>
        <row r="14">
          <cell r="A14" t="str">
            <v>P9812</v>
          </cell>
          <cell r="B14" t="str">
            <v>Engenheiro</v>
          </cell>
          <cell r="C14">
            <v>23667.745800000001</v>
          </cell>
          <cell r="D14">
            <v>20605.505399999998</v>
          </cell>
        </row>
        <row r="15">
          <cell r="A15" t="str">
            <v>P9814</v>
          </cell>
          <cell r="B15" t="str">
            <v>Operacional</v>
          </cell>
          <cell r="C15">
            <v>3739.4657999999999</v>
          </cell>
          <cell r="D15">
            <v>3275.2737999999999</v>
          </cell>
        </row>
        <row r="16">
          <cell r="A16" t="str">
            <v>P9815</v>
          </cell>
          <cell r="B16" t="str">
            <v>Jardineiro</v>
          </cell>
          <cell r="C16">
            <v>21.1599</v>
          </cell>
          <cell r="D16">
            <v>19.072900000000001</v>
          </cell>
        </row>
        <row r="17">
          <cell r="A17" t="str">
            <v>P9816</v>
          </cell>
          <cell r="B17" t="str">
            <v>Encarregado de mergulho</v>
          </cell>
          <cell r="C17">
            <v>8693.7026999999998</v>
          </cell>
          <cell r="D17">
            <v>7414.6742999999997</v>
          </cell>
        </row>
        <row r="18">
          <cell r="A18" t="str">
            <v>P9819</v>
          </cell>
          <cell r="B18" t="str">
            <v>Engenheiro supervisor</v>
          </cell>
          <cell r="C18">
            <v>23667.745800000001</v>
          </cell>
          <cell r="D18">
            <v>20605.505399999998</v>
          </cell>
        </row>
        <row r="19">
          <cell r="A19" t="str">
            <v>P9821</v>
          </cell>
          <cell r="B19" t="str">
            <v>Pedreiro</v>
          </cell>
          <cell r="C19">
            <v>24.542000000000002</v>
          </cell>
          <cell r="D19">
            <v>22.046299999999999</v>
          </cell>
        </row>
        <row r="20">
          <cell r="A20" t="str">
            <v>P9822</v>
          </cell>
          <cell r="B20" t="str">
            <v>Pintor</v>
          </cell>
          <cell r="C20">
            <v>23.620100000000001</v>
          </cell>
          <cell r="D20">
            <v>21.2516</v>
          </cell>
        </row>
        <row r="21">
          <cell r="A21" t="str">
            <v>P9823</v>
          </cell>
          <cell r="B21" t="str">
            <v>Serralheiro</v>
          </cell>
          <cell r="C21">
            <v>23.0932</v>
          </cell>
          <cell r="D21">
            <v>20.799299999999999</v>
          </cell>
        </row>
        <row r="22">
          <cell r="A22" t="str">
            <v>P9824</v>
          </cell>
          <cell r="B22" t="str">
            <v>Servente</v>
          </cell>
          <cell r="C22">
            <v>19.438700000000001</v>
          </cell>
          <cell r="D22">
            <v>17.642199999999999</v>
          </cell>
        </row>
        <row r="23">
          <cell r="A23" t="str">
            <v>P9825</v>
          </cell>
          <cell r="B23" t="str">
            <v>Soldador</v>
          </cell>
          <cell r="C23">
            <v>35.879399999999997</v>
          </cell>
          <cell r="D23">
            <v>31.961500000000001</v>
          </cell>
        </row>
        <row r="24">
          <cell r="A24" t="str">
            <v>P9826</v>
          </cell>
          <cell r="B24" t="str">
            <v>Chefe setor de finanças</v>
          </cell>
          <cell r="C24">
            <v>14054.4444</v>
          </cell>
          <cell r="D24">
            <v>12287.291300000001</v>
          </cell>
        </row>
        <row r="25">
          <cell r="A25" t="str">
            <v>P9827</v>
          </cell>
          <cell r="B25" t="str">
            <v>Vigia</v>
          </cell>
          <cell r="C25">
            <v>4374.9904999999999</v>
          </cell>
          <cell r="D25">
            <v>3929.0338000000002</v>
          </cell>
        </row>
        <row r="26">
          <cell r="A26" t="str">
            <v>P9830</v>
          </cell>
          <cell r="B26" t="str">
            <v>Montador</v>
          </cell>
          <cell r="C26">
            <v>27.537700000000001</v>
          </cell>
          <cell r="D26">
            <v>24.780999999999999</v>
          </cell>
        </row>
        <row r="27">
          <cell r="A27" t="str">
            <v>P9833</v>
          </cell>
          <cell r="B27" t="str">
            <v>Auxiliar de laboratório</v>
          </cell>
          <cell r="C27">
            <v>3847.0124000000001</v>
          </cell>
          <cell r="D27">
            <v>3476.4856</v>
          </cell>
        </row>
        <row r="28">
          <cell r="A28" t="str">
            <v>P9835</v>
          </cell>
          <cell r="B28" t="str">
            <v>Perfurador de tubulão a ar comprimido com insalubridade</v>
          </cell>
          <cell r="C28">
            <v>25.640899999999998</v>
          </cell>
          <cell r="D28">
            <v>23.037299999999998</v>
          </cell>
        </row>
        <row r="29">
          <cell r="A29" t="str">
            <v>P9836</v>
          </cell>
          <cell r="B29" t="str">
            <v>Geólogo</v>
          </cell>
          <cell r="C29">
            <v>119.4096</v>
          </cell>
          <cell r="D29">
            <v>104.104</v>
          </cell>
        </row>
        <row r="30">
          <cell r="A30" t="str">
            <v>P9837</v>
          </cell>
          <cell r="B30" t="str">
            <v>Oceanógrafo</v>
          </cell>
          <cell r="C30">
            <v>9837.6967000000004</v>
          </cell>
          <cell r="D30">
            <v>8324.2049000000006</v>
          </cell>
        </row>
        <row r="31">
          <cell r="A31" t="str">
            <v>P9840</v>
          </cell>
          <cell r="B31" t="str">
            <v>Encarregado geral</v>
          </cell>
          <cell r="C31">
            <v>13298.7186</v>
          </cell>
          <cell r="D31">
            <v>11653.873</v>
          </cell>
        </row>
        <row r="32">
          <cell r="A32" t="str">
            <v>P9842</v>
          </cell>
          <cell r="B32" t="str">
            <v>Faxineiro</v>
          </cell>
          <cell r="C32">
            <v>3555.7941000000001</v>
          </cell>
          <cell r="D32">
            <v>3228.2791999999999</v>
          </cell>
        </row>
        <row r="33">
          <cell r="A33" t="str">
            <v>P9843</v>
          </cell>
          <cell r="B33" t="str">
            <v>Operador de equipamento leve</v>
          </cell>
          <cell r="C33">
            <v>21.9468</v>
          </cell>
          <cell r="D33">
            <v>19.758400000000002</v>
          </cell>
        </row>
        <row r="34">
          <cell r="A34" t="str">
            <v>P9844</v>
          </cell>
          <cell r="B34" t="str">
            <v>Capitão fluvial</v>
          </cell>
          <cell r="C34">
            <v>11251.4272</v>
          </cell>
          <cell r="D34">
            <v>9500.2368999999999</v>
          </cell>
        </row>
        <row r="35">
          <cell r="A35" t="str">
            <v>P9845</v>
          </cell>
          <cell r="B35" t="str">
            <v>Operador de equipamento pesado</v>
          </cell>
          <cell r="C35">
            <v>27.148299999999999</v>
          </cell>
          <cell r="D35">
            <v>24.268000000000001</v>
          </cell>
        </row>
        <row r="36">
          <cell r="A36" t="str">
            <v>P9846</v>
          </cell>
          <cell r="B36" t="str">
            <v>Operador de equipamento especial</v>
          </cell>
          <cell r="C36">
            <v>35.540900000000001</v>
          </cell>
          <cell r="D36">
            <v>31.5275</v>
          </cell>
        </row>
        <row r="37">
          <cell r="A37" t="str">
            <v>P9847</v>
          </cell>
          <cell r="B37" t="str">
            <v>Perfurador de tubulão</v>
          </cell>
          <cell r="C37">
            <v>21.813700000000001</v>
          </cell>
          <cell r="D37">
            <v>19.706600000000002</v>
          </cell>
        </row>
        <row r="38">
          <cell r="A38" t="str">
            <v>P9848</v>
          </cell>
          <cell r="B38" t="str">
            <v>Desenhista</v>
          </cell>
          <cell r="C38">
            <v>6959.6895000000004</v>
          </cell>
          <cell r="D38">
            <v>6162.3831</v>
          </cell>
        </row>
        <row r="39">
          <cell r="A39" t="str">
            <v>P9849</v>
          </cell>
          <cell r="B39" t="str">
            <v>Condutor maquinista fluvial</v>
          </cell>
          <cell r="C39">
            <v>4692.8449000000001</v>
          </cell>
          <cell r="D39">
            <v>4049.4483</v>
          </cell>
        </row>
        <row r="40">
          <cell r="A40" t="str">
            <v>P9850</v>
          </cell>
          <cell r="B40" t="str">
            <v>Copeiro</v>
          </cell>
          <cell r="C40">
            <v>3836.3308999999999</v>
          </cell>
          <cell r="D40">
            <v>3460.7283000000002</v>
          </cell>
        </row>
        <row r="41">
          <cell r="A41" t="str">
            <v>P9851</v>
          </cell>
          <cell r="B41" t="str">
            <v>Médico do trabalho</v>
          </cell>
          <cell r="C41">
            <v>18674.616000000002</v>
          </cell>
          <cell r="D41">
            <v>16270.7546</v>
          </cell>
        </row>
        <row r="42">
          <cell r="A42" t="str">
            <v>P9852</v>
          </cell>
          <cell r="B42" t="str">
            <v>Blaster</v>
          </cell>
          <cell r="C42">
            <v>32.8827</v>
          </cell>
          <cell r="D42">
            <v>29.245200000000001</v>
          </cell>
        </row>
        <row r="43">
          <cell r="A43" t="str">
            <v>P9853</v>
          </cell>
          <cell r="B43" t="str">
            <v>Pré-marcador</v>
          </cell>
          <cell r="C43">
            <v>21.5931</v>
          </cell>
          <cell r="D43">
            <v>19.499300000000002</v>
          </cell>
        </row>
        <row r="44">
          <cell r="A44" t="str">
            <v>P9854</v>
          </cell>
          <cell r="B44" t="str">
            <v>Recepcionista</v>
          </cell>
          <cell r="C44">
            <v>3853.6405</v>
          </cell>
          <cell r="D44">
            <v>3476.4187000000002</v>
          </cell>
        </row>
        <row r="45">
          <cell r="A45" t="str">
            <v>P9855</v>
          </cell>
          <cell r="B45" t="str">
            <v>Marinheiro de máquinas</v>
          </cell>
          <cell r="C45">
            <v>4660.5163000000002</v>
          </cell>
          <cell r="D45">
            <v>4019.8054000000002</v>
          </cell>
        </row>
        <row r="46">
          <cell r="A46" t="str">
            <v>P9856</v>
          </cell>
          <cell r="B46" t="str">
            <v>Marinheiro de convés</v>
          </cell>
          <cell r="C46">
            <v>23.184999999999999</v>
          </cell>
          <cell r="D46">
            <v>20.6157</v>
          </cell>
        </row>
        <row r="47">
          <cell r="A47" t="str">
            <v>P9857</v>
          </cell>
          <cell r="B47" t="str">
            <v>Marinheiro de convés - mensalista</v>
          </cell>
          <cell r="C47">
            <v>4200.2172</v>
          </cell>
          <cell r="D47">
            <v>3634.9634999999998</v>
          </cell>
        </row>
        <row r="48">
          <cell r="A48" t="str">
            <v>P9858</v>
          </cell>
          <cell r="B48" t="str">
            <v>Laboratorista</v>
          </cell>
          <cell r="C48">
            <v>5953.2451000000001</v>
          </cell>
          <cell r="D48">
            <v>5310.4213</v>
          </cell>
        </row>
        <row r="49">
          <cell r="A49" t="str">
            <v>P9859</v>
          </cell>
          <cell r="B49" t="str">
            <v>Trabalhador de via</v>
          </cell>
          <cell r="C49">
            <v>19.4955</v>
          </cell>
          <cell r="D49">
            <v>17.699000000000002</v>
          </cell>
        </row>
        <row r="50">
          <cell r="A50" t="str">
            <v>P9860</v>
          </cell>
          <cell r="B50" t="str">
            <v>Mergulhador</v>
          </cell>
          <cell r="C50">
            <v>26.1706</v>
          </cell>
          <cell r="D50">
            <v>23.241499999999998</v>
          </cell>
        </row>
        <row r="51">
          <cell r="A51" t="str">
            <v>P9861</v>
          </cell>
          <cell r="B51" t="str">
            <v>Selecionador de material pétreo</v>
          </cell>
          <cell r="C51">
            <v>21.647500000000001</v>
          </cell>
          <cell r="D51">
            <v>19.553699999999999</v>
          </cell>
        </row>
        <row r="52">
          <cell r="A52" t="str">
            <v>P9864</v>
          </cell>
          <cell r="B52" t="str">
            <v>Engenheiro de segurança do trabalho</v>
          </cell>
          <cell r="C52">
            <v>19361.325199999999</v>
          </cell>
          <cell r="D52">
            <v>16891.911100000001</v>
          </cell>
        </row>
        <row r="53">
          <cell r="A53" t="str">
            <v>P9865</v>
          </cell>
          <cell r="B53" t="str">
            <v>Técnico em enfermagem</v>
          </cell>
          <cell r="C53">
            <v>5824.3217999999997</v>
          </cell>
          <cell r="D53">
            <v>5189.7628000000004</v>
          </cell>
        </row>
        <row r="54">
          <cell r="A54" t="str">
            <v>P9866</v>
          </cell>
          <cell r="B54" t="str">
            <v>Motorista de caminhão</v>
          </cell>
          <cell r="C54">
            <v>24.9404</v>
          </cell>
          <cell r="D54">
            <v>22.334099999999999</v>
          </cell>
        </row>
        <row r="55">
          <cell r="A55" t="str">
            <v>P9867</v>
          </cell>
          <cell r="B55" t="str">
            <v>Técnico especializado - mensalista</v>
          </cell>
          <cell r="C55">
            <v>7254.1322</v>
          </cell>
          <cell r="D55">
            <v>6435.9232000000002</v>
          </cell>
        </row>
        <row r="56">
          <cell r="A56" t="str">
            <v>P9869</v>
          </cell>
          <cell r="B56" t="str">
            <v>Encarregado de obras de artes especiais</v>
          </cell>
          <cell r="C56">
            <v>8792.6782999999996</v>
          </cell>
          <cell r="D56">
            <v>7750.3361000000004</v>
          </cell>
        </row>
        <row r="57">
          <cell r="A57" t="str">
            <v>P9870</v>
          </cell>
          <cell r="B57" t="str">
            <v>Motorista de veículo leve</v>
          </cell>
          <cell r="C57">
            <v>23.931999999999999</v>
          </cell>
          <cell r="D57">
            <v>21.466899999999999</v>
          </cell>
        </row>
        <row r="58">
          <cell r="A58" t="str">
            <v>P9871</v>
          </cell>
          <cell r="B58" t="str">
            <v>Motorista de veículo especial</v>
          </cell>
          <cell r="C58">
            <v>29.7974</v>
          </cell>
          <cell r="D58">
            <v>26.544799999999999</v>
          </cell>
        </row>
        <row r="59">
          <cell r="A59" t="str">
            <v>P9875</v>
          </cell>
          <cell r="B59" t="str">
            <v>Encarregado de turma</v>
          </cell>
          <cell r="C59">
            <v>5669.0589</v>
          </cell>
          <cell r="D59">
            <v>5044.3742000000002</v>
          </cell>
        </row>
        <row r="60">
          <cell r="A60" t="str">
            <v>P9876</v>
          </cell>
          <cell r="B60" t="str">
            <v>Técnico de segurança do trabalho</v>
          </cell>
          <cell r="C60">
            <v>5925.3676999999998</v>
          </cell>
          <cell r="D60">
            <v>5284.8994000000002</v>
          </cell>
        </row>
        <row r="61">
          <cell r="A61" t="str">
            <v>P9878</v>
          </cell>
          <cell r="B61" t="str">
            <v>Secretária</v>
          </cell>
          <cell r="C61">
            <v>6052.1017000000002</v>
          </cell>
          <cell r="D61">
            <v>5359.4748</v>
          </cell>
        </row>
        <row r="62">
          <cell r="A62" t="str">
            <v>P9880</v>
          </cell>
          <cell r="B62" t="str">
            <v>Piloto Fluvial</v>
          </cell>
          <cell r="C62">
            <v>6361.1671999999999</v>
          </cell>
          <cell r="D62">
            <v>5425.6459000000004</v>
          </cell>
        </row>
        <row r="63">
          <cell r="A63" t="str">
            <v>P9882</v>
          </cell>
          <cell r="B63" t="str">
            <v>Técnico especializado</v>
          </cell>
          <cell r="C63">
            <v>39.2654</v>
          </cell>
          <cell r="D63">
            <v>34.798299999999998</v>
          </cell>
        </row>
        <row r="64">
          <cell r="A64" t="str">
            <v>P9883</v>
          </cell>
          <cell r="B64" t="str">
            <v>Chefe do setor administrativo</v>
          </cell>
          <cell r="C64">
            <v>8748.5499</v>
          </cell>
          <cell r="D64">
            <v>7699.4438</v>
          </cell>
        </row>
        <row r="65">
          <cell r="A65" t="str">
            <v>P9884</v>
          </cell>
          <cell r="B65" t="str">
            <v>Encarregado de terraplenagem</v>
          </cell>
          <cell r="C65">
            <v>8792.6782999999996</v>
          </cell>
          <cell r="D65">
            <v>7750.3361000000004</v>
          </cell>
        </row>
        <row r="66">
          <cell r="A66" t="str">
            <v>P9885</v>
          </cell>
          <cell r="B66" t="str">
            <v>Frentista de túnel</v>
          </cell>
          <cell r="C66">
            <v>21.9862</v>
          </cell>
          <cell r="D66">
            <v>19.892499999999998</v>
          </cell>
        </row>
        <row r="67">
          <cell r="A67" t="str">
            <v>P9889</v>
          </cell>
          <cell r="B67" t="str">
            <v>Técnico da qualidade</v>
          </cell>
          <cell r="C67">
            <v>7256.8742000000002</v>
          </cell>
          <cell r="D67">
            <v>6444.4515000000001</v>
          </cell>
        </row>
        <row r="68">
          <cell r="A68" t="str">
            <v>P9891</v>
          </cell>
          <cell r="B68" t="str">
            <v>Engenheiro mecânico</v>
          </cell>
          <cell r="C68">
            <v>25539.473099999999</v>
          </cell>
          <cell r="D68">
            <v>22182.621999999999</v>
          </cell>
        </row>
        <row r="69">
          <cell r="A69" t="str">
            <v>P9892</v>
          </cell>
          <cell r="B69" t="str">
            <v>Auxiliar de blaster</v>
          </cell>
          <cell r="C69">
            <v>28.465299999999999</v>
          </cell>
          <cell r="D69">
            <v>25.419499999999999</v>
          </cell>
        </row>
        <row r="70">
          <cell r="A70" t="str">
            <v>P9893</v>
          </cell>
          <cell r="B70" t="str">
            <v>Encarregado de pavimentação</v>
          </cell>
          <cell r="C70">
            <v>8792.6782999999996</v>
          </cell>
          <cell r="D70">
            <v>7750.3361000000004</v>
          </cell>
        </row>
        <row r="71">
          <cell r="A71" t="str">
            <v>P9896</v>
          </cell>
          <cell r="B71" t="str">
            <v>Porteiro</v>
          </cell>
          <cell r="C71">
            <v>3643.9059000000002</v>
          </cell>
          <cell r="D71">
            <v>3296.8842</v>
          </cell>
        </row>
        <row r="72">
          <cell r="A72" t="str">
            <v>P9897</v>
          </cell>
          <cell r="B72" t="str">
            <v>Técnico de meio ambiente</v>
          </cell>
          <cell r="C72">
            <v>6519.6444000000001</v>
          </cell>
          <cell r="D72">
            <v>5793.0346</v>
          </cell>
        </row>
        <row r="73">
          <cell r="A73" t="str">
            <v>P9900</v>
          </cell>
          <cell r="B73" t="str">
            <v>Comprador</v>
          </cell>
          <cell r="C73">
            <v>7198.8458000000001</v>
          </cell>
          <cell r="D73">
            <v>6367.3311999999996</v>
          </cell>
        </row>
        <row r="74">
          <cell r="A74" t="str">
            <v>P9901</v>
          </cell>
          <cell r="B74" t="str">
            <v>Encarregado de superestrutura ferroviária</v>
          </cell>
          <cell r="C74">
            <v>8792.6782999999996</v>
          </cell>
          <cell r="D74">
            <v>7750.3361000000004</v>
          </cell>
        </row>
        <row r="75">
          <cell r="A75" t="str">
            <v>P9903</v>
          </cell>
          <cell r="B75" t="str">
            <v>Auxiliar técnico</v>
          </cell>
          <cell r="C75">
            <v>4143.1628000000001</v>
          </cell>
          <cell r="D75">
            <v>3729.7691</v>
          </cell>
        </row>
        <row r="76">
          <cell r="A76" t="str">
            <v>P9907</v>
          </cell>
          <cell r="B76" t="str">
            <v>Comandante de longo curso</v>
          </cell>
          <cell r="C76">
            <v>19956.033899999999</v>
          </cell>
          <cell r="D76">
            <v>16725.333900000001</v>
          </cell>
        </row>
        <row r="77">
          <cell r="A77" t="str">
            <v>P9908</v>
          </cell>
          <cell r="B77" t="str">
            <v>Imediato</v>
          </cell>
          <cell r="C77">
            <v>14075.0803</v>
          </cell>
          <cell r="D77">
            <v>11918.1705</v>
          </cell>
        </row>
        <row r="78">
          <cell r="A78" t="str">
            <v>P9909</v>
          </cell>
          <cell r="B78" t="str">
            <v>Oficial de náutica</v>
          </cell>
          <cell r="C78">
            <v>5705.9168</v>
          </cell>
          <cell r="D78">
            <v>4879.4299000000001</v>
          </cell>
        </row>
        <row r="79">
          <cell r="A79" t="str">
            <v>P9910</v>
          </cell>
          <cell r="B79" t="str">
            <v>Oficial de máquinas</v>
          </cell>
          <cell r="C79">
            <v>6116.7290000000003</v>
          </cell>
          <cell r="D79">
            <v>5210.4123</v>
          </cell>
        </row>
        <row r="80">
          <cell r="A80" t="str">
            <v>P9911</v>
          </cell>
          <cell r="B80" t="str">
            <v>Condutor de Máquinas</v>
          </cell>
          <cell r="C80">
            <v>4692.8449000000001</v>
          </cell>
          <cell r="D80">
            <v>4049.4483</v>
          </cell>
        </row>
        <row r="81">
          <cell r="A81" t="str">
            <v>P9912</v>
          </cell>
          <cell r="B81" t="str">
            <v>Capitão fluvial com periculosidade</v>
          </cell>
          <cell r="C81">
            <v>79.406899999999993</v>
          </cell>
          <cell r="D81">
            <v>69.0595</v>
          </cell>
        </row>
        <row r="82">
          <cell r="A82" t="str">
            <v>P9913</v>
          </cell>
          <cell r="B82" t="str">
            <v>Draguista</v>
          </cell>
          <cell r="C82">
            <v>10522.534100000001</v>
          </cell>
          <cell r="D82">
            <v>8925.7459999999992</v>
          </cell>
        </row>
        <row r="83">
          <cell r="A83" t="str">
            <v>P9916</v>
          </cell>
          <cell r="B83" t="str">
            <v>Encarregado de conservação rodoviária</v>
          </cell>
          <cell r="C83">
            <v>8792.6782999999996</v>
          </cell>
          <cell r="D83">
            <v>7750.3361000000004</v>
          </cell>
        </row>
        <row r="84">
          <cell r="A84" t="str">
            <v>P9920</v>
          </cell>
          <cell r="B84" t="str">
            <v>Mestre fluvial</v>
          </cell>
          <cell r="C84">
            <v>11251.4272</v>
          </cell>
          <cell r="D84">
            <v>9500.2368999999999</v>
          </cell>
        </row>
        <row r="85">
          <cell r="A85" t="str">
            <v>P9923</v>
          </cell>
          <cell r="B85" t="str">
            <v>Mergulhador com periculosidade</v>
          </cell>
          <cell r="C85">
            <v>27.812799999999999</v>
          </cell>
          <cell r="D85">
            <v>24.6629</v>
          </cell>
        </row>
        <row r="86">
          <cell r="A86" t="str">
            <v>P9927</v>
          </cell>
          <cell r="B86" t="str">
            <v>Frentista de túnel com periculosidade</v>
          </cell>
          <cell r="C86">
            <v>26.778199999999998</v>
          </cell>
          <cell r="D86">
            <v>24.062799999999999</v>
          </cell>
        </row>
        <row r="87">
          <cell r="A87" t="str">
            <v>P9928</v>
          </cell>
          <cell r="B87" t="str">
            <v>Servente com periculosidade</v>
          </cell>
          <cell r="C87">
            <v>23.543299999999999</v>
          </cell>
          <cell r="D87">
            <v>21.214300000000001</v>
          </cell>
        </row>
        <row r="88">
          <cell r="A88" t="str">
            <v>P9929</v>
          </cell>
          <cell r="B88" t="str">
            <v>Bombeiro hidráulico com periculosidade</v>
          </cell>
          <cell r="C88">
            <v>39.359000000000002</v>
          </cell>
          <cell r="D88">
            <v>35.018099999999997</v>
          </cell>
        </row>
        <row r="89">
          <cell r="A89" t="str">
            <v>P9930</v>
          </cell>
          <cell r="B89" t="str">
            <v>Eletricista com periculosidade</v>
          </cell>
          <cell r="C89">
            <v>30.785499999999999</v>
          </cell>
          <cell r="D89">
            <v>27.484100000000002</v>
          </cell>
        </row>
        <row r="90">
          <cell r="A90" t="str">
            <v>P9932</v>
          </cell>
          <cell r="B90" t="str">
            <v>Operador de equipamento pesado com periculosidade</v>
          </cell>
          <cell r="C90">
            <v>33.598700000000001</v>
          </cell>
          <cell r="D90">
            <v>29.860800000000001</v>
          </cell>
        </row>
        <row r="91">
          <cell r="A91" t="str">
            <v>P9934</v>
          </cell>
          <cell r="B91" t="str">
            <v>Motorista de veículo especial com periculosidade</v>
          </cell>
          <cell r="C91">
            <v>37.081800000000001</v>
          </cell>
          <cell r="D91">
            <v>32.86</v>
          </cell>
        </row>
        <row r="92">
          <cell r="A92" t="str">
            <v>P9938</v>
          </cell>
          <cell r="B92" t="str">
            <v>Operador de equipamento leve com periculosidade</v>
          </cell>
          <cell r="C92">
            <v>26.835799999999999</v>
          </cell>
          <cell r="D92">
            <v>23.997399999999999</v>
          </cell>
        </row>
        <row r="93">
          <cell r="A93" t="str">
            <v>P9939</v>
          </cell>
          <cell r="B93" t="str">
            <v>Operador de equipamento leve com insalubridade</v>
          </cell>
          <cell r="C93">
            <v>25.799399999999999</v>
          </cell>
          <cell r="D93">
            <v>23.098800000000001</v>
          </cell>
        </row>
        <row r="94">
          <cell r="A94" t="str">
            <v>P9940</v>
          </cell>
          <cell r="B94" t="str">
            <v>Piloto fluvial com periculosidade</v>
          </cell>
          <cell r="C94">
            <v>44.385399999999997</v>
          </cell>
          <cell r="D94">
            <v>38.856099999999998</v>
          </cell>
        </row>
        <row r="95">
          <cell r="A95" t="str">
            <v>P9941</v>
          </cell>
          <cell r="B95" t="str">
            <v>Mestre fluvial com periculosidade</v>
          </cell>
          <cell r="C95">
            <v>79.406899999999993</v>
          </cell>
          <cell r="D95">
            <v>69.0595</v>
          </cell>
        </row>
        <row r="96">
          <cell r="A96" t="str">
            <v>P9942</v>
          </cell>
          <cell r="B96" t="str">
            <v>Marinheiro de convés com periculosidade</v>
          </cell>
          <cell r="C96">
            <v>28.851199999999999</v>
          </cell>
          <cell r="D96">
            <v>25.511700000000001</v>
          </cell>
        </row>
        <row r="97">
          <cell r="A97" t="str">
            <v>P9943</v>
          </cell>
          <cell r="B97" t="str">
            <v>Técnico de batimetria com periculosidade</v>
          </cell>
          <cell r="C97">
            <v>33.561700000000002</v>
          </cell>
          <cell r="D97">
            <v>29.5001</v>
          </cell>
        </row>
        <row r="98">
          <cell r="A98" t="str">
            <v>P9944</v>
          </cell>
          <cell r="B98" t="str">
            <v>Operador de equipamento especial com periculosidade</v>
          </cell>
          <cell r="C98">
            <v>44.547899999999998</v>
          </cell>
          <cell r="D98">
            <v>39.337000000000003</v>
          </cell>
        </row>
        <row r="99">
          <cell r="A99" t="str">
            <v>P9945</v>
          </cell>
          <cell r="B99" t="str">
            <v>Draguista com periculosidade</v>
          </cell>
          <cell r="C99">
            <v>73.999300000000005</v>
          </cell>
          <cell r="D99">
            <v>64.566699999999997</v>
          </cell>
        </row>
        <row r="100">
          <cell r="A100" t="str">
            <v>P9946</v>
          </cell>
          <cell r="B100" t="str">
            <v>Engenheiro auxiliar</v>
          </cell>
          <cell r="C100">
            <v>18071.371299999999</v>
          </cell>
          <cell r="D100">
            <v>15763.6927</v>
          </cell>
        </row>
        <row r="101">
          <cell r="A101" t="str">
            <v>P9947</v>
          </cell>
          <cell r="B101" t="str">
            <v>Técnico florestal</v>
          </cell>
          <cell r="C101">
            <v>6519.6444000000001</v>
          </cell>
          <cell r="D101">
            <v>5793.0346</v>
          </cell>
        </row>
        <row r="102">
          <cell r="A102" t="str">
            <v>P9948</v>
          </cell>
          <cell r="B102" t="str">
            <v>Motorista de veículo leve - mensalista</v>
          </cell>
          <cell r="C102">
            <v>4414.1436999999996</v>
          </cell>
          <cell r="D102">
            <v>3962.6255000000001</v>
          </cell>
        </row>
        <row r="103">
          <cell r="A103" t="str">
            <v>P9949</v>
          </cell>
          <cell r="B103" t="str">
            <v>Topógrafo</v>
          </cell>
          <cell r="C103">
            <v>5703.4396999999999</v>
          </cell>
          <cell r="D103">
            <v>5093.0724</v>
          </cell>
        </row>
        <row r="104">
          <cell r="A104" t="str">
            <v>P9950</v>
          </cell>
          <cell r="B104" t="str">
            <v>Auxiliar de topografia</v>
          </cell>
          <cell r="C104">
            <v>3575.2271000000001</v>
          </cell>
          <cell r="D104">
            <v>3241.0178000000001</v>
          </cell>
        </row>
        <row r="105">
          <cell r="A105" t="str">
            <v>P9951</v>
          </cell>
          <cell r="B105" t="str">
            <v>Médico de câmara hiperbárica</v>
          </cell>
          <cell r="C105">
            <v>19383.38</v>
          </cell>
          <cell r="D105">
            <v>16883.432799999999</v>
          </cell>
        </row>
        <row r="106">
          <cell r="A106" t="str">
            <v>P9952</v>
          </cell>
          <cell r="B106" t="str">
            <v>Pedreiro - mensalista</v>
          </cell>
          <cell r="C106">
            <v>4536.7458999999999</v>
          </cell>
          <cell r="D106">
            <v>4079.511</v>
          </cell>
        </row>
        <row r="107">
          <cell r="A107" t="str">
            <v>P9953</v>
          </cell>
          <cell r="B107" t="str">
            <v>Eletricista - mensalista</v>
          </cell>
          <cell r="C107">
            <v>4633.7170999999998</v>
          </cell>
          <cell r="D107">
            <v>4167.6314000000002</v>
          </cell>
        </row>
        <row r="108">
          <cell r="A108" t="str">
            <v>P9954</v>
          </cell>
          <cell r="B108" t="str">
            <v>Servente - mensalista</v>
          </cell>
          <cell r="C108">
            <v>3595.9299000000001</v>
          </cell>
          <cell r="D108">
            <v>3267.0545999999999</v>
          </cell>
        </row>
        <row r="109">
          <cell r="A109" t="str">
            <v>P9955</v>
          </cell>
          <cell r="B109" t="str">
            <v>Engenheiro chefe</v>
          </cell>
          <cell r="C109">
            <v>34007.022400000002</v>
          </cell>
          <cell r="D109">
            <v>29550.74</v>
          </cell>
        </row>
        <row r="110">
          <cell r="A110" t="str">
            <v>P9956</v>
          </cell>
          <cell r="B110" t="str">
            <v>Motorista de caminhão com periculosidade</v>
          </cell>
          <cell r="C110">
            <v>30.767700000000001</v>
          </cell>
          <cell r="D110">
            <v>27.385999999999999</v>
          </cell>
        </row>
        <row r="111">
          <cell r="A111" t="str">
            <v>P9972</v>
          </cell>
          <cell r="B111" t="str">
            <v>Técnico de batimetria</v>
          </cell>
          <cell r="C111">
            <v>4843.1185999999998</v>
          </cell>
          <cell r="D111">
            <v>4155.7614999999996</v>
          </cell>
        </row>
      </sheetData>
      <sheetData sheetId="9">
        <row r="1">
          <cell r="A1" t="str">
            <v>CÓDIGO</v>
          </cell>
          <cell r="B1" t="str">
            <v>DESCRIÇÃO</v>
          </cell>
          <cell r="C1" t="str">
            <v>Julho/2019</v>
          </cell>
          <cell r="D1" t="str">
            <v>Julho/2019</v>
          </cell>
          <cell r="E1" t="str">
            <v>Julho/2019</v>
          </cell>
          <cell r="F1" t="str">
            <v>Julho/2019</v>
          </cell>
        </row>
        <row r="2">
          <cell r="C2" t="str">
            <v>Sem desoneração</v>
          </cell>
          <cell r="D2" t="str">
            <v>Sem desoneração</v>
          </cell>
          <cell r="E2" t="str">
            <v>Com desoneração</v>
          </cell>
          <cell r="F2" t="str">
            <v>Com desoneração</v>
          </cell>
        </row>
        <row r="3">
          <cell r="C3" t="str">
            <v>CHP</v>
          </cell>
          <cell r="D3" t="str">
            <v>CHI</v>
          </cell>
          <cell r="E3" t="str">
            <v>CHP</v>
          </cell>
          <cell r="F3" t="str">
            <v>CHI</v>
          </cell>
        </row>
        <row r="4">
          <cell r="A4" t="str">
            <v>E9001</v>
          </cell>
          <cell r="B4" t="str">
            <v>Conjunto vibratório para tubos de concreto com encaixe PB e 3 jogos de fôrmas - D = 60 cm - 2,2 kW</v>
          </cell>
          <cell r="C4">
            <v>14.7974</v>
          </cell>
          <cell r="D4">
            <v>9.1781000000000006</v>
          </cell>
          <cell r="E4">
            <v>14.7974</v>
          </cell>
          <cell r="F4">
            <v>9.1781000000000006</v>
          </cell>
        </row>
        <row r="5">
          <cell r="A5" t="str">
            <v>E9002</v>
          </cell>
          <cell r="B5" t="str">
            <v>Conjunto vibratório para tubos de concreto com encaixe PB e 3 jogos de fôrmas - D = 80 cm - 2,2 kW</v>
          </cell>
          <cell r="C5">
            <v>16.273800000000001</v>
          </cell>
          <cell r="D5">
            <v>10.0939</v>
          </cell>
          <cell r="E5">
            <v>16.273800000000001</v>
          </cell>
          <cell r="F5">
            <v>10.0939</v>
          </cell>
        </row>
        <row r="6">
          <cell r="A6" t="str">
            <v>E9003</v>
          </cell>
          <cell r="B6" t="str">
            <v>Conjunto vibratório para tubos de concreto com encaixe PB e 3 jogos de fôrmas - D = 100 cm - 2,2 kW</v>
          </cell>
          <cell r="C6">
            <v>17.698899999999998</v>
          </cell>
          <cell r="D6">
            <v>10.9778</v>
          </cell>
          <cell r="E6">
            <v>17.698899999999998</v>
          </cell>
          <cell r="F6">
            <v>10.9778</v>
          </cell>
        </row>
        <row r="7">
          <cell r="A7" t="str">
            <v>E9004</v>
          </cell>
          <cell r="B7" t="str">
            <v>Conjunto vibratório para tubos de concreto com encaixe PB e 3 jogos de fôrmas - D = 120 cm - 2,2 kW</v>
          </cell>
          <cell r="C7">
            <v>17.758099999999999</v>
          </cell>
          <cell r="D7">
            <v>11.0145</v>
          </cell>
          <cell r="E7">
            <v>17.758099999999999</v>
          </cell>
          <cell r="F7">
            <v>11.0145</v>
          </cell>
        </row>
        <row r="8">
          <cell r="A8" t="str">
            <v>E9005</v>
          </cell>
          <cell r="B8" t="str">
            <v>Conjunto vibratório para tubos de concreto com encaixe PB e 3 jogos de fôrmas - D = 150 cm - 2,2 kW</v>
          </cell>
          <cell r="C8">
            <v>17.831099999999999</v>
          </cell>
          <cell r="D8">
            <v>11.059799999999999</v>
          </cell>
          <cell r="E8">
            <v>17.831099999999999</v>
          </cell>
          <cell r="F8">
            <v>11.059799999999999</v>
          </cell>
        </row>
        <row r="9">
          <cell r="A9" t="str">
            <v>E9006</v>
          </cell>
          <cell r="B9" t="str">
            <v>Equipamento para sondagem manual</v>
          </cell>
          <cell r="C9">
            <v>0.50139999999999996</v>
          </cell>
          <cell r="D9">
            <v>0.33750000000000002</v>
          </cell>
          <cell r="E9">
            <v>0.50139999999999996</v>
          </cell>
          <cell r="F9">
            <v>0.33750000000000002</v>
          </cell>
        </row>
        <row r="10">
          <cell r="A10" t="str">
            <v>E9007</v>
          </cell>
          <cell r="B10" t="str">
            <v>Bomba de pistão triplex com capacidade de 130 l/min - 8,2 kW</v>
          </cell>
          <cell r="C10">
            <v>10.763199999999999</v>
          </cell>
          <cell r="D10">
            <v>3.51</v>
          </cell>
          <cell r="E10">
            <v>10.763199999999999</v>
          </cell>
          <cell r="F10">
            <v>3.51</v>
          </cell>
        </row>
        <row r="11">
          <cell r="A11" t="str">
            <v>E9008</v>
          </cell>
          <cell r="B11" t="str">
            <v>Transportador manual de tubos de concreto</v>
          </cell>
          <cell r="C11">
            <v>2.2530999999999999</v>
          </cell>
          <cell r="D11">
            <v>1.4815</v>
          </cell>
          <cell r="E11">
            <v>2.2530999999999999</v>
          </cell>
          <cell r="F11">
            <v>1.4815</v>
          </cell>
        </row>
        <row r="12">
          <cell r="A12" t="str">
            <v>E9009</v>
          </cell>
          <cell r="B12" t="str">
            <v>Rebocador - 360 HP</v>
          </cell>
          <cell r="C12">
            <v>295.63139999999999</v>
          </cell>
          <cell r="D12">
            <v>123.636</v>
          </cell>
          <cell r="E12">
            <v>279.26519999999999</v>
          </cell>
          <cell r="F12">
            <v>107.2698</v>
          </cell>
        </row>
        <row r="13">
          <cell r="A13" t="str">
            <v>E9010</v>
          </cell>
          <cell r="B13" t="str">
            <v>Balança plataforma digital com mesa de 75 x 75 cm com capacidade de 500 kg</v>
          </cell>
          <cell r="C13">
            <v>0.98850000000000005</v>
          </cell>
          <cell r="D13">
            <v>0.6633</v>
          </cell>
          <cell r="E13">
            <v>0.98850000000000005</v>
          </cell>
          <cell r="F13">
            <v>0.6633</v>
          </cell>
        </row>
        <row r="14">
          <cell r="A14" t="str">
            <v>E9011</v>
          </cell>
          <cell r="B14" t="str">
            <v>Carro manual modelo plataforma de 200 x 80 cm com capacidade de 800 kg</v>
          </cell>
          <cell r="C14">
            <v>0.3301</v>
          </cell>
          <cell r="D14">
            <v>0.22559999999999999</v>
          </cell>
          <cell r="E14">
            <v>0.3301</v>
          </cell>
          <cell r="F14">
            <v>0.22559999999999999</v>
          </cell>
        </row>
        <row r="15">
          <cell r="A15" t="str">
            <v>E9012</v>
          </cell>
          <cell r="B15" t="str">
            <v>Recicladora a frio - 403 kW</v>
          </cell>
          <cell r="C15">
            <v>912.06659999999999</v>
          </cell>
          <cell r="D15">
            <v>336.17149999999998</v>
          </cell>
          <cell r="E15">
            <v>908.05319999999995</v>
          </cell>
          <cell r="F15">
            <v>332.15809999999999</v>
          </cell>
        </row>
        <row r="16">
          <cell r="A16" t="str">
            <v>E9014</v>
          </cell>
          <cell r="B16" t="str">
            <v>Deflectômetro de impacto (FWD) instalado em pick up com reboque e faixa de carga de 7 a 120 kN - 147 kW</v>
          </cell>
          <cell r="C16">
            <v>257.54149999999998</v>
          </cell>
          <cell r="D16">
            <v>180.6009</v>
          </cell>
          <cell r="E16">
            <v>254.28890000000001</v>
          </cell>
          <cell r="F16">
            <v>177.34829999999999</v>
          </cell>
        </row>
        <row r="17">
          <cell r="A17" t="str">
            <v>E9015</v>
          </cell>
          <cell r="B17" t="str">
            <v>Elevador de obra - 9 kW</v>
          </cell>
          <cell r="C17">
            <v>26.4542</v>
          </cell>
          <cell r="D17">
            <v>24.5761</v>
          </cell>
          <cell r="E17">
            <v>24.265799999999999</v>
          </cell>
          <cell r="F17">
            <v>22.387699999999999</v>
          </cell>
        </row>
        <row r="18">
          <cell r="A18" t="str">
            <v>E9016</v>
          </cell>
          <cell r="B18" t="str">
            <v>Usina misturadora móvel de reciclagem a frio com sistema de espuma de asfalto - 129 kW</v>
          </cell>
          <cell r="C18">
            <v>893.84849999999994</v>
          </cell>
          <cell r="D18">
            <v>457.8245</v>
          </cell>
          <cell r="E18">
            <v>889.83510000000001</v>
          </cell>
          <cell r="F18">
            <v>453.81110000000001</v>
          </cell>
        </row>
        <row r="19">
          <cell r="A19" t="str">
            <v>E9017</v>
          </cell>
          <cell r="B19" t="str">
            <v>Escavadeira hidráulica sobre esteira com capacidade de 0,4 m³ - 64 kW</v>
          </cell>
          <cell r="C19">
            <v>122.7195</v>
          </cell>
          <cell r="D19">
            <v>66.261499999999998</v>
          </cell>
          <cell r="E19">
            <v>119.83920000000001</v>
          </cell>
          <cell r="F19">
            <v>63.3812</v>
          </cell>
        </row>
        <row r="20">
          <cell r="A20" t="str">
            <v>E9019</v>
          </cell>
          <cell r="B20" t="str">
            <v>Câmara hiperbárica com filtro, serpentina e reservatório de ar - D = 1,80 m e H = 2 m</v>
          </cell>
          <cell r="C20">
            <v>52.289400000000001</v>
          </cell>
          <cell r="D20">
            <v>39.266800000000003</v>
          </cell>
          <cell r="E20">
            <v>50.100999999999999</v>
          </cell>
          <cell r="F20">
            <v>37.078400000000002</v>
          </cell>
        </row>
        <row r="21">
          <cell r="A21" t="str">
            <v>E9020</v>
          </cell>
          <cell r="B21" t="str">
            <v>Recicladora a frio com espuma de asfalto - 455 kW</v>
          </cell>
          <cell r="C21">
            <v>829.11149999999998</v>
          </cell>
          <cell r="D21">
            <v>281.55410000000001</v>
          </cell>
          <cell r="E21">
            <v>825.09810000000004</v>
          </cell>
          <cell r="F21">
            <v>277.54070000000002</v>
          </cell>
        </row>
        <row r="22">
          <cell r="A22" t="str">
            <v>E9021</v>
          </cell>
          <cell r="B22" t="str">
            <v>Grupo gerador - 456 kVA</v>
          </cell>
          <cell r="C22">
            <v>230.13679999999999</v>
          </cell>
          <cell r="D22">
            <v>12.3218</v>
          </cell>
          <cell r="E22">
            <v>230.13679999999999</v>
          </cell>
          <cell r="F22">
            <v>12.3218</v>
          </cell>
        </row>
        <row r="23">
          <cell r="A23" t="str">
            <v>E9022</v>
          </cell>
          <cell r="B23" t="str">
            <v>Pórtico rolante com capacidade de 25 t - 30 kW</v>
          </cell>
          <cell r="C23">
            <v>65.587400000000002</v>
          </cell>
          <cell r="D23">
            <v>49.7592</v>
          </cell>
          <cell r="E23">
            <v>63.399000000000001</v>
          </cell>
          <cell r="F23">
            <v>47.570799999999998</v>
          </cell>
        </row>
        <row r="24">
          <cell r="A24" t="str">
            <v>E9023</v>
          </cell>
          <cell r="B24" t="str">
            <v>Guindaste sobre esteiras com dragline com capacidade de 1,9 a 2,3 m³ - 270 kW</v>
          </cell>
          <cell r="C24">
            <v>323.77749999999997</v>
          </cell>
          <cell r="D24">
            <v>160.92259999999999</v>
          </cell>
          <cell r="E24">
            <v>319.76409999999998</v>
          </cell>
          <cell r="F24">
            <v>156.9092</v>
          </cell>
        </row>
        <row r="25">
          <cell r="A25" t="str">
            <v>E9024</v>
          </cell>
          <cell r="B25" t="str">
            <v>Misturador de nata cimento - 1,5 kW</v>
          </cell>
          <cell r="C25">
            <v>22.650500000000001</v>
          </cell>
          <cell r="D25">
            <v>22.357299999999999</v>
          </cell>
          <cell r="E25">
            <v>20.4621</v>
          </cell>
          <cell r="F25">
            <v>20.168900000000001</v>
          </cell>
        </row>
        <row r="26">
          <cell r="A26" t="str">
            <v>E9025</v>
          </cell>
          <cell r="B26" t="str">
            <v>Conjunto bomba e macaco hidráulico para protensão com capacidade de 7.000 kN</v>
          </cell>
          <cell r="C26">
            <v>46.509399999999999</v>
          </cell>
          <cell r="D26">
            <v>41.740499999999997</v>
          </cell>
          <cell r="E26">
            <v>42.496000000000002</v>
          </cell>
          <cell r="F26">
            <v>37.7271</v>
          </cell>
        </row>
        <row r="27">
          <cell r="A27" t="str">
            <v>E9026</v>
          </cell>
          <cell r="B27" t="str">
            <v>Bomba para injeção de nata de cimento - 2,2 kW</v>
          </cell>
          <cell r="C27">
            <v>2.8828999999999998</v>
          </cell>
          <cell r="D27">
            <v>1.6817</v>
          </cell>
          <cell r="E27">
            <v>2.8828999999999998</v>
          </cell>
          <cell r="F27">
            <v>1.6817</v>
          </cell>
        </row>
        <row r="28">
          <cell r="A28" t="str">
            <v>E9028</v>
          </cell>
          <cell r="B28" t="str">
            <v>Lavadora profissional - 5,2 kW</v>
          </cell>
          <cell r="C28">
            <v>29.396999999999998</v>
          </cell>
          <cell r="D28">
            <v>22.1553</v>
          </cell>
          <cell r="E28">
            <v>27.208600000000001</v>
          </cell>
          <cell r="F28">
            <v>19.966899999999999</v>
          </cell>
        </row>
        <row r="29">
          <cell r="A29" t="str">
            <v>E9029</v>
          </cell>
          <cell r="B29" t="str">
            <v>Conjunto bomba e macaco hidráulico para protensão com capacidade de 8.000 kN</v>
          </cell>
          <cell r="C29">
            <v>49.488100000000003</v>
          </cell>
          <cell r="D29">
            <v>43.424100000000003</v>
          </cell>
          <cell r="E29">
            <v>45.474699999999999</v>
          </cell>
          <cell r="F29">
            <v>39.410699999999999</v>
          </cell>
        </row>
        <row r="30">
          <cell r="A30" t="str">
            <v>E9030</v>
          </cell>
          <cell r="B30" t="str">
            <v>Bomba de protensão com leitura digital para tensionamento de estais - 3 kW</v>
          </cell>
          <cell r="C30">
            <v>1.2921</v>
          </cell>
          <cell r="D30">
            <v>0.73029999999999995</v>
          </cell>
          <cell r="E30">
            <v>1.2921</v>
          </cell>
          <cell r="F30">
            <v>0.73029999999999995</v>
          </cell>
        </row>
        <row r="31">
          <cell r="A31" t="str">
            <v>E9031</v>
          </cell>
          <cell r="B31" t="str">
            <v>Elevador de cremalheira com cabine simples, com capacidade de 1.500 kg e altura de até 100 m - 15 kW</v>
          </cell>
          <cell r="C31">
            <v>47.010399999999997</v>
          </cell>
          <cell r="D31">
            <v>36.5672</v>
          </cell>
          <cell r="E31">
            <v>44.822000000000003</v>
          </cell>
          <cell r="F31">
            <v>34.378799999999998</v>
          </cell>
        </row>
        <row r="32">
          <cell r="A32" t="str">
            <v>E9032</v>
          </cell>
          <cell r="B32" t="str">
            <v>Equipamento para regulagem final de estais com até 37 cordoalhas - D = 15,7 mm - 20 kW</v>
          </cell>
          <cell r="C32">
            <v>43.694899999999997</v>
          </cell>
          <cell r="D32">
            <v>40.149700000000003</v>
          </cell>
          <cell r="E32">
            <v>39.6815</v>
          </cell>
          <cell r="F32">
            <v>36.136299999999999</v>
          </cell>
        </row>
        <row r="33">
          <cell r="A33" t="str">
            <v>E9033</v>
          </cell>
          <cell r="B33" t="str">
            <v>Equipamento para regulagem final de estais de 38 a 55 cordoalhas - D = 15,7 mm - 30 kW</v>
          </cell>
          <cell r="C33">
            <v>47.189500000000002</v>
          </cell>
          <cell r="D33">
            <v>42.124899999999997</v>
          </cell>
          <cell r="E33">
            <v>43.176099999999998</v>
          </cell>
          <cell r="F33">
            <v>38.111499999999999</v>
          </cell>
        </row>
        <row r="34">
          <cell r="A34" t="str">
            <v>E9034</v>
          </cell>
          <cell r="B34" t="str">
            <v>Equipamento para regulagem final de estais de 56 a 73 cordoalhas - D = 15,7 mm - 40 kW</v>
          </cell>
          <cell r="C34">
            <v>53.013800000000003</v>
          </cell>
          <cell r="D34">
            <v>45.416899999999998</v>
          </cell>
          <cell r="E34">
            <v>49.000399999999999</v>
          </cell>
          <cell r="F34">
            <v>41.403500000000001</v>
          </cell>
        </row>
        <row r="35">
          <cell r="A35" t="str">
            <v>E9035</v>
          </cell>
          <cell r="B35" t="str">
            <v>Equipamento para regulagem final de estais de 74 a 91 cordoalhas - D = 15,7 mm - 50 kW</v>
          </cell>
          <cell r="C35">
            <v>58.838099999999997</v>
          </cell>
          <cell r="D35">
            <v>48.7089</v>
          </cell>
          <cell r="E35">
            <v>54.8247</v>
          </cell>
          <cell r="F35">
            <v>44.695500000000003</v>
          </cell>
        </row>
        <row r="36">
          <cell r="A36" t="str">
            <v>E9036</v>
          </cell>
          <cell r="B36" t="str">
            <v>Grua fixa para alturas de 60 a 198 m, com alcance de 60 m com capacidade de 1.500 kg na ponta da lança - 37 kW</v>
          </cell>
          <cell r="C36">
            <v>196.25280000000001</v>
          </cell>
          <cell r="D36">
            <v>122.3623</v>
          </cell>
          <cell r="E36">
            <v>192.23939999999999</v>
          </cell>
          <cell r="F36">
            <v>118.3489</v>
          </cell>
        </row>
        <row r="37">
          <cell r="A37" t="str">
            <v>E9038</v>
          </cell>
          <cell r="B37" t="str">
            <v>Macaco hidráulico monocordoalha para tensionamento de estais</v>
          </cell>
          <cell r="C37">
            <v>37.186100000000003</v>
          </cell>
          <cell r="D37">
            <v>36.470799999999997</v>
          </cell>
          <cell r="E37">
            <v>33.172699999999999</v>
          </cell>
          <cell r="F37">
            <v>32.4574</v>
          </cell>
        </row>
        <row r="38">
          <cell r="A38" t="str">
            <v>E9039</v>
          </cell>
          <cell r="B38" t="str">
            <v>Máquina de solda por termofusão para tubos PEAD com gerador de 5,5 kVA</v>
          </cell>
          <cell r="C38">
            <v>47.943399999999997</v>
          </cell>
          <cell r="D38">
            <v>41.242400000000004</v>
          </cell>
          <cell r="E38">
            <v>43.93</v>
          </cell>
          <cell r="F38">
            <v>37.228999999999999</v>
          </cell>
        </row>
        <row r="39">
          <cell r="A39" t="str">
            <v>E9040</v>
          </cell>
          <cell r="B39" t="str">
            <v>Serra mármore - 1,45 kW</v>
          </cell>
          <cell r="C39">
            <v>5.3699999999999998E-2</v>
          </cell>
          <cell r="D39">
            <v>3.6700000000000003E-2</v>
          </cell>
          <cell r="E39">
            <v>5.3699999999999998E-2</v>
          </cell>
          <cell r="F39">
            <v>3.6700000000000003E-2</v>
          </cell>
        </row>
        <row r="40">
          <cell r="A40" t="str">
            <v>E9042</v>
          </cell>
          <cell r="B40" t="str">
            <v>Trator de esteiras com lâmina - 74,5 kW</v>
          </cell>
          <cell r="C40">
            <v>175.642</v>
          </cell>
          <cell r="D40">
            <v>85.508700000000005</v>
          </cell>
          <cell r="E40">
            <v>172.76169999999999</v>
          </cell>
          <cell r="F40">
            <v>82.628399999999999</v>
          </cell>
        </row>
        <row r="41">
          <cell r="A41" t="str">
            <v>E9043</v>
          </cell>
          <cell r="B41" t="str">
            <v>Barco de alumínio com comprimento de 6 m e motor de popa - 30 HP</v>
          </cell>
          <cell r="C41">
            <v>64.441100000000006</v>
          </cell>
          <cell r="D41">
            <v>29.365300000000001</v>
          </cell>
          <cell r="E41">
            <v>60.188800000000001</v>
          </cell>
          <cell r="F41">
            <v>25.113</v>
          </cell>
        </row>
        <row r="42">
          <cell r="A42" t="str">
            <v>E9044</v>
          </cell>
          <cell r="B42" t="str">
            <v>Central de concreto com capacidade de 150 m³/h - dosadora e misturadora</v>
          </cell>
          <cell r="C42">
            <v>324.69779999999997</v>
          </cell>
          <cell r="D42">
            <v>208.37029999999999</v>
          </cell>
          <cell r="E42">
            <v>320.68439999999998</v>
          </cell>
          <cell r="F42">
            <v>204.3569</v>
          </cell>
        </row>
        <row r="43">
          <cell r="A43" t="str">
            <v>E9045</v>
          </cell>
          <cell r="B43" t="str">
            <v>Conjunto bomba e macaco hidráulico para elevação com capacidade de 490 kN</v>
          </cell>
          <cell r="C43">
            <v>47.765900000000002</v>
          </cell>
          <cell r="D43">
            <v>39.814599999999999</v>
          </cell>
          <cell r="E43">
            <v>43.752499999999998</v>
          </cell>
          <cell r="F43">
            <v>35.801200000000001</v>
          </cell>
        </row>
        <row r="44">
          <cell r="A44" t="str">
            <v>E9046</v>
          </cell>
          <cell r="B44" t="str">
            <v>Conjunto bomba e macaco hidráulico para elevação com capacidade de 980 kN</v>
          </cell>
          <cell r="C44">
            <v>49.187600000000003</v>
          </cell>
          <cell r="D44">
            <v>40.597299999999997</v>
          </cell>
          <cell r="E44">
            <v>45.174199999999999</v>
          </cell>
          <cell r="F44">
            <v>36.5839</v>
          </cell>
        </row>
        <row r="45">
          <cell r="A45" t="str">
            <v>E9047</v>
          </cell>
          <cell r="B45" t="str">
            <v>Conjunto bomba e macaco hidráulico para elevação com capacidade de 1.470 kN</v>
          </cell>
          <cell r="C45">
            <v>43.608899999999998</v>
          </cell>
          <cell r="D45">
            <v>37.5259</v>
          </cell>
          <cell r="E45">
            <v>39.595500000000001</v>
          </cell>
          <cell r="F45">
            <v>33.512500000000003</v>
          </cell>
        </row>
        <row r="46">
          <cell r="A46" t="str">
            <v>E9048</v>
          </cell>
          <cell r="B46" t="str">
            <v>Conjunto bomba e macaco hidráulico para elevação com capacidade de 1.960 kN</v>
          </cell>
          <cell r="C46">
            <v>44.374499999999998</v>
          </cell>
          <cell r="D46">
            <v>37.947400000000002</v>
          </cell>
          <cell r="E46">
            <v>40.3611</v>
          </cell>
          <cell r="F46">
            <v>33.933999999999997</v>
          </cell>
        </row>
        <row r="47">
          <cell r="A47" t="str">
            <v>E9049</v>
          </cell>
          <cell r="B47" t="str">
            <v>Lavadora profissional de alta pressão com capacidade de 250 MPa - 72 kW</v>
          </cell>
          <cell r="C47">
            <v>68.001099999999994</v>
          </cell>
          <cell r="D47">
            <v>24.145199999999999</v>
          </cell>
          <cell r="E47">
            <v>65.812700000000007</v>
          </cell>
          <cell r="F47">
            <v>21.956800000000001</v>
          </cell>
        </row>
        <row r="48">
          <cell r="A48" t="str">
            <v>E9050</v>
          </cell>
          <cell r="B48" t="str">
            <v>Guindaste sobre rodas com capacidade de 370 kN.m - 75 kW</v>
          </cell>
          <cell r="C48">
            <v>163.54830000000001</v>
          </cell>
          <cell r="D48">
            <v>92.290700000000001</v>
          </cell>
          <cell r="E48">
            <v>160.29570000000001</v>
          </cell>
          <cell r="F48">
            <v>89.0381</v>
          </cell>
        </row>
        <row r="49">
          <cell r="A49" t="str">
            <v>E9051</v>
          </cell>
          <cell r="B49" t="str">
            <v>Máquina levantadora e puxadora de via - 7,4 kW</v>
          </cell>
          <cell r="C49">
            <v>124.4658</v>
          </cell>
          <cell r="D49">
            <v>77.067400000000006</v>
          </cell>
          <cell r="E49">
            <v>122.2774</v>
          </cell>
          <cell r="F49">
            <v>74.879000000000005</v>
          </cell>
        </row>
        <row r="50">
          <cell r="A50" t="str">
            <v>E9052</v>
          </cell>
          <cell r="B50" t="str">
            <v>Empilhadeira a diesel com capacidade de 10 t - 100 kW</v>
          </cell>
          <cell r="C50">
            <v>140.29</v>
          </cell>
          <cell r="D50">
            <v>64.325199999999995</v>
          </cell>
          <cell r="E50">
            <v>138.10159999999999</v>
          </cell>
          <cell r="F50">
            <v>62.136800000000001</v>
          </cell>
        </row>
        <row r="51">
          <cell r="A51" t="str">
            <v>E9053</v>
          </cell>
          <cell r="B51" t="str">
            <v>Perfuratriz hidráulica montada em flutuante - 32 kW</v>
          </cell>
          <cell r="C51">
            <v>49.639600000000002</v>
          </cell>
          <cell r="D51">
            <v>34.335799999999999</v>
          </cell>
          <cell r="E51">
            <v>46.801200000000001</v>
          </cell>
          <cell r="F51">
            <v>31.497399999999999</v>
          </cell>
        </row>
        <row r="52">
          <cell r="A52" t="str">
            <v>E9054</v>
          </cell>
          <cell r="B52" t="str">
            <v>Equipamento forma-trilho - 13,4 kW</v>
          </cell>
          <cell r="C52">
            <v>149.67320000000001</v>
          </cell>
          <cell r="D52">
            <v>96.898200000000003</v>
          </cell>
          <cell r="E52">
            <v>147.48480000000001</v>
          </cell>
          <cell r="F52">
            <v>94.709800000000001</v>
          </cell>
        </row>
        <row r="53">
          <cell r="A53" t="str">
            <v>E9055</v>
          </cell>
          <cell r="B53" t="str">
            <v>Guincho pneumático com capacidade de 2,5 t</v>
          </cell>
          <cell r="C53">
            <v>53.008000000000003</v>
          </cell>
          <cell r="D53">
            <v>36.2333</v>
          </cell>
          <cell r="E53">
            <v>53.008000000000003</v>
          </cell>
          <cell r="F53">
            <v>36.2333</v>
          </cell>
        </row>
        <row r="54">
          <cell r="A54" t="str">
            <v>E9056</v>
          </cell>
          <cell r="B54" t="str">
            <v>Plataforma autoelevatória de 12 x 24 m² com capacidade de 150 t</v>
          </cell>
          <cell r="C54">
            <v>151.8698</v>
          </cell>
          <cell r="D54">
            <v>117.1476</v>
          </cell>
          <cell r="E54">
            <v>141.55330000000001</v>
          </cell>
          <cell r="F54">
            <v>106.83110000000001</v>
          </cell>
        </row>
        <row r="55">
          <cell r="A55" t="str">
            <v>E9057</v>
          </cell>
          <cell r="B55" t="str">
            <v>Batelão sem propulsão com capacidade de 100 t</v>
          </cell>
          <cell r="C55">
            <v>52.861800000000002</v>
          </cell>
          <cell r="D55">
            <v>36.143999999999998</v>
          </cell>
          <cell r="E55">
            <v>50.292499999999997</v>
          </cell>
          <cell r="F55">
            <v>33.5747</v>
          </cell>
        </row>
        <row r="56">
          <cell r="A56" t="str">
            <v>E9058</v>
          </cell>
          <cell r="B56" t="str">
            <v>Plataforma flutuante de 12 x 24 x 1,8 m com capacidade de 150 t</v>
          </cell>
          <cell r="C56">
            <v>34.873100000000001</v>
          </cell>
          <cell r="D56">
            <v>27.060600000000001</v>
          </cell>
          <cell r="E56">
            <v>32.303800000000003</v>
          </cell>
          <cell r="F56">
            <v>24.491299999999999</v>
          </cell>
        </row>
        <row r="57">
          <cell r="A57" t="str">
            <v>E9059</v>
          </cell>
          <cell r="B57" t="str">
            <v>Plataforma autoelevatória de 12 x 24 m² montada na obra com capacidade de 150 t</v>
          </cell>
          <cell r="C57">
            <v>213.15450000000001</v>
          </cell>
          <cell r="D57">
            <v>143.71010000000001</v>
          </cell>
          <cell r="E57">
            <v>202.83799999999999</v>
          </cell>
          <cell r="F57">
            <v>133.39359999999999</v>
          </cell>
        </row>
        <row r="58">
          <cell r="A58" t="str">
            <v>E9060</v>
          </cell>
          <cell r="B58" t="str">
            <v>Perfuratriz pneumática rotopercussiva montada em flutuante com pressão de 7 bar - D = 64 a 89 mm</v>
          </cell>
          <cell r="C58">
            <v>63.463299999999997</v>
          </cell>
          <cell r="D58">
            <v>59.296599999999998</v>
          </cell>
          <cell r="E58">
            <v>57.786499999999997</v>
          </cell>
          <cell r="F58">
            <v>53.619799999999998</v>
          </cell>
        </row>
        <row r="59">
          <cell r="A59" t="str">
            <v>E9061</v>
          </cell>
          <cell r="B59" t="str">
            <v>Lixadeira elétrica manual angular - 2 kW</v>
          </cell>
          <cell r="C59">
            <v>0.1409</v>
          </cell>
          <cell r="D59">
            <v>9.3299999999999994E-2</v>
          </cell>
          <cell r="E59">
            <v>0.1409</v>
          </cell>
          <cell r="F59">
            <v>9.3299999999999994E-2</v>
          </cell>
        </row>
        <row r="60">
          <cell r="A60" t="str">
            <v>E9062</v>
          </cell>
          <cell r="B60" t="str">
            <v>Soprador de ar quente manual - 1.600 W</v>
          </cell>
          <cell r="C60">
            <v>0.74670000000000003</v>
          </cell>
          <cell r="D60">
            <v>0.48380000000000001</v>
          </cell>
          <cell r="E60">
            <v>0.74670000000000003</v>
          </cell>
          <cell r="F60">
            <v>0.48380000000000001</v>
          </cell>
        </row>
        <row r="61">
          <cell r="A61" t="str">
            <v>E9063</v>
          </cell>
          <cell r="B61" t="str">
            <v>Máquina estabilizadora dinâmica da via - 300 kW</v>
          </cell>
          <cell r="C61">
            <v>1611.9901</v>
          </cell>
          <cell r="D61">
            <v>894.3306</v>
          </cell>
          <cell r="E61">
            <v>1607.9766999999999</v>
          </cell>
          <cell r="F61">
            <v>890.31719999999996</v>
          </cell>
        </row>
        <row r="62">
          <cell r="A62" t="str">
            <v>E9064</v>
          </cell>
          <cell r="B62" t="str">
            <v>Transportador manual gerica com capacidade de 180 l</v>
          </cell>
          <cell r="C62">
            <v>0.55720000000000003</v>
          </cell>
          <cell r="D62">
            <v>0.37859999999999999</v>
          </cell>
          <cell r="E62">
            <v>0.55720000000000003</v>
          </cell>
          <cell r="F62">
            <v>0.37859999999999999</v>
          </cell>
        </row>
        <row r="63">
          <cell r="A63" t="str">
            <v>E9065</v>
          </cell>
          <cell r="B63" t="str">
            <v>Carro controle ferroviário - 186 kW</v>
          </cell>
          <cell r="C63">
            <v>1394.9919</v>
          </cell>
          <cell r="D63">
            <v>832.99829999999997</v>
          </cell>
          <cell r="E63">
            <v>1390.9784999999999</v>
          </cell>
          <cell r="F63">
            <v>828.98490000000004</v>
          </cell>
        </row>
        <row r="64">
          <cell r="A64" t="str">
            <v>E9066</v>
          </cell>
          <cell r="B64" t="str">
            <v>Grupo gerador - 13/14 kVA</v>
          </cell>
          <cell r="C64">
            <v>9.2045999999999992</v>
          </cell>
          <cell r="D64">
            <v>1.8525</v>
          </cell>
          <cell r="E64">
            <v>9.2045999999999992</v>
          </cell>
          <cell r="F64">
            <v>1.8525</v>
          </cell>
        </row>
        <row r="65">
          <cell r="A65" t="str">
            <v>E9067</v>
          </cell>
          <cell r="B65" t="str">
            <v>Veículo ferroviário para capina química</v>
          </cell>
          <cell r="C65">
            <v>198.5102</v>
          </cell>
          <cell r="D65">
            <v>115.20610000000001</v>
          </cell>
          <cell r="E65">
            <v>196.3218</v>
          </cell>
          <cell r="F65">
            <v>113.0177</v>
          </cell>
        </row>
        <row r="66">
          <cell r="A66" t="str">
            <v>E9068</v>
          </cell>
          <cell r="B66" t="str">
            <v>Perfuratriz hidráulica rotopercussiva para CCPH - 123 kW</v>
          </cell>
          <cell r="C66">
            <v>424.87779999999998</v>
          </cell>
          <cell r="D66">
            <v>217.72319999999999</v>
          </cell>
          <cell r="E66">
            <v>421.9975</v>
          </cell>
          <cell r="F66">
            <v>214.84289999999999</v>
          </cell>
        </row>
        <row r="67">
          <cell r="A67" t="str">
            <v>E9069</v>
          </cell>
          <cell r="B67" t="str">
            <v>Vibrador de imersão para concreto - 4,1 kW</v>
          </cell>
          <cell r="C67">
            <v>6.4951999999999996</v>
          </cell>
          <cell r="D67">
            <v>0.62</v>
          </cell>
          <cell r="E67">
            <v>6.4951999999999996</v>
          </cell>
          <cell r="F67">
            <v>0.62</v>
          </cell>
        </row>
        <row r="68">
          <cell r="A68" t="str">
            <v>E9070</v>
          </cell>
          <cell r="B68" t="str">
            <v>Ponte rolante com acessórios para vão de até 15 m com capacidade de 5 t</v>
          </cell>
          <cell r="C68">
            <v>35.2684</v>
          </cell>
          <cell r="D68">
            <v>31.181999999999999</v>
          </cell>
          <cell r="E68">
            <v>33.08</v>
          </cell>
          <cell r="F68">
            <v>28.993600000000001</v>
          </cell>
        </row>
        <row r="69">
          <cell r="A69" t="str">
            <v>E9071</v>
          </cell>
          <cell r="B69" t="str">
            <v>Transportador manual carrinho de mão com capacidade de 80 l</v>
          </cell>
          <cell r="C69">
            <v>0.23830000000000001</v>
          </cell>
          <cell r="D69">
            <v>0.16189999999999999</v>
          </cell>
          <cell r="E69">
            <v>0.23830000000000001</v>
          </cell>
          <cell r="F69">
            <v>0.16189999999999999</v>
          </cell>
        </row>
        <row r="70">
          <cell r="A70" t="str">
            <v>E9072</v>
          </cell>
          <cell r="B70" t="str">
            <v>Martelo hidráulico vibratório com unidade hidráulica (Power Pack) - 486 kW</v>
          </cell>
          <cell r="C70">
            <v>559.11199999999997</v>
          </cell>
          <cell r="D70">
            <v>213.6174</v>
          </cell>
          <cell r="E70">
            <v>555.09860000000003</v>
          </cell>
          <cell r="F70">
            <v>209.60400000000001</v>
          </cell>
        </row>
        <row r="71">
          <cell r="A71" t="str">
            <v>E9073</v>
          </cell>
          <cell r="B71" t="str">
            <v>Bomba de concreto rebocável com capacidade de 30 m³/h - 74 kW</v>
          </cell>
          <cell r="C71">
            <v>109.94110000000001</v>
          </cell>
          <cell r="D71">
            <v>46.811999999999998</v>
          </cell>
          <cell r="E71">
            <v>107.7527</v>
          </cell>
          <cell r="F71">
            <v>44.623600000000003</v>
          </cell>
        </row>
        <row r="72">
          <cell r="A72" t="str">
            <v>E9074</v>
          </cell>
          <cell r="B72" t="str">
            <v>Tanque de estocagem de asfalto com agitadores de 60.000 l</v>
          </cell>
          <cell r="C72">
            <v>18.398499999999999</v>
          </cell>
          <cell r="D72">
            <v>12.539099999999999</v>
          </cell>
          <cell r="E72">
            <v>18.398499999999999</v>
          </cell>
          <cell r="F72">
            <v>12.539099999999999</v>
          </cell>
        </row>
        <row r="73">
          <cell r="A73" t="str">
            <v>E9075</v>
          </cell>
          <cell r="B73" t="str">
            <v>Trado cavadeira de 12"</v>
          </cell>
          <cell r="C73">
            <v>6.6799999999999998E-2</v>
          </cell>
          <cell r="D73">
            <v>4.58E-2</v>
          </cell>
          <cell r="E73">
            <v>6.6799999999999998E-2</v>
          </cell>
          <cell r="F73">
            <v>4.58E-2</v>
          </cell>
        </row>
        <row r="74">
          <cell r="A74" t="str">
            <v>E9076</v>
          </cell>
          <cell r="B74" t="str">
            <v>Equipamento de pintura com cabine de 7,00 kW e estufa de 80.000 kCal para pintura eletrostática</v>
          </cell>
          <cell r="C74">
            <v>36.654699999999998</v>
          </cell>
          <cell r="D74">
            <v>32.1706</v>
          </cell>
          <cell r="E74">
            <v>34.466299999999997</v>
          </cell>
          <cell r="F74">
            <v>29.982199999999999</v>
          </cell>
        </row>
        <row r="75">
          <cell r="A75" t="str">
            <v>E9077</v>
          </cell>
          <cell r="B75" t="str">
            <v>Perfuratriz Wirth com acessórios e unidade hidráulica (Power Pack) - 273 kW</v>
          </cell>
          <cell r="C75">
            <v>809.21420000000001</v>
          </cell>
          <cell r="D75">
            <v>417.14330000000001</v>
          </cell>
          <cell r="E75">
            <v>806.33389999999997</v>
          </cell>
          <cell r="F75">
            <v>414.26299999999998</v>
          </cell>
        </row>
        <row r="76">
          <cell r="A76" t="str">
            <v>E9078</v>
          </cell>
          <cell r="B76" t="str">
            <v>Treliça lançadeira com capacidade de carga de 120 a 150 t e vão máximo de 45 m - 110 kW</v>
          </cell>
          <cell r="C76">
            <v>167.1979</v>
          </cell>
          <cell r="D76">
            <v>130.21559999999999</v>
          </cell>
          <cell r="E76">
            <v>163.18450000000001</v>
          </cell>
          <cell r="F76">
            <v>126.2022</v>
          </cell>
        </row>
        <row r="77">
          <cell r="A77" t="str">
            <v>E9079</v>
          </cell>
          <cell r="B77" t="str">
            <v>Bomba submersível Flygt 12 - 23 kW</v>
          </cell>
          <cell r="C77">
            <v>8.3927999999999994</v>
          </cell>
          <cell r="D77">
            <v>4.8958000000000004</v>
          </cell>
          <cell r="E77">
            <v>8.3927999999999994</v>
          </cell>
          <cell r="F77">
            <v>4.8958000000000004</v>
          </cell>
        </row>
        <row r="78">
          <cell r="A78" t="str">
            <v>E9080</v>
          </cell>
          <cell r="B78" t="str">
            <v>Carrelone com capacidade máxima de 70 t</v>
          </cell>
          <cell r="C78">
            <v>184.86189999999999</v>
          </cell>
          <cell r="D78">
            <v>137.7766</v>
          </cell>
          <cell r="E78">
            <v>182.67349999999999</v>
          </cell>
          <cell r="F78">
            <v>135.5882</v>
          </cell>
        </row>
        <row r="79">
          <cell r="A79" t="str">
            <v>E9081</v>
          </cell>
          <cell r="B79" t="str">
            <v>Fischietti simples com capacidade máxima de 140 t/par</v>
          </cell>
          <cell r="C79">
            <v>33.021299999999997</v>
          </cell>
          <cell r="D79">
            <v>29.820599999999999</v>
          </cell>
          <cell r="E79">
            <v>30.832899999999999</v>
          </cell>
          <cell r="F79">
            <v>27.632200000000001</v>
          </cell>
        </row>
        <row r="80">
          <cell r="A80" t="str">
            <v>E9083</v>
          </cell>
          <cell r="B80" t="str">
            <v>Vagão fechado tipo FSS</v>
          </cell>
          <cell r="C80">
            <v>14.8491</v>
          </cell>
          <cell r="D80">
            <v>11.3634</v>
          </cell>
          <cell r="E80">
            <v>14.8491</v>
          </cell>
          <cell r="F80">
            <v>11.3634</v>
          </cell>
        </row>
        <row r="81">
          <cell r="A81" t="str">
            <v>E9084</v>
          </cell>
          <cell r="B81" t="str">
            <v>Vagão tanque tipo TCR</v>
          </cell>
          <cell r="C81">
            <v>15.0284</v>
          </cell>
          <cell r="D81">
            <v>11.5006</v>
          </cell>
          <cell r="E81">
            <v>15.0284</v>
          </cell>
          <cell r="F81">
            <v>11.5006</v>
          </cell>
        </row>
        <row r="82">
          <cell r="A82" t="str">
            <v>E9085</v>
          </cell>
          <cell r="B82" t="str">
            <v>Vagão gôndola tipo GTB</v>
          </cell>
          <cell r="C82">
            <v>14.0029</v>
          </cell>
          <cell r="D82">
            <v>10.7158</v>
          </cell>
          <cell r="E82">
            <v>14.0029</v>
          </cell>
          <cell r="F82">
            <v>10.7158</v>
          </cell>
        </row>
        <row r="83">
          <cell r="A83" t="str">
            <v>E9086</v>
          </cell>
          <cell r="B83" t="str">
            <v>Bomba de concreto rebocável com capacidade de 41 m³/h - 74 kW</v>
          </cell>
          <cell r="C83">
            <v>117.08240000000001</v>
          </cell>
          <cell r="D83">
            <v>50.743699999999997</v>
          </cell>
          <cell r="E83">
            <v>114.89400000000001</v>
          </cell>
          <cell r="F83">
            <v>48.555300000000003</v>
          </cell>
        </row>
        <row r="84">
          <cell r="A84" t="str">
            <v>E9087</v>
          </cell>
          <cell r="B84" t="str">
            <v>Vagão hopper aberto com descarga inferior manual com capacidade de 60 t, bitola métrica</v>
          </cell>
          <cell r="C84">
            <v>13.3125</v>
          </cell>
          <cell r="D84">
            <v>10.1875</v>
          </cell>
          <cell r="E84">
            <v>13.3125</v>
          </cell>
          <cell r="F84">
            <v>10.1875</v>
          </cell>
        </row>
        <row r="85">
          <cell r="A85" t="str">
            <v>E9088</v>
          </cell>
          <cell r="B85" t="str">
            <v>Vagão hopper aberto com descarga inferior manual com capacidade de 75 t, bitola larga</v>
          </cell>
          <cell r="C85">
            <v>17.572500000000002</v>
          </cell>
          <cell r="D85">
            <v>13.4475</v>
          </cell>
          <cell r="E85">
            <v>17.572500000000002</v>
          </cell>
          <cell r="F85">
            <v>13.4475</v>
          </cell>
        </row>
        <row r="86">
          <cell r="A86" t="str">
            <v>E9089</v>
          </cell>
          <cell r="B86" t="str">
            <v>Roçadeira costal - 1,4 kW</v>
          </cell>
          <cell r="C86">
            <v>6.4934000000000003</v>
          </cell>
          <cell r="D86">
            <v>0.31290000000000001</v>
          </cell>
          <cell r="E86">
            <v>6.4934000000000003</v>
          </cell>
          <cell r="F86">
            <v>0.31290000000000001</v>
          </cell>
        </row>
        <row r="87">
          <cell r="A87" t="str">
            <v>E9090</v>
          </cell>
          <cell r="B87" t="str">
            <v>Equipamento para descarga de TLS - 140 kW</v>
          </cell>
          <cell r="C87">
            <v>175.98660000000001</v>
          </cell>
          <cell r="D87">
            <v>90.2089</v>
          </cell>
          <cell r="E87">
            <v>171.97319999999999</v>
          </cell>
          <cell r="F87">
            <v>86.195499999999996</v>
          </cell>
        </row>
        <row r="88">
          <cell r="A88" t="str">
            <v>E9091</v>
          </cell>
          <cell r="B88" t="str">
            <v>Empurrador fluvial - 372 kW</v>
          </cell>
          <cell r="C88">
            <v>360.2747</v>
          </cell>
          <cell r="D88">
            <v>125.3802</v>
          </cell>
          <cell r="E88">
            <v>343.9085</v>
          </cell>
          <cell r="F88">
            <v>109.014</v>
          </cell>
        </row>
        <row r="89">
          <cell r="A89" t="str">
            <v>E9093</v>
          </cell>
          <cell r="B89" t="str">
            <v>Veículo leve - 53 kW (sem motorista)</v>
          </cell>
          <cell r="C89">
            <v>24.898900000000001</v>
          </cell>
          <cell r="D89">
            <v>3.7730999999999999</v>
          </cell>
          <cell r="E89">
            <v>24.898900000000001</v>
          </cell>
          <cell r="F89">
            <v>3.7730999999999999</v>
          </cell>
        </row>
        <row r="90">
          <cell r="A90" t="str">
            <v>E9094</v>
          </cell>
          <cell r="B90" t="str">
            <v>Guindaste móvel sobre pneus com 6 eixos com capacidade de 10.500 kN.m - 450 kW</v>
          </cell>
          <cell r="C90">
            <v>1534.0555999999999</v>
          </cell>
          <cell r="D90">
            <v>799.45979999999997</v>
          </cell>
          <cell r="E90">
            <v>1530.8030000000001</v>
          </cell>
          <cell r="F90">
            <v>796.20719999999994</v>
          </cell>
        </row>
        <row r="91">
          <cell r="A91" t="str">
            <v>E9095</v>
          </cell>
          <cell r="B91" t="str">
            <v>Guindaste móvel sobre pneus com 8 eixos com capacidade de 15.000 kN.m - 500 kW</v>
          </cell>
          <cell r="C91">
            <v>2243.9263000000001</v>
          </cell>
          <cell r="D91">
            <v>1175.9264000000001</v>
          </cell>
          <cell r="E91">
            <v>2240.6736999999998</v>
          </cell>
          <cell r="F91">
            <v>1172.6738</v>
          </cell>
        </row>
        <row r="92">
          <cell r="A92" t="str">
            <v>E9096</v>
          </cell>
          <cell r="B92" t="str">
            <v>Minicarregadeira de pneus - 42 kW</v>
          </cell>
          <cell r="C92">
            <v>85.845299999999995</v>
          </cell>
          <cell r="D92">
            <v>42.025199999999998</v>
          </cell>
          <cell r="E92">
            <v>82.965000000000003</v>
          </cell>
          <cell r="F92">
            <v>39.1449</v>
          </cell>
        </row>
        <row r="93">
          <cell r="A93" t="str">
            <v>E9101</v>
          </cell>
          <cell r="B93" t="str">
            <v>Removedora de faixas de sinalização viária - 9,69 kW</v>
          </cell>
          <cell r="C93">
            <v>18.8675</v>
          </cell>
          <cell r="D93">
            <v>3.3422000000000001</v>
          </cell>
          <cell r="E93">
            <v>18.8675</v>
          </cell>
          <cell r="F93">
            <v>3.3422000000000001</v>
          </cell>
        </row>
        <row r="94">
          <cell r="A94" t="str">
            <v>E9102</v>
          </cell>
          <cell r="B94" t="str">
            <v>Extrusora para sarjeta de concreto - 10,44 kW</v>
          </cell>
          <cell r="C94">
            <v>33.272100000000002</v>
          </cell>
          <cell r="D94">
            <v>25.770399999999999</v>
          </cell>
          <cell r="E94">
            <v>31.0837</v>
          </cell>
          <cell r="F94">
            <v>23.582000000000001</v>
          </cell>
        </row>
        <row r="95">
          <cell r="A95" t="str">
            <v>E9103</v>
          </cell>
          <cell r="B95" t="str">
            <v>Extrusora para meio-fio de concreto - 10,44 kW</v>
          </cell>
          <cell r="C95">
            <v>32.530700000000003</v>
          </cell>
          <cell r="D95">
            <v>25.338000000000001</v>
          </cell>
          <cell r="E95">
            <v>30.342300000000002</v>
          </cell>
          <cell r="F95">
            <v>23.1496</v>
          </cell>
        </row>
        <row r="96">
          <cell r="A96" t="str">
            <v>E9104</v>
          </cell>
          <cell r="B96" t="str">
            <v>Embarcação empurradora multipropósito - 2 x 150 HP</v>
          </cell>
          <cell r="C96">
            <v>359.68779999999998</v>
          </cell>
          <cell r="D96">
            <v>158.7379</v>
          </cell>
          <cell r="E96">
            <v>343.32159999999999</v>
          </cell>
          <cell r="F96">
            <v>142.3717</v>
          </cell>
        </row>
        <row r="97">
          <cell r="A97" t="str">
            <v>E9105</v>
          </cell>
          <cell r="B97" t="str">
            <v>Embarcação empurradora multipropósito - 2 x 250 HP</v>
          </cell>
          <cell r="C97">
            <v>513.25310000000002</v>
          </cell>
          <cell r="D97">
            <v>185.36259999999999</v>
          </cell>
          <cell r="E97">
            <v>496.88690000000003</v>
          </cell>
          <cell r="F97">
            <v>168.99639999999999</v>
          </cell>
        </row>
        <row r="98">
          <cell r="A98" t="str">
            <v>E9106</v>
          </cell>
          <cell r="B98" t="str">
            <v>Balsa de convés com capacidade de 200 t</v>
          </cell>
          <cell r="C98">
            <v>37.022500000000001</v>
          </cell>
          <cell r="D98">
            <v>28.145900000000001</v>
          </cell>
          <cell r="E98">
            <v>34.453200000000002</v>
          </cell>
          <cell r="F98">
            <v>25.576599999999999</v>
          </cell>
        </row>
        <row r="99">
          <cell r="A99" t="str">
            <v>E9107</v>
          </cell>
          <cell r="B99" t="str">
            <v>Compactador manual com soquete vibratório - 3 HP</v>
          </cell>
          <cell r="C99">
            <v>4.0955000000000004</v>
          </cell>
          <cell r="D99">
            <v>0.59060000000000001</v>
          </cell>
          <cell r="E99">
            <v>4.0955000000000004</v>
          </cell>
          <cell r="F99">
            <v>0.59060000000000001</v>
          </cell>
        </row>
        <row r="100">
          <cell r="A100" t="str">
            <v>E9108</v>
          </cell>
          <cell r="B100" t="str">
            <v>Soldadora de trilho por caldeamento na via - 400 kW</v>
          </cell>
          <cell r="C100">
            <v>593.04480000000001</v>
          </cell>
          <cell r="D100">
            <v>301.18650000000002</v>
          </cell>
          <cell r="E100">
            <v>585.01800000000003</v>
          </cell>
          <cell r="F100">
            <v>293.15969999999999</v>
          </cell>
        </row>
        <row r="101">
          <cell r="A101" t="str">
            <v>E9110</v>
          </cell>
          <cell r="B101" t="str">
            <v>Escavadeira hidráulica sobre esteira para rocha com caçamba com capacidade de 1,5 m³ - 110 kW</v>
          </cell>
          <cell r="C101">
            <v>211.4273</v>
          </cell>
          <cell r="D101">
            <v>94.324200000000005</v>
          </cell>
          <cell r="E101">
            <v>208.547</v>
          </cell>
          <cell r="F101">
            <v>91.443899999999999</v>
          </cell>
        </row>
        <row r="102">
          <cell r="A102" t="str">
            <v>E9111</v>
          </cell>
          <cell r="B102" t="str">
            <v>Jateador abrasivo úmido com capacidade de 200 kg de abrasivo</v>
          </cell>
          <cell r="C102">
            <v>54.7393</v>
          </cell>
          <cell r="D102">
            <v>39.833599999999997</v>
          </cell>
          <cell r="E102">
            <v>52.550899999999999</v>
          </cell>
          <cell r="F102">
            <v>37.645200000000003</v>
          </cell>
        </row>
        <row r="103">
          <cell r="A103" t="str">
            <v>E9112</v>
          </cell>
          <cell r="B103" t="str">
            <v>Sinalizador direcional móvel, LED, com banco fotovoltaico de energia e montado em chassi com engate</v>
          </cell>
          <cell r="C103">
            <v>3.3195999999999999</v>
          </cell>
          <cell r="D103">
            <v>2.2690999999999999</v>
          </cell>
          <cell r="E103">
            <v>3.3195999999999999</v>
          </cell>
          <cell r="F103">
            <v>2.2690999999999999</v>
          </cell>
        </row>
        <row r="104">
          <cell r="A104" t="str">
            <v>E9113</v>
          </cell>
          <cell r="B104" t="str">
            <v>Painel de mensagem variável PMV portátil móvel, LED, com energia solar e montado em chassi sobre rodas</v>
          </cell>
          <cell r="C104">
            <v>21.5474</v>
          </cell>
          <cell r="D104">
            <v>14.7286</v>
          </cell>
          <cell r="E104">
            <v>21.5474</v>
          </cell>
          <cell r="F104">
            <v>14.7286</v>
          </cell>
        </row>
        <row r="105">
          <cell r="A105" t="str">
            <v>E9116</v>
          </cell>
          <cell r="B105" t="str">
            <v>Semáforo móvel com 3 lentes e bateria - D = 200 mm</v>
          </cell>
          <cell r="C105">
            <v>0.59660000000000002</v>
          </cell>
          <cell r="D105">
            <v>0.4078</v>
          </cell>
          <cell r="E105">
            <v>0.59660000000000002</v>
          </cell>
          <cell r="F105">
            <v>0.4078</v>
          </cell>
        </row>
        <row r="106">
          <cell r="A106" t="str">
            <v>E9117</v>
          </cell>
          <cell r="B106" t="str">
            <v>Carregadeira de pneus para rocha com capacidade de 2,9 m³ - 96 kW</v>
          </cell>
          <cell r="C106">
            <v>191.80240000000001</v>
          </cell>
          <cell r="D106">
            <v>86.490200000000002</v>
          </cell>
          <cell r="E106">
            <v>188.9221</v>
          </cell>
          <cell r="F106">
            <v>83.609899999999996</v>
          </cell>
        </row>
        <row r="107">
          <cell r="A107" t="str">
            <v>E9118</v>
          </cell>
          <cell r="B107" t="str">
            <v>Cortadora de pavimento com disco diamantado de 450 a 1.500 mm - 74 kW</v>
          </cell>
          <cell r="C107">
            <v>114.9802</v>
          </cell>
          <cell r="D107">
            <v>54.550800000000002</v>
          </cell>
          <cell r="E107">
            <v>112.79179999999999</v>
          </cell>
          <cell r="F107">
            <v>52.362400000000001</v>
          </cell>
        </row>
        <row r="108">
          <cell r="A108" t="str">
            <v>E9119</v>
          </cell>
          <cell r="B108" t="str">
            <v>Carregadeira compacta com valetadeira para escavação até a profundidade de 1.575 mm - 55,4 kW</v>
          </cell>
          <cell r="C108">
            <v>117.28879999999999</v>
          </cell>
          <cell r="D108">
            <v>53.854199999999999</v>
          </cell>
          <cell r="E108">
            <v>114.4085</v>
          </cell>
          <cell r="F108">
            <v>50.9739</v>
          </cell>
        </row>
        <row r="109">
          <cell r="A109" t="str">
            <v>E9120</v>
          </cell>
          <cell r="B109" t="str">
            <v>Equipamento de cravação sobre esteira para geodreno com haste para profundidade de até 20 m - 200 kW</v>
          </cell>
          <cell r="C109">
            <v>164.35059999999999</v>
          </cell>
          <cell r="D109">
            <v>57.146799999999999</v>
          </cell>
          <cell r="E109">
            <v>162.16220000000001</v>
          </cell>
          <cell r="F109">
            <v>54.958399999999997</v>
          </cell>
        </row>
        <row r="110">
          <cell r="A110" t="str">
            <v>E9121</v>
          </cell>
          <cell r="B110" t="str">
            <v>Plataforma elevatória articulada elétrica com alcance de 6 m com capacidade de 500 kg - 1,5 kW</v>
          </cell>
          <cell r="C110">
            <v>43.758400000000002</v>
          </cell>
          <cell r="D110">
            <v>34.117899999999999</v>
          </cell>
          <cell r="E110">
            <v>41.57</v>
          </cell>
          <cell r="F110">
            <v>31.929500000000001</v>
          </cell>
        </row>
        <row r="111">
          <cell r="A111" t="str">
            <v>E9122</v>
          </cell>
          <cell r="B111" t="str">
            <v>Perfuratriz tipo Bottom Feed para coluna de brita - 194 kW</v>
          </cell>
          <cell r="C111">
            <v>640.32929999999999</v>
          </cell>
          <cell r="D111">
            <v>336.33260000000001</v>
          </cell>
          <cell r="E111">
            <v>637.44899999999996</v>
          </cell>
          <cell r="F111">
            <v>333.45229999999998</v>
          </cell>
        </row>
        <row r="112">
          <cell r="A112" t="str">
            <v>E9125</v>
          </cell>
          <cell r="B112" t="str">
            <v>Van furgão - 93 kW</v>
          </cell>
          <cell r="C112">
            <v>47.551699999999997</v>
          </cell>
          <cell r="D112">
            <v>29.598299999999998</v>
          </cell>
          <cell r="E112">
            <v>45.086599999999997</v>
          </cell>
          <cell r="F112">
            <v>27.133199999999999</v>
          </cell>
        </row>
        <row r="113">
          <cell r="A113" t="str">
            <v>E9126</v>
          </cell>
          <cell r="B113" t="str">
            <v>Draga backhoe com capacidade de 7 m³ - 1.000 kW</v>
          </cell>
          <cell r="C113">
            <v>3476.9609999999998</v>
          </cell>
          <cell r="D113">
            <v>1294.0606</v>
          </cell>
          <cell r="E113">
            <v>3467.1334999999999</v>
          </cell>
          <cell r="F113">
            <v>1284.2330999999999</v>
          </cell>
        </row>
        <row r="114">
          <cell r="A114" t="str">
            <v>E9127</v>
          </cell>
          <cell r="B114" t="str">
            <v>Escavadeira hidráulica com martelo hidráulico de 500 kg - 103 kW</v>
          </cell>
          <cell r="C114">
            <v>265.41329999999999</v>
          </cell>
          <cell r="D114">
            <v>122.569</v>
          </cell>
          <cell r="E114">
            <v>262.53300000000002</v>
          </cell>
          <cell r="F114">
            <v>119.6887</v>
          </cell>
        </row>
        <row r="115">
          <cell r="A115" t="str">
            <v>E9134</v>
          </cell>
          <cell r="B115" t="str">
            <v>Miniônibus - 111 kW</v>
          </cell>
          <cell r="C115">
            <v>129.8646</v>
          </cell>
          <cell r="D115">
            <v>45.721400000000003</v>
          </cell>
          <cell r="E115">
            <v>127.25830000000001</v>
          </cell>
          <cell r="F115">
            <v>43.115099999999998</v>
          </cell>
        </row>
        <row r="116">
          <cell r="A116" t="str">
            <v>E9141</v>
          </cell>
          <cell r="B116" t="str">
            <v>Rebarbador hidráulico com bomba manual com capacidade de força de 9.000 kgf</v>
          </cell>
          <cell r="C116">
            <v>9.6561000000000003</v>
          </cell>
          <cell r="D116">
            <v>6.3939000000000004</v>
          </cell>
          <cell r="E116">
            <v>9.6561000000000003</v>
          </cell>
          <cell r="F116">
            <v>6.3939000000000004</v>
          </cell>
        </row>
        <row r="117">
          <cell r="A117" t="str">
            <v>E9142</v>
          </cell>
          <cell r="B117" t="str">
            <v>Máquina de alívio de tensões em trilhos Rail Knocker 48 batidas/min</v>
          </cell>
          <cell r="C117">
            <v>26.357299999999999</v>
          </cell>
          <cell r="D117">
            <v>14.0053</v>
          </cell>
          <cell r="E117">
            <v>26.357299999999999</v>
          </cell>
          <cell r="F117">
            <v>14.0053</v>
          </cell>
        </row>
        <row r="118">
          <cell r="A118" t="str">
            <v>E9143</v>
          </cell>
          <cell r="B118" t="str">
            <v>Máquina liberadora de tensão para o processo de soldagem Rail Tensor THR 542</v>
          </cell>
          <cell r="C118">
            <v>11.7662</v>
          </cell>
          <cell r="D118">
            <v>7.7911000000000001</v>
          </cell>
          <cell r="E118">
            <v>11.7662</v>
          </cell>
          <cell r="F118">
            <v>7.7911000000000001</v>
          </cell>
        </row>
        <row r="119">
          <cell r="A119" t="str">
            <v>E9144</v>
          </cell>
          <cell r="B119" t="str">
            <v>Pórtico metálico com talha com capacidade de 5 t</v>
          </cell>
          <cell r="C119">
            <v>31.9087</v>
          </cell>
          <cell r="D119">
            <v>28.852900000000002</v>
          </cell>
          <cell r="E119">
            <v>29.720300000000002</v>
          </cell>
          <cell r="F119">
            <v>26.6645</v>
          </cell>
        </row>
        <row r="120">
          <cell r="A120" t="str">
            <v>E9148</v>
          </cell>
          <cell r="B120" t="str">
            <v>Macaco de protensão de fios com bomba de 5 CV</v>
          </cell>
          <cell r="C120">
            <v>44.953899999999997</v>
          </cell>
          <cell r="D120">
            <v>40.8613</v>
          </cell>
          <cell r="E120">
            <v>40.9405</v>
          </cell>
          <cell r="F120">
            <v>36.847900000000003</v>
          </cell>
        </row>
        <row r="121">
          <cell r="A121" t="str">
            <v>E9149</v>
          </cell>
          <cell r="B121" t="str">
            <v>Máquina de aplicação e extração de grampo elástico tipo pandrol - 6,7 kW</v>
          </cell>
          <cell r="C121">
            <v>42.383000000000003</v>
          </cell>
          <cell r="D121">
            <v>19.333400000000001</v>
          </cell>
          <cell r="E121">
            <v>42.383000000000003</v>
          </cell>
          <cell r="F121">
            <v>19.333400000000001</v>
          </cell>
        </row>
        <row r="122">
          <cell r="A122" t="str">
            <v>E9151</v>
          </cell>
          <cell r="B122" t="str">
            <v>Britador de mandíbulas móvel, sem peneira, com capacidade de 140 m³/h – 170 kW</v>
          </cell>
          <cell r="C122">
            <v>494.20080000000002</v>
          </cell>
          <cell r="D122">
            <v>242.09569999999999</v>
          </cell>
          <cell r="E122">
            <v>490.18740000000003</v>
          </cell>
          <cell r="F122">
            <v>238.0823</v>
          </cell>
        </row>
        <row r="123">
          <cell r="A123" t="str">
            <v>E9154</v>
          </cell>
          <cell r="B123" t="str">
            <v>Equipamento para selagem com material asfáltico rebocável - 35 kW</v>
          </cell>
          <cell r="C123">
            <v>65.9495</v>
          </cell>
          <cell r="D123">
            <v>44.121099999999998</v>
          </cell>
          <cell r="E123">
            <v>63.761099999999999</v>
          </cell>
          <cell r="F123">
            <v>41.932699999999997</v>
          </cell>
        </row>
        <row r="124">
          <cell r="A124" t="str">
            <v>E9155</v>
          </cell>
          <cell r="B124" t="str">
            <v>Caldeira de asfalto rebocável com capacidade de 600 l</v>
          </cell>
          <cell r="C124">
            <v>7.3605</v>
          </cell>
          <cell r="D124">
            <v>4.0713999999999997</v>
          </cell>
          <cell r="E124">
            <v>7.3605</v>
          </cell>
          <cell r="F124">
            <v>4.0713999999999997</v>
          </cell>
        </row>
        <row r="125">
          <cell r="A125" t="str">
            <v>E9200</v>
          </cell>
          <cell r="B125" t="str">
            <v>Carregadeira de pneus com capacidade de 3,3 m³ - 213 kW com periculosidade</v>
          </cell>
          <cell r="C125">
            <v>257.67939999999999</v>
          </cell>
          <cell r="D125">
            <v>129.49180000000001</v>
          </cell>
          <cell r="E125">
            <v>253.94149999999999</v>
          </cell>
          <cell r="F125">
            <v>125.7539</v>
          </cell>
        </row>
        <row r="126">
          <cell r="A126" t="str">
            <v>E9203</v>
          </cell>
          <cell r="B126" t="str">
            <v>Escavadeira hidráulica com martelo hidráulico de 1.700 kg - 103 kW com periculosidade</v>
          </cell>
          <cell r="C126">
            <v>344.28489999999999</v>
          </cell>
          <cell r="D126">
            <v>164.0137</v>
          </cell>
          <cell r="E126">
            <v>340.54700000000003</v>
          </cell>
          <cell r="F126">
            <v>160.2758</v>
          </cell>
        </row>
        <row r="127">
          <cell r="A127" t="str">
            <v>E9204</v>
          </cell>
          <cell r="B127" t="str">
            <v>Perfuratriz sobre esteiras - 145 kW com periculosidade</v>
          </cell>
          <cell r="C127">
            <v>378.31200000000001</v>
          </cell>
          <cell r="D127">
            <v>188.9804</v>
          </cell>
          <cell r="E127">
            <v>374.57409999999999</v>
          </cell>
          <cell r="F127">
            <v>185.24250000000001</v>
          </cell>
        </row>
        <row r="128">
          <cell r="A128" t="str">
            <v>E9205</v>
          </cell>
          <cell r="B128" t="str">
            <v>Equipamento de corte a plasma CNC - 12.000 x 5.500 mm - 19,5 kW</v>
          </cell>
          <cell r="C128">
            <v>121.66</v>
          </cell>
          <cell r="D128">
            <v>75.459999999999994</v>
          </cell>
          <cell r="E128">
            <v>121.66</v>
          </cell>
          <cell r="F128">
            <v>75.459999999999994</v>
          </cell>
        </row>
        <row r="129">
          <cell r="A129" t="str">
            <v>E9206</v>
          </cell>
          <cell r="B129" t="str">
            <v>Equipamento de solda MIG automática com acessórios - 14,6 kVA</v>
          </cell>
          <cell r="C129">
            <v>6.2487000000000004</v>
          </cell>
          <cell r="D129">
            <v>3.4403000000000001</v>
          </cell>
          <cell r="E129">
            <v>6.2487000000000004</v>
          </cell>
          <cell r="F129">
            <v>3.4403000000000001</v>
          </cell>
        </row>
        <row r="130">
          <cell r="A130" t="str">
            <v>E9207</v>
          </cell>
          <cell r="B130" t="str">
            <v>Máquina retificadora de solda elétrica 425 A - 18,7 kW</v>
          </cell>
          <cell r="C130">
            <v>0.54220000000000002</v>
          </cell>
          <cell r="D130">
            <v>0.29849999999999999</v>
          </cell>
          <cell r="E130">
            <v>0.54220000000000002</v>
          </cell>
          <cell r="F130">
            <v>0.29849999999999999</v>
          </cell>
        </row>
        <row r="131">
          <cell r="A131" t="str">
            <v>E9209</v>
          </cell>
          <cell r="B131" t="str">
            <v>Martelete perfurador/rompedor a ar comprimido de 25 kg para rocha com insalubridade</v>
          </cell>
          <cell r="C131">
            <v>28.5686</v>
          </cell>
          <cell r="D131">
            <v>27.324000000000002</v>
          </cell>
          <cell r="E131">
            <v>25.867999999999999</v>
          </cell>
          <cell r="F131">
            <v>24.6234</v>
          </cell>
        </row>
        <row r="132">
          <cell r="A132" t="str">
            <v>E9213</v>
          </cell>
          <cell r="B132" t="str">
            <v>Jumbo eletro-hidráulico com 3 braços - 233 kW com periculosidade</v>
          </cell>
          <cell r="C132">
            <v>1434.1754000000001</v>
          </cell>
          <cell r="D132">
            <v>667.91989999999998</v>
          </cell>
          <cell r="E132">
            <v>1428.9645</v>
          </cell>
          <cell r="F132">
            <v>662.70899999999995</v>
          </cell>
        </row>
        <row r="133">
          <cell r="A133" t="str">
            <v>E9251</v>
          </cell>
          <cell r="B133" t="str">
            <v>Fonte de plasma para corte manual - 65A - 15 kW</v>
          </cell>
          <cell r="C133">
            <v>3.6787999999999998</v>
          </cell>
          <cell r="D133">
            <v>2.0253999999999999</v>
          </cell>
          <cell r="E133">
            <v>3.6787999999999998</v>
          </cell>
          <cell r="F133">
            <v>2.0253999999999999</v>
          </cell>
        </row>
        <row r="134">
          <cell r="A134" t="str">
            <v>E9252</v>
          </cell>
          <cell r="B134" t="str">
            <v>Serra de esquadria com braço telescópico - D = 10" - 1,8 kW</v>
          </cell>
          <cell r="C134">
            <v>0.44359999999999999</v>
          </cell>
          <cell r="D134">
            <v>0.30320000000000003</v>
          </cell>
          <cell r="E134">
            <v>0.44359999999999999</v>
          </cell>
          <cell r="F134">
            <v>0.30320000000000003</v>
          </cell>
        </row>
        <row r="135">
          <cell r="A135" t="str">
            <v>E9253</v>
          </cell>
          <cell r="B135" t="str">
            <v>Rebordeadeira diâmetro máximo 3m - 4,85 kW</v>
          </cell>
          <cell r="C135">
            <v>4.0534999999999997</v>
          </cell>
          <cell r="D135">
            <v>2.5030000000000001</v>
          </cell>
          <cell r="E135">
            <v>4.0534999999999997</v>
          </cell>
          <cell r="F135">
            <v>2.5030000000000001</v>
          </cell>
        </row>
        <row r="136">
          <cell r="A136" t="str">
            <v>E9254</v>
          </cell>
          <cell r="B136" t="str">
            <v>Dobradeira viradeira manual comprimento máximo de dobra de até 2.000 mm</v>
          </cell>
          <cell r="C136">
            <v>0.88</v>
          </cell>
          <cell r="D136">
            <v>0.54339999999999999</v>
          </cell>
          <cell r="E136">
            <v>0.88</v>
          </cell>
          <cell r="F136">
            <v>0.54339999999999999</v>
          </cell>
        </row>
        <row r="137">
          <cell r="A137" t="str">
            <v>E9255</v>
          </cell>
          <cell r="B137" t="str">
            <v>Fonte de plasma para corte manual - 45A - 10 kW</v>
          </cell>
          <cell r="C137">
            <v>2.5714000000000001</v>
          </cell>
          <cell r="D137">
            <v>1.4157</v>
          </cell>
          <cell r="E137">
            <v>2.5714000000000001</v>
          </cell>
          <cell r="F137">
            <v>1.4157</v>
          </cell>
        </row>
        <row r="138">
          <cell r="A138" t="str">
            <v>E9500</v>
          </cell>
          <cell r="B138" t="str">
            <v>Vagão gôndola com capacidade de 100 t</v>
          </cell>
          <cell r="C138">
            <v>13.9948</v>
          </cell>
          <cell r="D138">
            <v>10.7096</v>
          </cell>
          <cell r="E138">
            <v>13.9948</v>
          </cell>
          <cell r="F138">
            <v>10.7096</v>
          </cell>
        </row>
        <row r="139">
          <cell r="A139" t="str">
            <v>E9501</v>
          </cell>
          <cell r="B139" t="str">
            <v>Ventilador axial para ventilação forçada - 30 kW</v>
          </cell>
          <cell r="C139">
            <v>44.046999999999997</v>
          </cell>
          <cell r="D139">
            <v>28.315899999999999</v>
          </cell>
          <cell r="E139">
            <v>44.046999999999997</v>
          </cell>
          <cell r="F139">
            <v>28.315899999999999</v>
          </cell>
        </row>
        <row r="140">
          <cell r="A140" t="str">
            <v>E9502</v>
          </cell>
          <cell r="B140" t="str">
            <v>Bate-estaca de gravidade para 3,5 a 4,0 t - 119 kW</v>
          </cell>
          <cell r="C140">
            <v>186.90440000000001</v>
          </cell>
          <cell r="D140">
            <v>98.572100000000006</v>
          </cell>
          <cell r="E140">
            <v>184.0241</v>
          </cell>
          <cell r="F140">
            <v>95.691800000000001</v>
          </cell>
        </row>
        <row r="141">
          <cell r="A141" t="str">
            <v>E9503</v>
          </cell>
          <cell r="B141" t="str">
            <v>Guilhotina hidráulica 16 x 6.100 mm - 40 CV</v>
          </cell>
          <cell r="C141">
            <v>95.001400000000004</v>
          </cell>
          <cell r="D141">
            <v>67.057000000000002</v>
          </cell>
          <cell r="E141">
            <v>92.813000000000002</v>
          </cell>
          <cell r="F141">
            <v>64.868600000000001</v>
          </cell>
        </row>
        <row r="142">
          <cell r="A142" t="str">
            <v>E9505</v>
          </cell>
          <cell r="B142" t="str">
            <v>Prensa dobradeira capacidade 320 t - comprimento até 3.100 mm - 30 kW</v>
          </cell>
          <cell r="C142">
            <v>63.348700000000001</v>
          </cell>
          <cell r="D142">
            <v>47.511899999999997</v>
          </cell>
          <cell r="E142">
            <v>61.160299999999999</v>
          </cell>
          <cell r="F142">
            <v>45.323500000000003</v>
          </cell>
        </row>
        <row r="143">
          <cell r="A143" t="str">
            <v>E9507</v>
          </cell>
          <cell r="B143" t="str">
            <v>Computador, plotter de recorte e software</v>
          </cell>
          <cell r="C143">
            <v>8.7278000000000002</v>
          </cell>
          <cell r="D143">
            <v>5.4953000000000003</v>
          </cell>
          <cell r="E143">
            <v>8.7278000000000002</v>
          </cell>
          <cell r="F143">
            <v>5.4953000000000003</v>
          </cell>
        </row>
        <row r="144">
          <cell r="A144" t="str">
            <v>E9510</v>
          </cell>
          <cell r="B144" t="str">
            <v>Ventilador centrífugo baixa pressão com capacidade de 58 m³/min - 3,68 kW</v>
          </cell>
          <cell r="C144">
            <v>1.5224</v>
          </cell>
          <cell r="D144">
            <v>0.97870000000000001</v>
          </cell>
          <cell r="E144">
            <v>1.5224</v>
          </cell>
          <cell r="F144">
            <v>0.97870000000000001</v>
          </cell>
        </row>
        <row r="145">
          <cell r="A145" t="str">
            <v>E9511</v>
          </cell>
          <cell r="B145" t="str">
            <v>Carregadeira de pneus com capacidade de 3,3 m³ - 213 kW</v>
          </cell>
          <cell r="C145">
            <v>251.22900000000001</v>
          </cell>
          <cell r="D145">
            <v>123.0414</v>
          </cell>
          <cell r="E145">
            <v>248.34870000000001</v>
          </cell>
          <cell r="F145">
            <v>120.1611</v>
          </cell>
        </row>
        <row r="146">
          <cell r="A146" t="str">
            <v>E9512</v>
          </cell>
          <cell r="B146" t="str">
            <v>Veículo leve - 53 kW</v>
          </cell>
          <cell r="C146">
            <v>48.8309</v>
          </cell>
          <cell r="D146">
            <v>27.705100000000002</v>
          </cell>
          <cell r="E146">
            <v>46.3658</v>
          </cell>
          <cell r="F146">
            <v>25.24</v>
          </cell>
        </row>
        <row r="147">
          <cell r="A147" t="str">
            <v>E9513</v>
          </cell>
          <cell r="B147" t="str">
            <v>Compressor de ar portátil de 340 PCM - 81 kW</v>
          </cell>
          <cell r="C147">
            <v>66.342299999999994</v>
          </cell>
          <cell r="D147">
            <v>13.612500000000001</v>
          </cell>
          <cell r="E147">
            <v>66.342299999999994</v>
          </cell>
          <cell r="F147">
            <v>13.612500000000001</v>
          </cell>
        </row>
        <row r="148">
          <cell r="A148" t="str">
            <v>E9514</v>
          </cell>
          <cell r="B148" t="str">
            <v>Distribuidor de agregados autopropelido - 130 kW</v>
          </cell>
          <cell r="C148">
            <v>172.18780000000001</v>
          </cell>
          <cell r="D148">
            <v>68.865399999999994</v>
          </cell>
          <cell r="E148">
            <v>169.3075</v>
          </cell>
          <cell r="F148">
            <v>65.985100000000003</v>
          </cell>
        </row>
        <row r="149">
          <cell r="A149" t="str">
            <v>E9515</v>
          </cell>
          <cell r="B149" t="str">
            <v>Escavadeira hidráulica sobre esteira com caçamba com capacidade de 1,5 m³ - 110 kW</v>
          </cell>
          <cell r="C149">
            <v>191.32169999999999</v>
          </cell>
          <cell r="D149">
            <v>94.324200000000005</v>
          </cell>
          <cell r="E149">
            <v>188.44139999999999</v>
          </cell>
          <cell r="F149">
            <v>91.443899999999999</v>
          </cell>
        </row>
        <row r="150">
          <cell r="A150" t="str">
            <v>E9516</v>
          </cell>
          <cell r="B150" t="str">
            <v>Perfuratriz hidráulica sobre esteiras - 300 kW</v>
          </cell>
          <cell r="C150">
            <v>704.59849999999994</v>
          </cell>
          <cell r="D150">
            <v>354.17689999999999</v>
          </cell>
          <cell r="E150">
            <v>701.71820000000002</v>
          </cell>
          <cell r="F150">
            <v>351.29660000000001</v>
          </cell>
        </row>
        <row r="151">
          <cell r="A151" t="str">
            <v>E9517</v>
          </cell>
          <cell r="B151" t="str">
            <v>Compressor de ar portátil de 912 PCM - 242 kW</v>
          </cell>
          <cell r="C151">
            <v>182.75790000000001</v>
          </cell>
          <cell r="D151">
            <v>32.048299999999998</v>
          </cell>
          <cell r="E151">
            <v>182.75790000000001</v>
          </cell>
          <cell r="F151">
            <v>32.048299999999998</v>
          </cell>
        </row>
        <row r="152">
          <cell r="A152" t="str">
            <v>E9518</v>
          </cell>
          <cell r="B152" t="str">
            <v>Grade de 24 discos rebocável de 24"</v>
          </cell>
          <cell r="C152">
            <v>2.4129</v>
          </cell>
          <cell r="D152">
            <v>1.6773</v>
          </cell>
          <cell r="E152">
            <v>2.4129</v>
          </cell>
          <cell r="F152">
            <v>1.6773</v>
          </cell>
        </row>
        <row r="153">
          <cell r="A153" t="str">
            <v>E9519</v>
          </cell>
          <cell r="B153" t="str">
            <v>Betoneira com motor a gasolina com capacidade de 600 l - 10 kW</v>
          </cell>
          <cell r="C153">
            <v>37.950600000000001</v>
          </cell>
          <cell r="D153">
            <v>23.4636</v>
          </cell>
          <cell r="E153">
            <v>35.7622</v>
          </cell>
          <cell r="F153">
            <v>21.275200000000002</v>
          </cell>
        </row>
        <row r="154">
          <cell r="A154" t="str">
            <v>E9521</v>
          </cell>
          <cell r="B154" t="str">
            <v>Grupo gerador - 2,5/3 kVA</v>
          </cell>
          <cell r="C154">
            <v>2.6829000000000001</v>
          </cell>
          <cell r="D154">
            <v>0.1734</v>
          </cell>
          <cell r="E154">
            <v>2.6829000000000001</v>
          </cell>
          <cell r="F154">
            <v>0.1734</v>
          </cell>
        </row>
        <row r="155">
          <cell r="A155" t="str">
            <v>E9522</v>
          </cell>
          <cell r="B155" t="str">
            <v>Caldeira de asfalto rebocável com capacidade de 1.500 l - 6,5 kW</v>
          </cell>
          <cell r="C155">
            <v>12.125500000000001</v>
          </cell>
          <cell r="D155">
            <v>7.4047999999999998</v>
          </cell>
          <cell r="E155">
            <v>12.125500000000001</v>
          </cell>
          <cell r="F155">
            <v>7.4047999999999998</v>
          </cell>
        </row>
        <row r="156">
          <cell r="A156" t="str">
            <v>E9523</v>
          </cell>
          <cell r="B156" t="str">
            <v>Motoscraper - 304 kW</v>
          </cell>
          <cell r="C156">
            <v>673.31039999999996</v>
          </cell>
          <cell r="D156">
            <v>299.3494</v>
          </cell>
          <cell r="E156">
            <v>670.43010000000004</v>
          </cell>
          <cell r="F156">
            <v>296.46910000000003</v>
          </cell>
        </row>
        <row r="157">
          <cell r="A157" t="str">
            <v>E9524</v>
          </cell>
          <cell r="B157" t="str">
            <v>Motoniveladora - 93 kW</v>
          </cell>
          <cell r="C157">
            <v>161.72389999999999</v>
          </cell>
          <cell r="D157">
            <v>74.188999999999993</v>
          </cell>
          <cell r="E157">
            <v>158.84360000000001</v>
          </cell>
          <cell r="F157">
            <v>71.308700000000002</v>
          </cell>
        </row>
        <row r="158">
          <cell r="A158" t="str">
            <v>E9525</v>
          </cell>
          <cell r="B158" t="str">
            <v>Ponte rolante capacidade 15 t - vão até 15 m - com acessórios - 20 kW</v>
          </cell>
          <cell r="C158">
            <v>96.324600000000004</v>
          </cell>
          <cell r="D158">
            <v>80.241500000000002</v>
          </cell>
          <cell r="E158">
            <v>91.947800000000001</v>
          </cell>
          <cell r="F158">
            <v>75.864699999999999</v>
          </cell>
        </row>
        <row r="159">
          <cell r="A159" t="str">
            <v>E9526</v>
          </cell>
          <cell r="B159" t="str">
            <v>Retroescavadeira de pneus - 58 kW</v>
          </cell>
          <cell r="C159">
            <v>87.614900000000006</v>
          </cell>
          <cell r="D159">
            <v>48.033000000000001</v>
          </cell>
          <cell r="E159">
            <v>84.7346</v>
          </cell>
          <cell r="F159">
            <v>45.152700000000003</v>
          </cell>
        </row>
        <row r="160">
          <cell r="A160" t="str">
            <v>E9527</v>
          </cell>
          <cell r="B160" t="str">
            <v>Martelete perfurador/rompedor a ar comprimido de 25 kg para rocha</v>
          </cell>
          <cell r="C160">
            <v>24.716000000000001</v>
          </cell>
          <cell r="D160">
            <v>23.471399999999999</v>
          </cell>
          <cell r="E160">
            <v>22.5276</v>
          </cell>
          <cell r="F160">
            <v>21.283000000000001</v>
          </cell>
        </row>
        <row r="161">
          <cell r="A161" t="str">
            <v>E9528</v>
          </cell>
          <cell r="B161" t="str">
            <v>Empilhadeira a diesel com capacidade de 4 t - 60 kW</v>
          </cell>
          <cell r="C161">
            <v>83.299499999999995</v>
          </cell>
          <cell r="D161">
            <v>41.742800000000003</v>
          </cell>
          <cell r="E161">
            <v>81.111099999999993</v>
          </cell>
          <cell r="F161">
            <v>39.554400000000001</v>
          </cell>
        </row>
        <row r="162">
          <cell r="A162" t="str">
            <v>E9529</v>
          </cell>
          <cell r="B162" t="str">
            <v>Jateadora com mesa transportadora de rolos de 3.200 x 600 x 1.300 mm - 22 kW</v>
          </cell>
          <cell r="C162">
            <v>325.2808</v>
          </cell>
          <cell r="D162">
            <v>212.2371</v>
          </cell>
          <cell r="E162">
            <v>323.0924</v>
          </cell>
          <cell r="F162">
            <v>210.0487</v>
          </cell>
        </row>
        <row r="163">
          <cell r="A163" t="str">
            <v>E9530</v>
          </cell>
          <cell r="B163" t="str">
            <v>Rolo compactador liso autopropelido vibratório de 11 t - 97 kW</v>
          </cell>
          <cell r="C163">
            <v>133.81440000000001</v>
          </cell>
          <cell r="D163">
            <v>60.287199999999999</v>
          </cell>
          <cell r="E163">
            <v>130.9341</v>
          </cell>
          <cell r="F163">
            <v>57.4069</v>
          </cell>
        </row>
        <row r="164">
          <cell r="A164" t="str">
            <v>E9532</v>
          </cell>
          <cell r="B164" t="str">
            <v>Equipamento de solda MIG com acessórios - 14,6 kVA</v>
          </cell>
          <cell r="C164">
            <v>6.2487000000000004</v>
          </cell>
          <cell r="D164">
            <v>3.4403000000000001</v>
          </cell>
          <cell r="E164">
            <v>6.2487000000000004</v>
          </cell>
          <cell r="F164">
            <v>3.4403000000000001</v>
          </cell>
        </row>
        <row r="165">
          <cell r="A165" t="str">
            <v>E9535</v>
          </cell>
          <cell r="B165" t="str">
            <v>Serra circular com bancada - D = 30 cm - 4 kW</v>
          </cell>
          <cell r="C165">
            <v>22.473800000000001</v>
          </cell>
          <cell r="D165">
            <v>22.306999999999999</v>
          </cell>
          <cell r="E165">
            <v>20.285399999999999</v>
          </cell>
          <cell r="F165">
            <v>20.118600000000001</v>
          </cell>
        </row>
        <row r="166">
          <cell r="A166" t="str">
            <v>E9536</v>
          </cell>
          <cell r="B166" t="str">
            <v>Embarcação de apoio - 40 HP</v>
          </cell>
          <cell r="C166">
            <v>78.376499999999993</v>
          </cell>
          <cell r="D166">
            <v>30.556100000000001</v>
          </cell>
          <cell r="E166">
            <v>74.124200000000002</v>
          </cell>
          <cell r="F166">
            <v>26.303799999999999</v>
          </cell>
        </row>
        <row r="167">
          <cell r="A167" t="str">
            <v>E9537</v>
          </cell>
          <cell r="B167" t="str">
            <v>Carregadeira de pneus com capacidade de 1,72 m³ - 113 kW</v>
          </cell>
          <cell r="C167">
            <v>109.47790000000001</v>
          </cell>
          <cell r="D167">
            <v>57.6648</v>
          </cell>
          <cell r="E167">
            <v>106.5976</v>
          </cell>
          <cell r="F167">
            <v>54.784500000000001</v>
          </cell>
        </row>
        <row r="168">
          <cell r="A168" t="str">
            <v>E9538</v>
          </cell>
          <cell r="B168" t="str">
            <v>Conjunto vibratório para meio tubo de concreto com encaixe PB e 3 jogos de fôrmas - D = 30 cm - 2,2 kW</v>
          </cell>
          <cell r="C168">
            <v>3.4977</v>
          </cell>
          <cell r="D168">
            <v>2.1695000000000002</v>
          </cell>
          <cell r="E168">
            <v>3.4977</v>
          </cell>
          <cell r="F168">
            <v>2.1695000000000002</v>
          </cell>
        </row>
        <row r="169">
          <cell r="A169" t="str">
            <v>E9539</v>
          </cell>
          <cell r="B169" t="str">
            <v>Equipamento de batimetria monofeixe</v>
          </cell>
          <cell r="C169">
            <v>37.172400000000003</v>
          </cell>
          <cell r="D169">
            <v>32.551000000000002</v>
          </cell>
          <cell r="E169">
            <v>34.048099999999998</v>
          </cell>
          <cell r="F169">
            <v>29.4267</v>
          </cell>
        </row>
        <row r="170">
          <cell r="A170" t="str">
            <v>E9540</v>
          </cell>
          <cell r="B170" t="str">
            <v>Trator de esteiras com lâmina - 112 kW</v>
          </cell>
          <cell r="C170">
            <v>169.70070000000001</v>
          </cell>
          <cell r="D170">
            <v>74.541499999999999</v>
          </cell>
          <cell r="E170">
            <v>166.82040000000001</v>
          </cell>
          <cell r="F170">
            <v>71.661199999999994</v>
          </cell>
        </row>
        <row r="171">
          <cell r="A171" t="str">
            <v>E9541</v>
          </cell>
          <cell r="B171" t="str">
            <v>Trator de esteiras com lâmina - 259 kW</v>
          </cell>
          <cell r="C171">
            <v>398.82229999999998</v>
          </cell>
          <cell r="D171">
            <v>157.7559</v>
          </cell>
          <cell r="E171">
            <v>395.94200000000001</v>
          </cell>
          <cell r="F171">
            <v>154.87559999999999</v>
          </cell>
        </row>
        <row r="172">
          <cell r="A172" t="str">
            <v>E9544</v>
          </cell>
          <cell r="B172" t="str">
            <v>Vassoura mecânica rebocável</v>
          </cell>
          <cell r="C172">
            <v>5.9161999999999999</v>
          </cell>
          <cell r="D172">
            <v>3.8033000000000001</v>
          </cell>
          <cell r="E172">
            <v>5.9161999999999999</v>
          </cell>
          <cell r="F172">
            <v>3.8033000000000001</v>
          </cell>
        </row>
        <row r="173">
          <cell r="A173" t="str">
            <v>E9545</v>
          </cell>
          <cell r="B173" t="str">
            <v>Vibroacabadora de asfalto sobre esteiras - 82 kW</v>
          </cell>
          <cell r="C173">
            <v>202.95859999999999</v>
          </cell>
          <cell r="D173">
            <v>96.822900000000004</v>
          </cell>
          <cell r="E173">
            <v>198.9452</v>
          </cell>
          <cell r="F173">
            <v>92.8095</v>
          </cell>
        </row>
        <row r="174">
          <cell r="A174" t="str">
            <v>E9547</v>
          </cell>
          <cell r="B174" t="str">
            <v>Máquina para solda elétrica - 9,2 kW</v>
          </cell>
          <cell r="C174">
            <v>8.2299999999999998E-2</v>
          </cell>
          <cell r="D174">
            <v>4.53E-2</v>
          </cell>
          <cell r="E174">
            <v>8.2299999999999998E-2</v>
          </cell>
          <cell r="F174">
            <v>4.53E-2</v>
          </cell>
        </row>
        <row r="175">
          <cell r="A175" t="str">
            <v>E9548</v>
          </cell>
          <cell r="B175" t="str">
            <v>Bomba centrífuga com capacidade de 8,6 a 22 m³/h - 1,5 kW</v>
          </cell>
          <cell r="C175">
            <v>0.1764</v>
          </cell>
          <cell r="D175">
            <v>0.10290000000000001</v>
          </cell>
          <cell r="E175">
            <v>0.1764</v>
          </cell>
          <cell r="F175">
            <v>0.10290000000000001</v>
          </cell>
        </row>
        <row r="176">
          <cell r="A176" t="str">
            <v>E9551</v>
          </cell>
          <cell r="B176" t="str">
            <v>Obturador mecânico simples com extensão de 12 m</v>
          </cell>
          <cell r="C176">
            <v>0.97709999999999997</v>
          </cell>
          <cell r="D176">
            <v>0.66790000000000005</v>
          </cell>
          <cell r="E176">
            <v>0.97709999999999997</v>
          </cell>
          <cell r="F176">
            <v>0.66790000000000005</v>
          </cell>
        </row>
        <row r="177">
          <cell r="A177" t="str">
            <v>E9552</v>
          </cell>
          <cell r="B177" t="str">
            <v>Nível ótico</v>
          </cell>
          <cell r="C177">
            <v>1.3211999999999999</v>
          </cell>
          <cell r="D177">
            <v>0.87490000000000001</v>
          </cell>
          <cell r="E177">
            <v>1.3211999999999999</v>
          </cell>
          <cell r="F177">
            <v>0.87490000000000001</v>
          </cell>
        </row>
        <row r="178">
          <cell r="A178" t="str">
            <v>E9553</v>
          </cell>
          <cell r="B178" t="str">
            <v>Estação total eletrônica com precisão angular de 2", linear de 2 mm e alcance com 1 prisma de 3.000 m</v>
          </cell>
          <cell r="C178">
            <v>3.4706999999999999</v>
          </cell>
          <cell r="D178">
            <v>2.3723999999999998</v>
          </cell>
          <cell r="E178">
            <v>3.4706999999999999</v>
          </cell>
          <cell r="F178">
            <v>2.3723999999999998</v>
          </cell>
        </row>
        <row r="179">
          <cell r="A179" t="str">
            <v>E9556</v>
          </cell>
          <cell r="B179" t="str">
            <v>Compactador manual de placa vibratória - 3 kW</v>
          </cell>
          <cell r="C179">
            <v>6.5374999999999996</v>
          </cell>
          <cell r="D179">
            <v>1.3783000000000001</v>
          </cell>
          <cell r="E179">
            <v>6.5374999999999996</v>
          </cell>
          <cell r="F179">
            <v>1.3783000000000001</v>
          </cell>
        </row>
        <row r="180">
          <cell r="A180" t="str">
            <v>E9558</v>
          </cell>
          <cell r="B180" t="str">
            <v>Tanque de estocagem de asfalto com capacidade de 30.000 l</v>
          </cell>
          <cell r="C180">
            <v>15.329499999999999</v>
          </cell>
          <cell r="D180">
            <v>10.4475</v>
          </cell>
          <cell r="E180">
            <v>15.329499999999999</v>
          </cell>
          <cell r="F180">
            <v>10.4475</v>
          </cell>
        </row>
        <row r="181">
          <cell r="A181" t="str">
            <v>E9559</v>
          </cell>
          <cell r="B181" t="str">
            <v>Aquecedor de fluido térmico - 12 kW</v>
          </cell>
          <cell r="C181">
            <v>35.835900000000002</v>
          </cell>
          <cell r="D181">
            <v>20.063600000000001</v>
          </cell>
          <cell r="E181">
            <v>35.835900000000002</v>
          </cell>
          <cell r="F181">
            <v>20.063600000000001</v>
          </cell>
        </row>
        <row r="182">
          <cell r="A182" t="str">
            <v>E9560</v>
          </cell>
          <cell r="B182" t="str">
            <v>Ônibus com capacidade para 80 lugares - 175 kW</v>
          </cell>
          <cell r="C182">
            <v>192.52510000000001</v>
          </cell>
          <cell r="D182">
            <v>58.808599999999998</v>
          </cell>
          <cell r="E182">
            <v>189.9188</v>
          </cell>
          <cell r="F182">
            <v>56.202300000000001</v>
          </cell>
        </row>
        <row r="183">
          <cell r="A183" t="str">
            <v>E9561</v>
          </cell>
          <cell r="B183" t="str">
            <v>GPS geodésico de simples frequência (L1)</v>
          </cell>
          <cell r="C183">
            <v>3.7704</v>
          </cell>
          <cell r="D183">
            <v>2.4965999999999999</v>
          </cell>
          <cell r="E183">
            <v>3.7704</v>
          </cell>
          <cell r="F183">
            <v>2.4965999999999999</v>
          </cell>
        </row>
        <row r="184">
          <cell r="A184" t="str">
            <v>E9562</v>
          </cell>
          <cell r="B184" t="str">
            <v>GPS geodésico de dupla frequência (L1/L2)</v>
          </cell>
          <cell r="C184">
            <v>5.923</v>
          </cell>
          <cell r="D184">
            <v>3.9220000000000002</v>
          </cell>
          <cell r="E184">
            <v>5.923</v>
          </cell>
          <cell r="F184">
            <v>3.9220000000000002</v>
          </cell>
        </row>
        <row r="185">
          <cell r="A185" t="str">
            <v>E9563</v>
          </cell>
          <cell r="B185" t="str">
            <v>Perfuratriz hidráulica sobre esteiras com clamshell - 220 kW</v>
          </cell>
          <cell r="C185">
            <v>457.1438</v>
          </cell>
          <cell r="D185">
            <v>229.6934</v>
          </cell>
          <cell r="E185">
            <v>454.26350000000002</v>
          </cell>
          <cell r="F185">
            <v>226.81309999999999</v>
          </cell>
        </row>
        <row r="186">
          <cell r="A186" t="str">
            <v>E9565</v>
          </cell>
          <cell r="B186" t="str">
            <v>Trator de esteiras com escarificador - 259 kW</v>
          </cell>
          <cell r="C186">
            <v>400.3963</v>
          </cell>
          <cell r="D186">
            <v>158.5429</v>
          </cell>
          <cell r="E186">
            <v>397.51600000000002</v>
          </cell>
          <cell r="F186">
            <v>155.6626</v>
          </cell>
        </row>
        <row r="187">
          <cell r="A187" t="str">
            <v>E9566</v>
          </cell>
          <cell r="B187" t="str">
            <v>Guindaste sobre esteiras com clamshell de 1,9 m³ - 220 kW</v>
          </cell>
          <cell r="C187">
            <v>317.3836</v>
          </cell>
          <cell r="D187">
            <v>161.54259999999999</v>
          </cell>
          <cell r="E187">
            <v>313.37020000000001</v>
          </cell>
          <cell r="F187">
            <v>157.5292</v>
          </cell>
        </row>
        <row r="188">
          <cell r="A188" t="str">
            <v>E9567</v>
          </cell>
          <cell r="B188" t="str">
            <v>Fresadora de piso de concreto - 6,7 kW</v>
          </cell>
          <cell r="C188">
            <v>11.430099999999999</v>
          </cell>
          <cell r="D188">
            <v>1.2916000000000001</v>
          </cell>
          <cell r="E188">
            <v>11.430099999999999</v>
          </cell>
          <cell r="F188">
            <v>1.2916000000000001</v>
          </cell>
        </row>
        <row r="189">
          <cell r="A189" t="str">
            <v>E9568</v>
          </cell>
          <cell r="B189" t="str">
            <v>Furadeira de impacto de 12,5 mm - 0,8 kW</v>
          </cell>
          <cell r="C189">
            <v>0.13420000000000001</v>
          </cell>
          <cell r="D189">
            <v>8.8900000000000007E-2</v>
          </cell>
          <cell r="E189">
            <v>0.13420000000000001</v>
          </cell>
          <cell r="F189">
            <v>8.8900000000000007E-2</v>
          </cell>
        </row>
        <row r="190">
          <cell r="A190" t="str">
            <v>E9569</v>
          </cell>
          <cell r="B190" t="str">
            <v>Guindaste sobre esteiras com clamshell de 4,6 m³ - 403 kW</v>
          </cell>
          <cell r="C190">
            <v>268.06689999999998</v>
          </cell>
          <cell r="D190">
            <v>139.88489999999999</v>
          </cell>
          <cell r="E190">
            <v>260.0401</v>
          </cell>
          <cell r="F190">
            <v>131.85810000000001</v>
          </cell>
        </row>
        <row r="191">
          <cell r="A191" t="str">
            <v>E9574</v>
          </cell>
          <cell r="B191" t="str">
            <v>Perfuratriz sobre esteiras - 145 kW</v>
          </cell>
          <cell r="C191">
            <v>371.86160000000001</v>
          </cell>
          <cell r="D191">
            <v>182.53</v>
          </cell>
          <cell r="E191">
            <v>368.98129999999998</v>
          </cell>
          <cell r="F191">
            <v>179.6497</v>
          </cell>
        </row>
        <row r="192">
          <cell r="A192" t="str">
            <v>E9576</v>
          </cell>
          <cell r="B192" t="str">
            <v>Escavadeira hidráulica de longo alcance sobre esteiras - 103 kW</v>
          </cell>
          <cell r="C192">
            <v>166.52959999999999</v>
          </cell>
          <cell r="D192">
            <v>82.059899999999999</v>
          </cell>
          <cell r="E192">
            <v>163.64930000000001</v>
          </cell>
          <cell r="F192">
            <v>79.179599999999994</v>
          </cell>
        </row>
        <row r="193">
          <cell r="A193" t="str">
            <v>E9577</v>
          </cell>
          <cell r="B193" t="str">
            <v>Trator agrícola - 77 kW</v>
          </cell>
          <cell r="C193">
            <v>119.0502</v>
          </cell>
          <cell r="D193">
            <v>34.966099999999997</v>
          </cell>
          <cell r="E193">
            <v>116.8618</v>
          </cell>
          <cell r="F193">
            <v>32.777700000000003</v>
          </cell>
        </row>
        <row r="194">
          <cell r="A194" t="str">
            <v>E9578</v>
          </cell>
          <cell r="B194" t="str">
            <v>Conjunto vibratório para meio tubo de concreto com encaixe PB e 3 jogos de fôrmas - D = 40 cm - 2,2 kW</v>
          </cell>
          <cell r="C194">
            <v>3.6899000000000002</v>
          </cell>
          <cell r="D194">
            <v>2.2887</v>
          </cell>
          <cell r="E194">
            <v>3.6899000000000002</v>
          </cell>
          <cell r="F194">
            <v>2.2887</v>
          </cell>
        </row>
        <row r="195">
          <cell r="A195" t="str">
            <v>E9580</v>
          </cell>
          <cell r="B195" t="str">
            <v>Distribuidora/fresadora com controle de greide - 287 kW</v>
          </cell>
          <cell r="C195">
            <v>505.52030000000002</v>
          </cell>
          <cell r="D195">
            <v>184.4796</v>
          </cell>
          <cell r="E195">
            <v>501.50689999999997</v>
          </cell>
          <cell r="F195">
            <v>180.46619999999999</v>
          </cell>
        </row>
        <row r="196">
          <cell r="A196" t="str">
            <v>E9582</v>
          </cell>
          <cell r="B196" t="str">
            <v>Carregadeira de pneus com capacidade de 2,9 m³ - 96 kW</v>
          </cell>
          <cell r="C196">
            <v>141.9579</v>
          </cell>
          <cell r="D196">
            <v>68.289599999999993</v>
          </cell>
          <cell r="E196">
            <v>139.07759999999999</v>
          </cell>
          <cell r="F196">
            <v>65.409300000000002</v>
          </cell>
        </row>
        <row r="197">
          <cell r="A197" t="str">
            <v>E9583</v>
          </cell>
          <cell r="B197" t="str">
            <v>Distribuidor de agregados rebocável com capacidade de 1,9 m³</v>
          </cell>
          <cell r="C197">
            <v>7.7736000000000001</v>
          </cell>
          <cell r="D197">
            <v>4.9973000000000001</v>
          </cell>
          <cell r="E197">
            <v>7.7736000000000001</v>
          </cell>
          <cell r="F197">
            <v>4.9973000000000001</v>
          </cell>
        </row>
        <row r="198">
          <cell r="A198" t="str">
            <v>E9584</v>
          </cell>
          <cell r="B198" t="str">
            <v>Carregadeira de pneus com capacidade de 1,53 m³ - 106 kW</v>
          </cell>
          <cell r="C198">
            <v>107.5184</v>
          </cell>
          <cell r="D198">
            <v>57.523600000000002</v>
          </cell>
          <cell r="E198">
            <v>104.63809999999999</v>
          </cell>
          <cell r="F198">
            <v>54.643300000000004</v>
          </cell>
        </row>
        <row r="199">
          <cell r="A199" t="str">
            <v>E9585</v>
          </cell>
          <cell r="B199" t="str">
            <v>Motoserra com motor a gasolina - 2,3 kW</v>
          </cell>
          <cell r="C199">
            <v>26.988800000000001</v>
          </cell>
          <cell r="D199">
            <v>22.968699999999998</v>
          </cell>
          <cell r="E199">
            <v>24.8004</v>
          </cell>
          <cell r="F199">
            <v>20.7803</v>
          </cell>
        </row>
        <row r="200">
          <cell r="A200" t="str">
            <v>E9586</v>
          </cell>
          <cell r="B200" t="str">
            <v>Régua vibratória treliçada com 4 m - 4,1 kW</v>
          </cell>
          <cell r="C200">
            <v>6.0763999999999996</v>
          </cell>
          <cell r="D200">
            <v>0.314</v>
          </cell>
          <cell r="E200">
            <v>6.0763999999999996</v>
          </cell>
          <cell r="F200">
            <v>0.314</v>
          </cell>
        </row>
        <row r="201">
          <cell r="A201" t="str">
            <v>E9588</v>
          </cell>
          <cell r="B201" t="str">
            <v>Vibroacabadora de concreto com fôrmas deslizantes - 205 kW</v>
          </cell>
          <cell r="C201">
            <v>536.03769999999997</v>
          </cell>
          <cell r="D201">
            <v>230.6131</v>
          </cell>
          <cell r="E201">
            <v>532.02430000000004</v>
          </cell>
          <cell r="F201">
            <v>226.59970000000001</v>
          </cell>
        </row>
        <row r="202">
          <cell r="A202" t="str">
            <v>E9589</v>
          </cell>
          <cell r="B202" t="str">
            <v>Texturizadora/cura - 44,8 kW</v>
          </cell>
          <cell r="C202">
            <v>132.96549999999999</v>
          </cell>
          <cell r="D202">
            <v>76.066199999999995</v>
          </cell>
          <cell r="E202">
            <v>130.08519999999999</v>
          </cell>
          <cell r="F202">
            <v>73.185900000000004</v>
          </cell>
        </row>
        <row r="203">
          <cell r="A203" t="str">
            <v>E9590</v>
          </cell>
          <cell r="B203" t="str">
            <v>Central de concreto com capacidade de 40 m³/h - dosadora fixa</v>
          </cell>
          <cell r="C203">
            <v>64.815799999999996</v>
          </cell>
          <cell r="D203">
            <v>53.038499999999999</v>
          </cell>
          <cell r="E203">
            <v>60.802399999999999</v>
          </cell>
          <cell r="F203">
            <v>49.025100000000002</v>
          </cell>
        </row>
        <row r="204">
          <cell r="A204" t="str">
            <v>E9591</v>
          </cell>
          <cell r="B204" t="str">
            <v>Serra para corte de concreto e asfalto - 10 kW</v>
          </cell>
          <cell r="C204">
            <v>15.5078</v>
          </cell>
          <cell r="D204">
            <v>1.1372</v>
          </cell>
          <cell r="E204">
            <v>15.5078</v>
          </cell>
          <cell r="F204">
            <v>1.1372</v>
          </cell>
        </row>
        <row r="205">
          <cell r="A205" t="str">
            <v>E9593</v>
          </cell>
          <cell r="B205" t="str">
            <v>Draga hopper com capacidade de 750 m³</v>
          </cell>
          <cell r="C205">
            <v>2713.5079999999998</v>
          </cell>
          <cell r="D205">
            <v>1099.4775999999999</v>
          </cell>
          <cell r="E205">
            <v>2692.1091000000001</v>
          </cell>
          <cell r="F205">
            <v>1078.0787</v>
          </cell>
        </row>
        <row r="206">
          <cell r="A206" t="str">
            <v>E9594</v>
          </cell>
          <cell r="B206" t="str">
            <v>Draga hopper com capacidade de 1.000 m³</v>
          </cell>
          <cell r="C206">
            <v>3219.5246999999999</v>
          </cell>
          <cell r="D206">
            <v>1297.9277999999999</v>
          </cell>
          <cell r="E206">
            <v>3195.5565000000001</v>
          </cell>
          <cell r="F206">
            <v>1273.9595999999999</v>
          </cell>
        </row>
        <row r="207">
          <cell r="A207" t="str">
            <v>E9595</v>
          </cell>
          <cell r="B207" t="str">
            <v>Draga hopper com capacidade de 2.000 m³</v>
          </cell>
          <cell r="C207">
            <v>6279.6947</v>
          </cell>
          <cell r="D207">
            <v>2481.6925000000001</v>
          </cell>
          <cell r="E207">
            <v>6255.7264999999998</v>
          </cell>
          <cell r="F207">
            <v>2457.7242999999999</v>
          </cell>
        </row>
        <row r="208">
          <cell r="A208" t="str">
            <v>E9596</v>
          </cell>
          <cell r="B208" t="str">
            <v>Draga hopper com capacidade de 3.000 m³</v>
          </cell>
          <cell r="C208">
            <v>8271.3687000000009</v>
          </cell>
          <cell r="D208">
            <v>3265.1588000000002</v>
          </cell>
          <cell r="E208">
            <v>8230.9074000000001</v>
          </cell>
          <cell r="F208">
            <v>3224.6975000000002</v>
          </cell>
        </row>
        <row r="209">
          <cell r="A209" t="str">
            <v>E9597</v>
          </cell>
          <cell r="B209" t="str">
            <v>Draga hopper com capacidade de 4.000 m³</v>
          </cell>
          <cell r="C209">
            <v>9499.4552000000003</v>
          </cell>
          <cell r="D209">
            <v>3677.7501000000002</v>
          </cell>
          <cell r="E209">
            <v>9453.5</v>
          </cell>
          <cell r="F209">
            <v>3631.7948999999999</v>
          </cell>
        </row>
        <row r="210">
          <cell r="A210" t="str">
            <v>E9598</v>
          </cell>
          <cell r="B210" t="str">
            <v>Draga hopper com capacidade de 5.000 m³</v>
          </cell>
          <cell r="C210">
            <v>11318.184600000001</v>
          </cell>
          <cell r="D210">
            <v>4323.4400999999998</v>
          </cell>
          <cell r="E210">
            <v>11272.2294</v>
          </cell>
          <cell r="F210">
            <v>4277.4849000000004</v>
          </cell>
        </row>
        <row r="211">
          <cell r="A211" t="str">
            <v>E9599</v>
          </cell>
          <cell r="B211" t="str">
            <v>Central de concreto com capacidade de 30 m³/h - dosadora RS</v>
          </cell>
          <cell r="C211">
            <v>45.744799999999998</v>
          </cell>
          <cell r="D211">
            <v>41.639800000000001</v>
          </cell>
          <cell r="E211">
            <v>41.731400000000001</v>
          </cell>
          <cell r="F211">
            <v>37.626399999999997</v>
          </cell>
        </row>
        <row r="212">
          <cell r="A212" t="str">
            <v>E9601</v>
          </cell>
          <cell r="B212" t="str">
            <v>Embarcação de transporte de pessoal e apoio logístico - 175 HP</v>
          </cell>
          <cell r="C212">
            <v>244.78870000000001</v>
          </cell>
          <cell r="D212">
            <v>36.877200000000002</v>
          </cell>
          <cell r="E212">
            <v>240.53639999999999</v>
          </cell>
          <cell r="F212">
            <v>32.624899999999997</v>
          </cell>
        </row>
        <row r="213">
          <cell r="A213" t="str">
            <v>E9603</v>
          </cell>
          <cell r="B213" t="str">
            <v>Embarcação empurradora multipropósito com guindaste hidráulico de 11 t.m - 2 x 150 HP</v>
          </cell>
          <cell r="C213">
            <v>375.27010000000001</v>
          </cell>
          <cell r="D213">
            <v>164.8477</v>
          </cell>
          <cell r="E213">
            <v>358.90390000000002</v>
          </cell>
          <cell r="F213">
            <v>148.48150000000001</v>
          </cell>
        </row>
        <row r="214">
          <cell r="A214" t="str">
            <v>E9606</v>
          </cell>
          <cell r="B214" t="str">
            <v>Rebocador - 2 x 360 HP</v>
          </cell>
          <cell r="C214">
            <v>473.77710000000002</v>
          </cell>
          <cell r="D214">
            <v>132.4383</v>
          </cell>
          <cell r="E214">
            <v>457.41090000000003</v>
          </cell>
          <cell r="F214">
            <v>116.07210000000001</v>
          </cell>
        </row>
        <row r="215">
          <cell r="A215" t="str">
            <v>E9607</v>
          </cell>
          <cell r="B215" t="str">
            <v>Conjunto de britagem para rachão com capacidade de 80 m³/h</v>
          </cell>
          <cell r="C215">
            <v>208.8999</v>
          </cell>
          <cell r="D215">
            <v>145.4759</v>
          </cell>
          <cell r="E215">
            <v>204.88650000000001</v>
          </cell>
          <cell r="F215">
            <v>141.46250000000001</v>
          </cell>
        </row>
        <row r="216">
          <cell r="A216" t="str">
            <v>E9608</v>
          </cell>
          <cell r="B216" t="str">
            <v>Lancha de apoio - 40 HP</v>
          </cell>
          <cell r="C216">
            <v>76.731399999999994</v>
          </cell>
          <cell r="D216">
            <v>29.648700000000002</v>
          </cell>
          <cell r="E216">
            <v>72.479100000000003</v>
          </cell>
          <cell r="F216">
            <v>25.3964</v>
          </cell>
        </row>
        <row r="217">
          <cell r="A217" t="str">
            <v>E9609</v>
          </cell>
          <cell r="B217" t="str">
            <v>Draga de sucção para extração de areia com tubo de descarga de 150 mm - 100 kW</v>
          </cell>
          <cell r="C217">
            <v>107.057</v>
          </cell>
          <cell r="D217">
            <v>53.6952</v>
          </cell>
          <cell r="E217">
            <v>99.7988</v>
          </cell>
          <cell r="F217">
            <v>46.436999999999998</v>
          </cell>
        </row>
        <row r="218">
          <cell r="A218" t="str">
            <v>E9611</v>
          </cell>
          <cell r="B218" t="str">
            <v>Conjunto de britagem com capacidade de 80 m³/h</v>
          </cell>
          <cell r="C218">
            <v>620.23180000000002</v>
          </cell>
          <cell r="D218">
            <v>406.32049999999998</v>
          </cell>
          <cell r="E218">
            <v>616.21839999999997</v>
          </cell>
          <cell r="F218">
            <v>402.30709999999999</v>
          </cell>
        </row>
        <row r="219">
          <cell r="A219" t="str">
            <v>E9612</v>
          </cell>
          <cell r="B219" t="str">
            <v>Plataforma flutuante montada na obra de 12 x 24 x 1,8 m com capacidade de 150 t</v>
          </cell>
          <cell r="C219">
            <v>53.9649</v>
          </cell>
          <cell r="D219">
            <v>46.1524</v>
          </cell>
          <cell r="E219">
            <v>48.826300000000003</v>
          </cell>
          <cell r="F219">
            <v>41.013800000000003</v>
          </cell>
        </row>
        <row r="220">
          <cell r="A220" t="str">
            <v>E9613</v>
          </cell>
          <cell r="B220" t="str">
            <v>Guindaste sobre esteiras com pinça - 220 kW</v>
          </cell>
          <cell r="C220">
            <v>321.24560000000002</v>
          </cell>
          <cell r="D220">
            <v>163.50210000000001</v>
          </cell>
          <cell r="E220">
            <v>317.23219999999998</v>
          </cell>
          <cell r="F220">
            <v>159.48869999999999</v>
          </cell>
        </row>
        <row r="221">
          <cell r="A221" t="str">
            <v>E9614</v>
          </cell>
          <cell r="B221" t="str">
            <v>Bomba com câmara de vácuo - 5,6 kW</v>
          </cell>
          <cell r="C221">
            <v>0.69930000000000003</v>
          </cell>
          <cell r="D221">
            <v>0.40789999999999998</v>
          </cell>
          <cell r="E221">
            <v>0.69930000000000003</v>
          </cell>
          <cell r="F221">
            <v>0.40789999999999998</v>
          </cell>
        </row>
        <row r="222">
          <cell r="A222" t="str">
            <v>E9615</v>
          </cell>
          <cell r="B222" t="str">
            <v>Usina misturadora de solos com capacidade de 300 t/h</v>
          </cell>
          <cell r="C222">
            <v>161.2277</v>
          </cell>
          <cell r="D222">
            <v>107.2877</v>
          </cell>
          <cell r="E222">
            <v>158.34739999999999</v>
          </cell>
          <cell r="F222">
            <v>104.4074</v>
          </cell>
        </row>
        <row r="223">
          <cell r="A223" t="str">
            <v>E9617</v>
          </cell>
          <cell r="B223" t="str">
            <v>Usina misturadora de pré misturado a frio com capacidade de 60 t/h</v>
          </cell>
          <cell r="C223">
            <v>41.348199999999999</v>
          </cell>
          <cell r="D223">
            <v>35.635599999999997</v>
          </cell>
          <cell r="E223">
            <v>38.4679</v>
          </cell>
          <cell r="F223">
            <v>32.755299999999998</v>
          </cell>
        </row>
        <row r="224">
          <cell r="A224" t="str">
            <v>E9618</v>
          </cell>
          <cell r="B224" t="str">
            <v>Batelão autopropelido com capacidade de 300 m³</v>
          </cell>
          <cell r="C224">
            <v>625.42510000000004</v>
          </cell>
          <cell r="D224">
            <v>305.12639999999999</v>
          </cell>
          <cell r="E224">
            <v>611.98350000000005</v>
          </cell>
          <cell r="F224">
            <v>291.6848</v>
          </cell>
        </row>
        <row r="225">
          <cell r="A225" t="str">
            <v>E9619</v>
          </cell>
          <cell r="B225" t="str">
            <v>Batelão autopropelido com capacidade de 500 m³</v>
          </cell>
          <cell r="C225">
            <v>764.46900000000005</v>
          </cell>
          <cell r="D225">
            <v>353.58789999999999</v>
          </cell>
          <cell r="E225">
            <v>751.02739999999994</v>
          </cell>
          <cell r="F225">
            <v>340.1463</v>
          </cell>
        </row>
        <row r="226">
          <cell r="A226" t="str">
            <v>E9620</v>
          </cell>
          <cell r="B226" t="str">
            <v>Pontão flutuante de 15 x 30 x 1,8 m com capacidade de 500 t</v>
          </cell>
          <cell r="C226">
            <v>47.6449</v>
          </cell>
          <cell r="D226">
            <v>33.509700000000002</v>
          </cell>
          <cell r="E226">
            <v>45.075600000000001</v>
          </cell>
          <cell r="F226">
            <v>30.9404</v>
          </cell>
        </row>
        <row r="227">
          <cell r="A227" t="str">
            <v>E9621</v>
          </cell>
          <cell r="B227" t="str">
            <v>Bomba de injeção de argamassa e nata com capacidade de 50 l/min e misturador com tambor de 150 l - 12,5 kW</v>
          </cell>
          <cell r="C227">
            <v>65.797700000000006</v>
          </cell>
          <cell r="D227">
            <v>42.106099999999998</v>
          </cell>
          <cell r="E227">
            <v>63.609299999999998</v>
          </cell>
          <cell r="F227">
            <v>39.917700000000004</v>
          </cell>
        </row>
        <row r="228">
          <cell r="A228" t="str">
            <v>E9622</v>
          </cell>
          <cell r="B228" t="str">
            <v>Máquina de bancada universal para corte de chapa - 1,5 kW</v>
          </cell>
          <cell r="C228">
            <v>4.4821</v>
          </cell>
          <cell r="D228">
            <v>2.8422999999999998</v>
          </cell>
          <cell r="E228">
            <v>4.4821</v>
          </cell>
          <cell r="F228">
            <v>2.8422999999999998</v>
          </cell>
        </row>
        <row r="229">
          <cell r="A229" t="str">
            <v>E9623</v>
          </cell>
          <cell r="B229" t="str">
            <v>Máquina de bancada guilhotina - 4 kW</v>
          </cell>
          <cell r="C229">
            <v>7.0639000000000003</v>
          </cell>
          <cell r="D229">
            <v>4.4794999999999998</v>
          </cell>
          <cell r="E229">
            <v>7.0639000000000003</v>
          </cell>
          <cell r="F229">
            <v>4.4794999999999998</v>
          </cell>
        </row>
        <row r="230">
          <cell r="A230" t="str">
            <v>E9624</v>
          </cell>
          <cell r="B230" t="str">
            <v>Draga hopper com capacidade de 10.000 m³</v>
          </cell>
          <cell r="C230">
            <v>17942.648799999999</v>
          </cell>
          <cell r="D230">
            <v>6718.5757000000003</v>
          </cell>
          <cell r="E230">
            <v>17880.682700000001</v>
          </cell>
          <cell r="F230">
            <v>6656.6095999999998</v>
          </cell>
        </row>
        <row r="231">
          <cell r="A231" t="str">
            <v>E9625</v>
          </cell>
          <cell r="B231" t="str">
            <v>Draga hopper com capacidade de 15.000 m³</v>
          </cell>
          <cell r="C231">
            <v>25811.7029</v>
          </cell>
          <cell r="D231">
            <v>9570.8528999999999</v>
          </cell>
          <cell r="E231">
            <v>25746.824499999999</v>
          </cell>
          <cell r="F231">
            <v>9505.9745000000003</v>
          </cell>
        </row>
        <row r="232">
          <cell r="A232" t="str">
            <v>E9626</v>
          </cell>
          <cell r="B232" t="str">
            <v>Draga hopper com capacidade de 20.000 m³</v>
          </cell>
          <cell r="C232">
            <v>33715.220300000001</v>
          </cell>
          <cell r="D232">
            <v>12421.0378</v>
          </cell>
          <cell r="E232">
            <v>33647.772599999997</v>
          </cell>
          <cell r="F232">
            <v>12353.590099999999</v>
          </cell>
        </row>
        <row r="233">
          <cell r="A233" t="str">
            <v>E9628</v>
          </cell>
          <cell r="B233" t="str">
            <v>Fábrica de pré-moldado de concreto para balizador - 2,2 kW</v>
          </cell>
          <cell r="C233">
            <v>2.8698000000000001</v>
          </cell>
          <cell r="D233">
            <v>1.78</v>
          </cell>
          <cell r="E233">
            <v>2.8698000000000001</v>
          </cell>
          <cell r="F233">
            <v>1.78</v>
          </cell>
        </row>
        <row r="234">
          <cell r="A234" t="str">
            <v>E9630</v>
          </cell>
          <cell r="B234" t="str">
            <v>Bomba submersível com capacidade de 75 m³/h - 3,6 kW</v>
          </cell>
          <cell r="C234">
            <v>0.53610000000000002</v>
          </cell>
          <cell r="D234">
            <v>0.31269999999999998</v>
          </cell>
          <cell r="E234">
            <v>0.53610000000000002</v>
          </cell>
          <cell r="F234">
            <v>0.31269999999999998</v>
          </cell>
        </row>
        <row r="235">
          <cell r="A235" t="str">
            <v>E9631</v>
          </cell>
          <cell r="B235" t="str">
            <v>Bomba para concreto projetado via seca com capacidade de 6 m³/h - 7,5 kW</v>
          </cell>
          <cell r="C235">
            <v>44.344799999999999</v>
          </cell>
          <cell r="D235">
            <v>40.676499999999997</v>
          </cell>
          <cell r="E235">
            <v>40.331400000000002</v>
          </cell>
          <cell r="F235">
            <v>36.6631</v>
          </cell>
        </row>
        <row r="236">
          <cell r="A236" t="str">
            <v>E9632</v>
          </cell>
          <cell r="B236" t="str">
            <v>Conjunto vibratório para tubos de concreto com encaixe PB e 3 jogos de fôrmas - D = 20 cm - 2,2 kW</v>
          </cell>
          <cell r="C236">
            <v>9.7439</v>
          </cell>
          <cell r="D236">
            <v>6.0437000000000003</v>
          </cell>
          <cell r="E236">
            <v>9.7439</v>
          </cell>
          <cell r="F236">
            <v>6.0437000000000003</v>
          </cell>
        </row>
        <row r="237">
          <cell r="A237" t="str">
            <v>E9633</v>
          </cell>
          <cell r="B237" t="str">
            <v>Conjunto vibratório para tubos de concreto com encaixe PB e 3 jogos de fôrmas - D = 30 cm - 2,2 kW</v>
          </cell>
          <cell r="C237">
            <v>11.0966</v>
          </cell>
          <cell r="D237">
            <v>6.8826999999999998</v>
          </cell>
          <cell r="E237">
            <v>11.0966</v>
          </cell>
          <cell r="F237">
            <v>6.8826999999999998</v>
          </cell>
        </row>
        <row r="238">
          <cell r="A238" t="str">
            <v>E9634</v>
          </cell>
          <cell r="B238" t="str">
            <v>Conjunto vibratório para tubos de concreto com encaixe PB e 3 jogos de fôrmas - D = 40 cm - 2,2 kW</v>
          </cell>
          <cell r="C238">
            <v>12.0578</v>
          </cell>
          <cell r="D238">
            <v>7.4789000000000003</v>
          </cell>
          <cell r="E238">
            <v>12.0578</v>
          </cell>
          <cell r="F238">
            <v>7.4789000000000003</v>
          </cell>
        </row>
        <row r="239">
          <cell r="A239" t="str">
            <v>E9635</v>
          </cell>
          <cell r="B239" t="str">
            <v>Draga de sucção e recalque com potência da bomba de 177 kW e do cortador de 30 kW</v>
          </cell>
          <cell r="C239">
            <v>314.36070000000001</v>
          </cell>
          <cell r="D239">
            <v>139.11320000000001</v>
          </cell>
          <cell r="E239">
            <v>304.53320000000002</v>
          </cell>
          <cell r="F239">
            <v>129.28569999999999</v>
          </cell>
        </row>
        <row r="240">
          <cell r="A240" t="str">
            <v>E9636</v>
          </cell>
          <cell r="B240" t="str">
            <v>Draga de sucção e recalque com potência da bomba de 447 kW e do cortador de 52 kW</v>
          </cell>
          <cell r="C240">
            <v>508.08409999999998</v>
          </cell>
          <cell r="D240">
            <v>169.60409999999999</v>
          </cell>
          <cell r="E240">
            <v>498.25659999999999</v>
          </cell>
          <cell r="F240">
            <v>159.7766</v>
          </cell>
        </row>
        <row r="241">
          <cell r="A241" t="str">
            <v>E9637</v>
          </cell>
          <cell r="B241" t="str">
            <v>Draga de sucção e recalque com potência da bomba de 746 kW e do cortador de 110 kW</v>
          </cell>
          <cell r="C241">
            <v>827.65060000000005</v>
          </cell>
          <cell r="D241">
            <v>259.7122</v>
          </cell>
          <cell r="E241">
            <v>815.25379999999996</v>
          </cell>
          <cell r="F241">
            <v>247.31540000000001</v>
          </cell>
        </row>
        <row r="242">
          <cell r="A242" t="str">
            <v>E9638</v>
          </cell>
          <cell r="B242" t="str">
            <v>Draga de sucção e recalque com potência da bomba de 1.350 kW e do cortador de 170 kW</v>
          </cell>
          <cell r="C242">
            <v>1312.2295999999999</v>
          </cell>
          <cell r="D242">
            <v>350.11840000000001</v>
          </cell>
          <cell r="E242">
            <v>1299.8327999999999</v>
          </cell>
          <cell r="F242">
            <v>337.72160000000002</v>
          </cell>
        </row>
        <row r="243">
          <cell r="A243" t="str">
            <v>E9639</v>
          </cell>
          <cell r="B243" t="str">
            <v>Barco hotel com capacidade para 30 pessoas - 2 x 150 HP</v>
          </cell>
          <cell r="C243">
            <v>337.59710000000001</v>
          </cell>
          <cell r="D243">
            <v>150.0762</v>
          </cell>
          <cell r="E243">
            <v>321.23090000000002</v>
          </cell>
          <cell r="F243">
            <v>133.71</v>
          </cell>
        </row>
        <row r="244">
          <cell r="A244" t="str">
            <v>E9640</v>
          </cell>
          <cell r="B244" t="str">
            <v>Compressor de ar portátil de 71 PCM - 15 kW</v>
          </cell>
          <cell r="C244">
            <v>13.8508</v>
          </cell>
          <cell r="D244">
            <v>3.3942000000000001</v>
          </cell>
          <cell r="E244">
            <v>13.8508</v>
          </cell>
          <cell r="F244">
            <v>3.3942000000000001</v>
          </cell>
        </row>
        <row r="245">
          <cell r="A245" t="str">
            <v>E9641</v>
          </cell>
          <cell r="B245" t="str">
            <v>Compressor de ar portátil de 159 PCM - 33 kW</v>
          </cell>
          <cell r="C245">
            <v>31.474900000000002</v>
          </cell>
          <cell r="D245">
            <v>8.0271000000000008</v>
          </cell>
          <cell r="E245">
            <v>31.474900000000002</v>
          </cell>
          <cell r="F245">
            <v>8.0271000000000008</v>
          </cell>
        </row>
        <row r="246">
          <cell r="A246" t="str">
            <v>E9642</v>
          </cell>
          <cell r="B246" t="str">
            <v>Perfuratriz hidráulica sobre esteiras para estaca raiz - 56 kW</v>
          </cell>
          <cell r="C246">
            <v>163.91829999999999</v>
          </cell>
          <cell r="D246">
            <v>93.9482</v>
          </cell>
          <cell r="E246">
            <v>161.03800000000001</v>
          </cell>
          <cell r="F246">
            <v>91.067899999999995</v>
          </cell>
        </row>
        <row r="247">
          <cell r="A247" t="str">
            <v>E9643</v>
          </cell>
          <cell r="B247" t="str">
            <v>Equipamento de pintura a ar comprimido de pistola com caneca com capacidade de 1.000 ml e compressor de 1,5 kW</v>
          </cell>
          <cell r="C247">
            <v>0.43419999999999997</v>
          </cell>
          <cell r="D247">
            <v>0.29680000000000001</v>
          </cell>
          <cell r="E247">
            <v>0.43419999999999997</v>
          </cell>
          <cell r="F247">
            <v>0.29680000000000001</v>
          </cell>
        </row>
        <row r="248">
          <cell r="A248" t="str">
            <v>E9646</v>
          </cell>
          <cell r="B248" t="str">
            <v>Compressor de ar portátil de 124 PCM - 27 kW</v>
          </cell>
          <cell r="C248">
            <v>24.606100000000001</v>
          </cell>
          <cell r="D248">
            <v>5.9280999999999997</v>
          </cell>
          <cell r="E248">
            <v>24.606100000000001</v>
          </cell>
          <cell r="F248">
            <v>5.9280999999999997</v>
          </cell>
        </row>
        <row r="249">
          <cell r="A249" t="str">
            <v>E9647</v>
          </cell>
          <cell r="B249" t="str">
            <v>Compactador manual com soquete vibratório - 4,1 kW</v>
          </cell>
          <cell r="C249">
            <v>6.6368</v>
          </cell>
          <cell r="D249">
            <v>0.60150000000000003</v>
          </cell>
          <cell r="E249">
            <v>6.6368</v>
          </cell>
          <cell r="F249">
            <v>0.60150000000000003</v>
          </cell>
        </row>
        <row r="250">
          <cell r="A250" t="str">
            <v>E9648</v>
          </cell>
          <cell r="B250" t="str">
            <v>Compressor de ar portátil de 896 PCM - 213 kW</v>
          </cell>
          <cell r="C250">
            <v>167.29640000000001</v>
          </cell>
          <cell r="D250">
            <v>31.800999999999998</v>
          </cell>
          <cell r="E250">
            <v>167.29640000000001</v>
          </cell>
          <cell r="F250">
            <v>31.800999999999998</v>
          </cell>
        </row>
        <row r="251">
          <cell r="A251" t="str">
            <v>E9649</v>
          </cell>
          <cell r="B251" t="str">
            <v>Compressor de ar portátil de 197 PCM - 55 kW</v>
          </cell>
          <cell r="C251">
            <v>49.815800000000003</v>
          </cell>
          <cell r="D251">
            <v>11.904</v>
          </cell>
          <cell r="E251">
            <v>49.815800000000003</v>
          </cell>
          <cell r="F251">
            <v>11.904</v>
          </cell>
        </row>
        <row r="252">
          <cell r="A252" t="str">
            <v>E9650</v>
          </cell>
          <cell r="B252" t="str">
            <v>Guindaste sobre esteiras com martelo hidráulico de 2.600 kg - 220 kW</v>
          </cell>
          <cell r="C252">
            <v>347.0421</v>
          </cell>
          <cell r="D252">
            <v>176.59100000000001</v>
          </cell>
          <cell r="E252">
            <v>343.02870000000001</v>
          </cell>
          <cell r="F252">
            <v>172.57759999999999</v>
          </cell>
        </row>
        <row r="253">
          <cell r="A253" t="str">
            <v>E9651</v>
          </cell>
          <cell r="B253" t="str">
            <v>Guindaste sobre esteiras com Hammer Grab - 220 kW</v>
          </cell>
          <cell r="C253">
            <v>319.73840000000001</v>
          </cell>
          <cell r="D253">
            <v>162.73740000000001</v>
          </cell>
          <cell r="E253">
            <v>315.72500000000002</v>
          </cell>
          <cell r="F253">
            <v>158.72399999999999</v>
          </cell>
        </row>
        <row r="254">
          <cell r="A254" t="str">
            <v>E9652</v>
          </cell>
          <cell r="B254" t="str">
            <v>Compressor de ar portátil de 1.146 PCM - 369 kW</v>
          </cell>
          <cell r="C254">
            <v>269.13459999999998</v>
          </cell>
          <cell r="D254">
            <v>43.5473</v>
          </cell>
          <cell r="E254">
            <v>269.13459999999998</v>
          </cell>
          <cell r="F254">
            <v>43.5473</v>
          </cell>
        </row>
        <row r="255">
          <cell r="A255" t="str">
            <v>E9653</v>
          </cell>
          <cell r="B255" t="str">
            <v>Guindaste sobre esteiras com trado com bits para material de 1ª categoria - 220 kW</v>
          </cell>
          <cell r="C255">
            <v>315.37729999999999</v>
          </cell>
          <cell r="D255">
            <v>160.52459999999999</v>
          </cell>
          <cell r="E255">
            <v>311.3639</v>
          </cell>
          <cell r="F255">
            <v>156.5112</v>
          </cell>
        </row>
        <row r="256">
          <cell r="A256" t="str">
            <v>E9654</v>
          </cell>
          <cell r="B256" t="str">
            <v>Guindaste sobre esteiras com trado com bits para material de 2ª categoria - 220 kW</v>
          </cell>
          <cell r="C256">
            <v>315.37729999999999</v>
          </cell>
          <cell r="D256">
            <v>160.52459999999999</v>
          </cell>
          <cell r="E256">
            <v>311.3639</v>
          </cell>
          <cell r="F256">
            <v>156.5112</v>
          </cell>
        </row>
        <row r="257">
          <cell r="A257" t="str">
            <v>E9655</v>
          </cell>
          <cell r="B257" t="str">
            <v>Guindaste sobre esteiras com trado com bits para material de 3ª categoria - 220 kW</v>
          </cell>
          <cell r="C257">
            <v>316.61739999999998</v>
          </cell>
          <cell r="D257">
            <v>161.15379999999999</v>
          </cell>
          <cell r="E257">
            <v>312.60399999999998</v>
          </cell>
          <cell r="F257">
            <v>157.1404</v>
          </cell>
        </row>
        <row r="258">
          <cell r="A258" t="str">
            <v>E9656</v>
          </cell>
          <cell r="B258" t="str">
            <v>Guindaste sobre esteiras com caçamba para material de 1ª categoria - 220 kW</v>
          </cell>
          <cell r="C258">
            <v>314.44209999999998</v>
          </cell>
          <cell r="D258">
            <v>160.05009999999999</v>
          </cell>
          <cell r="E258">
            <v>310.42869999999999</v>
          </cell>
          <cell r="F258">
            <v>156.0367</v>
          </cell>
        </row>
        <row r="259">
          <cell r="A259" t="str">
            <v>E9657</v>
          </cell>
          <cell r="B259" t="str">
            <v>Guindaste sobre esteiras com caçamba para material de 2ª categoria - 220 kW</v>
          </cell>
          <cell r="C259">
            <v>314.44209999999998</v>
          </cell>
          <cell r="D259">
            <v>160.05009999999999</v>
          </cell>
          <cell r="E259">
            <v>310.42869999999999</v>
          </cell>
          <cell r="F259">
            <v>156.0367</v>
          </cell>
        </row>
        <row r="260">
          <cell r="A260" t="str">
            <v>E9658</v>
          </cell>
          <cell r="B260" t="str">
            <v>Guindaste sobre esteiras com caçamba para material de 3ª categoria - 220 kW</v>
          </cell>
          <cell r="C260">
            <v>314.44209999999998</v>
          </cell>
          <cell r="D260">
            <v>160.05009999999999</v>
          </cell>
          <cell r="E260">
            <v>310.42869999999999</v>
          </cell>
          <cell r="F260">
            <v>156.0367</v>
          </cell>
        </row>
        <row r="261">
          <cell r="A261" t="str">
            <v>E9659</v>
          </cell>
          <cell r="B261" t="str">
            <v>Campânula de ar comprimido com capacidade de 3 m³</v>
          </cell>
          <cell r="C261">
            <v>34.018599999999999</v>
          </cell>
          <cell r="D261">
            <v>30.488800000000001</v>
          </cell>
          <cell r="E261">
            <v>31.830200000000001</v>
          </cell>
          <cell r="F261">
            <v>28.3004</v>
          </cell>
        </row>
        <row r="262">
          <cell r="A262" t="str">
            <v>E9660</v>
          </cell>
          <cell r="B262" t="str">
            <v>Guindaste sobre esteiras - 220 kW</v>
          </cell>
          <cell r="C262">
            <v>309.59480000000002</v>
          </cell>
          <cell r="D262">
            <v>157.59059999999999</v>
          </cell>
          <cell r="E262">
            <v>305.58139999999997</v>
          </cell>
          <cell r="F262">
            <v>153.5772</v>
          </cell>
        </row>
        <row r="263">
          <cell r="A263" t="str">
            <v>E9661</v>
          </cell>
          <cell r="B263" t="str">
            <v>Compressor de ar portátil de 189 PCM - 46 kW</v>
          </cell>
          <cell r="C263">
            <v>39.3752</v>
          </cell>
          <cell r="D263">
            <v>8.6788000000000007</v>
          </cell>
          <cell r="E263">
            <v>39.3752</v>
          </cell>
          <cell r="F263">
            <v>8.6788000000000007</v>
          </cell>
        </row>
        <row r="264">
          <cell r="A264" t="str">
            <v>E9662</v>
          </cell>
          <cell r="B264" t="str">
            <v>Equipamento para solda/corte com oxiacetileno</v>
          </cell>
          <cell r="C264">
            <v>0.94899999999999995</v>
          </cell>
          <cell r="D264">
            <v>0.52249999999999996</v>
          </cell>
          <cell r="E264">
            <v>0.94899999999999995</v>
          </cell>
          <cell r="F264">
            <v>0.52249999999999996</v>
          </cell>
        </row>
        <row r="265">
          <cell r="A265" t="str">
            <v>E9668</v>
          </cell>
          <cell r="B265" t="str">
            <v>Fábrica de pré-moldado de concreto para guarda-corpo - 2,2 kW</v>
          </cell>
          <cell r="C265">
            <v>2.722</v>
          </cell>
          <cell r="D265">
            <v>1.6882999999999999</v>
          </cell>
          <cell r="E265">
            <v>2.722</v>
          </cell>
          <cell r="F265">
            <v>1.6882999999999999</v>
          </cell>
        </row>
        <row r="266">
          <cell r="A266" t="str">
            <v>E9671</v>
          </cell>
          <cell r="B266" t="str">
            <v>Compressor de ar portátil de 748 PCM - 154 kW</v>
          </cell>
          <cell r="C266">
            <v>129.85149999999999</v>
          </cell>
          <cell r="D266">
            <v>27.956</v>
          </cell>
          <cell r="E266">
            <v>129.85149999999999</v>
          </cell>
          <cell r="F266">
            <v>27.956</v>
          </cell>
        </row>
        <row r="267">
          <cell r="A267" t="str">
            <v>E9673</v>
          </cell>
          <cell r="B267" t="str">
            <v>Equipamento de batimetria multifeixe</v>
          </cell>
          <cell r="C267">
            <v>119.1537</v>
          </cell>
          <cell r="D267">
            <v>84.048299999999998</v>
          </cell>
          <cell r="E267">
            <v>112.9051</v>
          </cell>
          <cell r="F267">
            <v>77.799700000000001</v>
          </cell>
        </row>
        <row r="268">
          <cell r="A268" t="str">
            <v>E9674</v>
          </cell>
          <cell r="B268" t="str">
            <v>Equipamento de medição de descarga líquida com ADCP</v>
          </cell>
          <cell r="C268">
            <v>63.261400000000002</v>
          </cell>
          <cell r="D268">
            <v>54.273899999999998</v>
          </cell>
          <cell r="E268">
            <v>57.012799999999999</v>
          </cell>
          <cell r="F268">
            <v>48.025300000000001</v>
          </cell>
        </row>
        <row r="269">
          <cell r="A269" t="str">
            <v>E9675</v>
          </cell>
          <cell r="B269" t="str">
            <v>Martelete perfurador/rompedor elétrico - 1,5 kW</v>
          </cell>
          <cell r="C269">
            <v>0.59030000000000005</v>
          </cell>
          <cell r="D269">
            <v>0.32500000000000001</v>
          </cell>
          <cell r="E269">
            <v>0.59030000000000005</v>
          </cell>
          <cell r="F269">
            <v>0.32500000000000001</v>
          </cell>
        </row>
        <row r="270">
          <cell r="A270" t="str">
            <v>E9676</v>
          </cell>
          <cell r="B270" t="str">
            <v>Embarcação de apoio - 120 HP</v>
          </cell>
          <cell r="C270">
            <v>175.95359999999999</v>
          </cell>
          <cell r="D270">
            <v>33.096600000000002</v>
          </cell>
          <cell r="E270">
            <v>171.7013</v>
          </cell>
          <cell r="F270">
            <v>28.8443</v>
          </cell>
        </row>
        <row r="271">
          <cell r="A271" t="str">
            <v>E9677</v>
          </cell>
          <cell r="B271" t="str">
            <v>Martelete perfurador/rompedor a ar comprimido de 10 kg</v>
          </cell>
          <cell r="C271">
            <v>23.400200000000002</v>
          </cell>
          <cell r="D271">
            <v>22.747</v>
          </cell>
          <cell r="E271">
            <v>21.2118</v>
          </cell>
          <cell r="F271">
            <v>20.558599999999998</v>
          </cell>
        </row>
        <row r="272">
          <cell r="A272" t="str">
            <v>E9678</v>
          </cell>
          <cell r="B272" t="str">
            <v>Fresadora a frio - 410 kW</v>
          </cell>
          <cell r="C272">
            <v>971.59730000000002</v>
          </cell>
          <cell r="D272">
            <v>374.40370000000001</v>
          </cell>
          <cell r="E272">
            <v>967.58389999999997</v>
          </cell>
          <cell r="F272">
            <v>370.39030000000002</v>
          </cell>
        </row>
        <row r="273">
          <cell r="A273" t="str">
            <v>E9682</v>
          </cell>
          <cell r="B273" t="str">
            <v>Rolo compactador liso autopropelido vibratório de 1,6 t - 18 kW</v>
          </cell>
          <cell r="C273">
            <v>64.566400000000002</v>
          </cell>
          <cell r="D273">
            <v>40.072600000000001</v>
          </cell>
          <cell r="E273">
            <v>61.686100000000003</v>
          </cell>
          <cell r="F273">
            <v>37.192300000000003</v>
          </cell>
        </row>
        <row r="274">
          <cell r="A274" t="str">
            <v>E9684</v>
          </cell>
          <cell r="B274" t="str">
            <v>Veículo leve Pick Up 4 x 4 - 147 kW</v>
          </cell>
          <cell r="C274">
            <v>65.907499999999999</v>
          </cell>
          <cell r="D274">
            <v>35.440800000000003</v>
          </cell>
          <cell r="E274">
            <v>63.442399999999999</v>
          </cell>
          <cell r="F274">
            <v>32.975700000000003</v>
          </cell>
        </row>
        <row r="275">
          <cell r="A275" t="str">
            <v>E9685</v>
          </cell>
          <cell r="B275" t="str">
            <v>Rolo compactador pé de carneiro vibratório autopropelido de 11,6 t - 82 kW</v>
          </cell>
          <cell r="C275">
            <v>127.4008</v>
          </cell>
          <cell r="D275">
            <v>60.787999999999997</v>
          </cell>
          <cell r="E275">
            <v>124.5205</v>
          </cell>
          <cell r="F275">
            <v>57.907699999999998</v>
          </cell>
        </row>
        <row r="276">
          <cell r="A276" t="str">
            <v>E9689</v>
          </cell>
          <cell r="B276" t="str">
            <v>Usina de asfalto a quente gravimétrica com capacidade de 100/140 t/h - 260 kW</v>
          </cell>
          <cell r="C276">
            <v>760.56659999999999</v>
          </cell>
          <cell r="D276">
            <v>405.93450000000001</v>
          </cell>
          <cell r="E276">
            <v>756.55319999999995</v>
          </cell>
          <cell r="F276">
            <v>401.92110000000002</v>
          </cell>
        </row>
        <row r="277">
          <cell r="A277" t="str">
            <v>E9691</v>
          </cell>
          <cell r="B277" t="str">
            <v>Tracionador de cordoalhas - 7,5 kW</v>
          </cell>
          <cell r="C277">
            <v>24.166799999999999</v>
          </cell>
          <cell r="D277">
            <v>23.416799999999999</v>
          </cell>
          <cell r="E277">
            <v>21.978400000000001</v>
          </cell>
          <cell r="F277">
            <v>21.228400000000001</v>
          </cell>
        </row>
        <row r="278">
          <cell r="A278" t="str">
            <v>E9692</v>
          </cell>
          <cell r="B278" t="str">
            <v>Caldeira para aquecimento e injeção de cera - 1 kW</v>
          </cell>
          <cell r="C278">
            <v>26.496700000000001</v>
          </cell>
          <cell r="D278">
            <v>25.5488</v>
          </cell>
          <cell r="E278">
            <v>24.308299999999999</v>
          </cell>
          <cell r="F278">
            <v>23.360399999999998</v>
          </cell>
        </row>
        <row r="279">
          <cell r="A279" t="str">
            <v>E9694</v>
          </cell>
          <cell r="B279" t="str">
            <v>Misturador de argamassa de alta turbulência com capacidade de 220 l</v>
          </cell>
          <cell r="C279">
            <v>25.127300000000002</v>
          </cell>
          <cell r="D279">
            <v>23.802099999999999</v>
          </cell>
          <cell r="E279">
            <v>22.9389</v>
          </cell>
          <cell r="F279">
            <v>21.613700000000001</v>
          </cell>
        </row>
        <row r="280">
          <cell r="A280" t="str">
            <v>E9697</v>
          </cell>
          <cell r="B280" t="str">
            <v>Minicarregadeira de pneus com vassoura de 1,8 m - 42 kW</v>
          </cell>
          <cell r="C280">
            <v>88.949799999999996</v>
          </cell>
          <cell r="D280">
            <v>43.754300000000001</v>
          </cell>
          <cell r="E280">
            <v>86.069500000000005</v>
          </cell>
          <cell r="F280">
            <v>40.874000000000002</v>
          </cell>
        </row>
        <row r="281">
          <cell r="A281" t="str">
            <v>E9700</v>
          </cell>
          <cell r="B281" t="str">
            <v>Fresadora a frio - 155 kW</v>
          </cell>
          <cell r="C281">
            <v>326.8612</v>
          </cell>
          <cell r="D281">
            <v>133.84399999999999</v>
          </cell>
          <cell r="E281">
            <v>322.84780000000001</v>
          </cell>
          <cell r="F281">
            <v>129.8306</v>
          </cell>
        </row>
        <row r="282">
          <cell r="A282" t="str">
            <v>E9701</v>
          </cell>
          <cell r="B282" t="str">
            <v>Jateador pressurizado multiabrasivo com capacidade de 280 l</v>
          </cell>
          <cell r="C282">
            <v>24.982800000000001</v>
          </cell>
          <cell r="D282">
            <v>23.602799999999998</v>
          </cell>
          <cell r="E282">
            <v>22.7944</v>
          </cell>
          <cell r="F282">
            <v>21.414400000000001</v>
          </cell>
        </row>
        <row r="283">
          <cell r="A283" t="str">
            <v>E9702</v>
          </cell>
          <cell r="B283" t="str">
            <v>Bomba de injeção de argamassa com capacidade de 340 l/min</v>
          </cell>
          <cell r="C283">
            <v>42.250999999999998</v>
          </cell>
          <cell r="D283">
            <v>24.6464</v>
          </cell>
          <cell r="E283">
            <v>42.250999999999998</v>
          </cell>
          <cell r="F283">
            <v>24.6464</v>
          </cell>
        </row>
        <row r="284">
          <cell r="A284" t="str">
            <v>E9703</v>
          </cell>
          <cell r="B284" t="str">
            <v>Fábrica de pré-moldado de concreto para mourão - 2,2 kW</v>
          </cell>
          <cell r="C284">
            <v>2.8698000000000001</v>
          </cell>
          <cell r="D284">
            <v>1.78</v>
          </cell>
          <cell r="E284">
            <v>2.8698000000000001</v>
          </cell>
          <cell r="F284">
            <v>1.78</v>
          </cell>
        </row>
        <row r="285">
          <cell r="A285" t="str">
            <v>E9704</v>
          </cell>
          <cell r="B285" t="str">
            <v>Batelão sem propulsão montado na obra com capacidade de 100 t</v>
          </cell>
          <cell r="C285">
            <v>49.791800000000002</v>
          </cell>
          <cell r="D285">
            <v>34.593800000000002</v>
          </cell>
          <cell r="E285">
            <v>47.222499999999997</v>
          </cell>
          <cell r="F285">
            <v>32.024500000000003</v>
          </cell>
        </row>
        <row r="286">
          <cell r="A286" t="str">
            <v>E9705</v>
          </cell>
          <cell r="B286" t="str">
            <v>Misturador de lama bentonítica - 4 kW</v>
          </cell>
          <cell r="C286">
            <v>23.725300000000001</v>
          </cell>
          <cell r="D286">
            <v>22.984300000000001</v>
          </cell>
          <cell r="E286">
            <v>21.536899999999999</v>
          </cell>
          <cell r="F286">
            <v>20.7959</v>
          </cell>
        </row>
        <row r="287">
          <cell r="A287" t="str">
            <v>E9706</v>
          </cell>
          <cell r="B287" t="str">
            <v>Martelete perfurador/rompedor a ar comprimido de 28 kg para concreto</v>
          </cell>
          <cell r="C287">
            <v>24.451899999999998</v>
          </cell>
          <cell r="D287">
            <v>23.326000000000001</v>
          </cell>
          <cell r="E287">
            <v>22.263500000000001</v>
          </cell>
          <cell r="F287">
            <v>21.137599999999999</v>
          </cell>
        </row>
        <row r="288">
          <cell r="A288" t="str">
            <v>E9707</v>
          </cell>
          <cell r="B288" t="str">
            <v>Desarenador - 15 kW</v>
          </cell>
          <cell r="C288">
            <v>23.1358</v>
          </cell>
          <cell r="D288">
            <v>22.601400000000002</v>
          </cell>
          <cell r="E288">
            <v>20.947399999999998</v>
          </cell>
          <cell r="F288">
            <v>20.413</v>
          </cell>
        </row>
        <row r="289">
          <cell r="A289" t="str">
            <v>E9708</v>
          </cell>
          <cell r="B289" t="str">
            <v>Microtrator com roçadeira - 10 kW</v>
          </cell>
          <cell r="C289">
            <v>30.961600000000001</v>
          </cell>
          <cell r="D289">
            <v>24.572399999999998</v>
          </cell>
          <cell r="E289">
            <v>28.773199999999999</v>
          </cell>
          <cell r="F289">
            <v>22.384</v>
          </cell>
        </row>
        <row r="290">
          <cell r="A290" t="str">
            <v>E9710</v>
          </cell>
          <cell r="B290" t="str">
            <v>Socadora automática de linha - 253 kW</v>
          </cell>
          <cell r="C290">
            <v>1900.4445000000001</v>
          </cell>
          <cell r="D290">
            <v>1088.0098</v>
          </cell>
          <cell r="E290">
            <v>1892.4177</v>
          </cell>
          <cell r="F290">
            <v>1079.9829999999999</v>
          </cell>
        </row>
        <row r="291">
          <cell r="A291" t="str">
            <v>E9711</v>
          </cell>
          <cell r="B291" t="str">
            <v>Socadora automática de chave - 370 kW</v>
          </cell>
          <cell r="C291">
            <v>1824.0429999999999</v>
          </cell>
          <cell r="D291">
            <v>1018.2358</v>
          </cell>
          <cell r="E291">
            <v>1816.0162</v>
          </cell>
          <cell r="F291">
            <v>1010.2089999999999</v>
          </cell>
        </row>
        <row r="292">
          <cell r="A292" t="str">
            <v>E9712</v>
          </cell>
          <cell r="B292" t="str">
            <v>Reguladora e distribuidora de lastro - 300 kW</v>
          </cell>
          <cell r="C292">
            <v>1007.5903</v>
          </cell>
          <cell r="D292">
            <v>555.19119999999998</v>
          </cell>
          <cell r="E292">
            <v>999.56349999999998</v>
          </cell>
          <cell r="F292">
            <v>547.1644</v>
          </cell>
        </row>
        <row r="293">
          <cell r="A293" t="str">
            <v>E9714</v>
          </cell>
          <cell r="B293" t="str">
            <v>Bate-estaca com martelo hidráulico - 450 kW</v>
          </cell>
          <cell r="C293">
            <v>463.50720000000001</v>
          </cell>
          <cell r="D293">
            <v>190.85339999999999</v>
          </cell>
          <cell r="E293">
            <v>460.62689999999998</v>
          </cell>
          <cell r="F293">
            <v>187.97309999999999</v>
          </cell>
        </row>
        <row r="294">
          <cell r="A294" t="str">
            <v>E9716</v>
          </cell>
          <cell r="B294" t="str">
            <v>Conjunto bomba e macaco hidráulico para protensão com capacidade de 590 kN</v>
          </cell>
          <cell r="C294">
            <v>37.186599999999999</v>
          </cell>
          <cell r="D294">
            <v>36.4711</v>
          </cell>
          <cell r="E294">
            <v>33.173200000000001</v>
          </cell>
          <cell r="F294">
            <v>32.457700000000003</v>
          </cell>
        </row>
        <row r="295">
          <cell r="A295" t="str">
            <v>E9717</v>
          </cell>
          <cell r="B295" t="str">
            <v>Máquina policorte - 2,2 kW</v>
          </cell>
          <cell r="C295">
            <v>0.10249999999999999</v>
          </cell>
          <cell r="D295">
            <v>7.0099999999999996E-2</v>
          </cell>
          <cell r="E295">
            <v>0.10249999999999999</v>
          </cell>
          <cell r="F295">
            <v>7.0099999999999996E-2</v>
          </cell>
        </row>
        <row r="296">
          <cell r="A296" t="str">
            <v>E9718</v>
          </cell>
          <cell r="B296" t="str">
            <v>Pórtico duplo de descarga e posicionamento de dormente - 89 kW</v>
          </cell>
          <cell r="C296">
            <v>711.07169999999996</v>
          </cell>
          <cell r="D296">
            <v>467.85899999999998</v>
          </cell>
          <cell r="E296">
            <v>703.04489999999998</v>
          </cell>
          <cell r="F296">
            <v>459.8322</v>
          </cell>
        </row>
        <row r="297">
          <cell r="A297" t="str">
            <v>E9719</v>
          </cell>
          <cell r="B297" t="str">
            <v>Talha manual com capacidade de 3 t</v>
          </cell>
          <cell r="C297">
            <v>0.20150000000000001</v>
          </cell>
          <cell r="D297">
            <v>0.13969999999999999</v>
          </cell>
          <cell r="E297">
            <v>0.20150000000000001</v>
          </cell>
          <cell r="F297">
            <v>0.13969999999999999</v>
          </cell>
        </row>
        <row r="298">
          <cell r="A298" t="str">
            <v>E9720</v>
          </cell>
          <cell r="B298" t="str">
            <v>Conjunto bomba e macaco hidráulico para protensão com capacidade de 250 kN</v>
          </cell>
          <cell r="C298">
            <v>36.841500000000003</v>
          </cell>
          <cell r="D298">
            <v>36.276000000000003</v>
          </cell>
          <cell r="E298">
            <v>32.828099999999999</v>
          </cell>
          <cell r="F298">
            <v>32.262599999999999</v>
          </cell>
        </row>
        <row r="299">
          <cell r="A299" t="str">
            <v>E9721</v>
          </cell>
          <cell r="B299" t="str">
            <v>Conjunto bomba e macaco hidráulico para protensão com capacidade de 1.150 kN</v>
          </cell>
          <cell r="C299">
            <v>38.247799999999998</v>
          </cell>
          <cell r="D299">
            <v>37.070900000000002</v>
          </cell>
          <cell r="E299">
            <v>34.234400000000001</v>
          </cell>
          <cell r="F299">
            <v>33.057499999999997</v>
          </cell>
        </row>
        <row r="300">
          <cell r="A300" t="str">
            <v>E9722</v>
          </cell>
          <cell r="B300" t="str">
            <v>Conjunto bomba e macaco hidráulico para protensão com capacidade de 2.000 kN</v>
          </cell>
          <cell r="C300">
            <v>39.857799999999997</v>
          </cell>
          <cell r="D300">
            <v>37.980899999999998</v>
          </cell>
          <cell r="E300">
            <v>35.8444</v>
          </cell>
          <cell r="F300">
            <v>33.967500000000001</v>
          </cell>
        </row>
        <row r="301">
          <cell r="A301" t="str">
            <v>E9723</v>
          </cell>
          <cell r="B301" t="str">
            <v>Conjunto bomba e macaco hidráulico para protensão com capacidade de 2.500 kN</v>
          </cell>
          <cell r="C301">
            <v>40.637700000000002</v>
          </cell>
          <cell r="D301">
            <v>38.421700000000001</v>
          </cell>
          <cell r="E301">
            <v>36.624299999999998</v>
          </cell>
          <cell r="F301">
            <v>34.408299999999997</v>
          </cell>
        </row>
        <row r="302">
          <cell r="A302" t="str">
            <v>E9724</v>
          </cell>
          <cell r="B302" t="str">
            <v>Conjunto bomba e macaco hidráulico para protensão com capacidade de 4.000 kN</v>
          </cell>
          <cell r="C302">
            <v>40.991399999999999</v>
          </cell>
          <cell r="D302">
            <v>38.621600000000001</v>
          </cell>
          <cell r="E302">
            <v>36.978000000000002</v>
          </cell>
          <cell r="F302">
            <v>34.608199999999997</v>
          </cell>
        </row>
        <row r="303">
          <cell r="A303" t="str">
            <v>E9725</v>
          </cell>
          <cell r="B303" t="str">
            <v>Conjunto bomba e macaco hidráulico para protensão com capacidade de 5.400 kN</v>
          </cell>
          <cell r="C303">
            <v>41.366799999999998</v>
          </cell>
          <cell r="D303">
            <v>38.833799999999997</v>
          </cell>
          <cell r="E303">
            <v>37.353400000000001</v>
          </cell>
          <cell r="F303">
            <v>34.820399999999999</v>
          </cell>
        </row>
        <row r="304">
          <cell r="A304" t="str">
            <v>E9726</v>
          </cell>
          <cell r="B304" t="str">
            <v>Bate-estaca Strauss - 15 kW</v>
          </cell>
          <cell r="C304">
            <v>43.175199999999997</v>
          </cell>
          <cell r="D304">
            <v>33.544699999999999</v>
          </cell>
          <cell r="E304">
            <v>40.294899999999998</v>
          </cell>
          <cell r="F304">
            <v>30.664400000000001</v>
          </cell>
        </row>
        <row r="305">
          <cell r="A305" t="str">
            <v>E9727</v>
          </cell>
          <cell r="B305" t="str">
            <v>Posicionadora de trilhos - 7,4 kW</v>
          </cell>
          <cell r="C305">
            <v>54.134500000000003</v>
          </cell>
          <cell r="D305">
            <v>30.7394</v>
          </cell>
          <cell r="E305">
            <v>54.134500000000003</v>
          </cell>
          <cell r="F305">
            <v>30.7394</v>
          </cell>
        </row>
        <row r="306">
          <cell r="A306" t="str">
            <v>E9729</v>
          </cell>
          <cell r="B306" t="str">
            <v>Equipamento para pintura eletrostática a pó - 5,5 kW</v>
          </cell>
          <cell r="C306">
            <v>3.4417</v>
          </cell>
          <cell r="D306">
            <v>1.9205000000000001</v>
          </cell>
          <cell r="E306">
            <v>3.4417</v>
          </cell>
          <cell r="F306">
            <v>1.9205000000000001</v>
          </cell>
        </row>
        <row r="307">
          <cell r="A307" t="str">
            <v>E9730</v>
          </cell>
          <cell r="B307" t="str">
            <v>Grupo vibrador/gerador - 2,8 kW</v>
          </cell>
          <cell r="C307">
            <v>7.9450000000000003</v>
          </cell>
          <cell r="D307">
            <v>3.2038000000000002</v>
          </cell>
          <cell r="E307">
            <v>7.9450000000000003</v>
          </cell>
          <cell r="F307">
            <v>3.2038000000000002</v>
          </cell>
        </row>
        <row r="308">
          <cell r="A308" t="str">
            <v>E9732</v>
          </cell>
          <cell r="B308" t="str">
            <v>Máquina para furar dormente - 6,7 kW</v>
          </cell>
          <cell r="C308">
            <v>17.1983</v>
          </cell>
          <cell r="D308">
            <v>5.4676999999999998</v>
          </cell>
          <cell r="E308">
            <v>17.1983</v>
          </cell>
          <cell r="F308">
            <v>5.4676999999999998</v>
          </cell>
        </row>
        <row r="309">
          <cell r="A309" t="str">
            <v>E9733</v>
          </cell>
          <cell r="B309" t="str">
            <v>Tirefonadora/parafusadora - 6,7 kW</v>
          </cell>
          <cell r="C309">
            <v>17.665099999999999</v>
          </cell>
          <cell r="D309">
            <v>5.7247000000000003</v>
          </cell>
          <cell r="E309">
            <v>17.665099999999999</v>
          </cell>
          <cell r="F309">
            <v>5.7247000000000003</v>
          </cell>
        </row>
        <row r="310">
          <cell r="A310" t="str">
            <v>E9734</v>
          </cell>
          <cell r="B310" t="str">
            <v>Bomba projetora de argamassa de 2 m³/h - 5,5 kW</v>
          </cell>
          <cell r="C310">
            <v>32.075499999999998</v>
          </cell>
          <cell r="D310">
            <v>27.8552</v>
          </cell>
          <cell r="E310">
            <v>29.8871</v>
          </cell>
          <cell r="F310">
            <v>25.666799999999999</v>
          </cell>
        </row>
        <row r="311">
          <cell r="A311" t="str">
            <v>E9735</v>
          </cell>
          <cell r="B311" t="str">
            <v>Máquina para serrar trilho - 5,0 kW</v>
          </cell>
          <cell r="C311">
            <v>8.7673000000000005</v>
          </cell>
          <cell r="D311">
            <v>1.8411</v>
          </cell>
          <cell r="E311">
            <v>8.7673000000000005</v>
          </cell>
          <cell r="F311">
            <v>1.8411</v>
          </cell>
        </row>
        <row r="312">
          <cell r="A312" t="str">
            <v>E9736</v>
          </cell>
          <cell r="B312" t="str">
            <v>Máquina para furar trilho - 1,2 kW</v>
          </cell>
          <cell r="C312">
            <v>6.0090000000000003</v>
          </cell>
          <cell r="D312">
            <v>2.5916999999999999</v>
          </cell>
          <cell r="E312">
            <v>6.0090000000000003</v>
          </cell>
          <cell r="F312">
            <v>2.5916999999999999</v>
          </cell>
        </row>
        <row r="313">
          <cell r="A313" t="str">
            <v>E9738</v>
          </cell>
          <cell r="B313" t="str">
            <v>Máquina de esmerilhar topo e lateral de boleto - 5,2 kW</v>
          </cell>
          <cell r="C313">
            <v>16.4178</v>
          </cell>
          <cell r="D313">
            <v>5.9337</v>
          </cell>
          <cell r="E313">
            <v>16.4178</v>
          </cell>
          <cell r="F313">
            <v>5.9337</v>
          </cell>
        </row>
        <row r="314">
          <cell r="A314" t="str">
            <v>E9740</v>
          </cell>
          <cell r="B314" t="str">
            <v>Quadro tubular contraventado para andaime de 1 x 1 x 1 m com capacidade de 2 t</v>
          </cell>
          <cell r="C314">
            <v>0.1007</v>
          </cell>
          <cell r="D314">
            <v>7.8799999999999995E-2</v>
          </cell>
          <cell r="E314">
            <v>0.1007</v>
          </cell>
          <cell r="F314">
            <v>7.8799999999999995E-2</v>
          </cell>
        </row>
        <row r="315">
          <cell r="A315" t="str">
            <v>E9743</v>
          </cell>
          <cell r="B315" t="str">
            <v>Locomotiva diesel/elétrica - 1.492 kW</v>
          </cell>
          <cell r="C315">
            <v>1004.7616</v>
          </cell>
          <cell r="D315">
            <v>308.85969999999998</v>
          </cell>
          <cell r="E315">
            <v>996.73479999999995</v>
          </cell>
          <cell r="F315">
            <v>300.8329</v>
          </cell>
        </row>
        <row r="316">
          <cell r="A316" t="str">
            <v>E9744</v>
          </cell>
          <cell r="B316" t="str">
            <v>Vagão prancha com capacidade de 100 t</v>
          </cell>
          <cell r="C316">
            <v>11.9368</v>
          </cell>
          <cell r="D316">
            <v>9.0673999999999992</v>
          </cell>
          <cell r="E316">
            <v>11.9368</v>
          </cell>
          <cell r="F316">
            <v>9.0673999999999992</v>
          </cell>
        </row>
        <row r="317">
          <cell r="A317" t="str">
            <v>E9745</v>
          </cell>
          <cell r="B317" t="str">
            <v>Trator de pneus com roçadeira a diesel - 77 kW</v>
          </cell>
          <cell r="C317">
            <v>117.5372</v>
          </cell>
          <cell r="D317">
            <v>34.072499999999998</v>
          </cell>
          <cell r="E317">
            <v>115.3488</v>
          </cell>
          <cell r="F317">
            <v>31.8841</v>
          </cell>
        </row>
        <row r="318">
          <cell r="A318" t="str">
            <v>E9746</v>
          </cell>
          <cell r="B318" t="str">
            <v>Conjunto bomba e prensa para luva de emenda de 25 mm</v>
          </cell>
          <cell r="C318">
            <v>23.867799999999999</v>
          </cell>
          <cell r="D318">
            <v>23.218800000000002</v>
          </cell>
          <cell r="E318">
            <v>21.679400000000001</v>
          </cell>
          <cell r="F318">
            <v>21.0304</v>
          </cell>
        </row>
        <row r="319">
          <cell r="A319" t="str">
            <v>E9747</v>
          </cell>
          <cell r="B319" t="str">
            <v>Conjunto bomba e prensa para luva de emenda de 32 mm</v>
          </cell>
          <cell r="C319">
            <v>23.963899999999999</v>
          </cell>
          <cell r="D319">
            <v>23.282399999999999</v>
          </cell>
          <cell r="E319">
            <v>21.775500000000001</v>
          </cell>
          <cell r="F319">
            <v>21.094000000000001</v>
          </cell>
        </row>
        <row r="320">
          <cell r="A320" t="str">
            <v>E9748</v>
          </cell>
          <cell r="B320" t="str">
            <v>Rosqueadeira para rosca cônica - 750 W</v>
          </cell>
          <cell r="C320">
            <v>22.3872</v>
          </cell>
          <cell r="D320">
            <v>22.195699999999999</v>
          </cell>
          <cell r="E320">
            <v>20.198799999999999</v>
          </cell>
          <cell r="F320">
            <v>20.007300000000001</v>
          </cell>
        </row>
        <row r="321">
          <cell r="A321" t="str">
            <v>E9749</v>
          </cell>
          <cell r="B321" t="str">
            <v>Jateador portátil multiabrasivo com capacidade de 100 l</v>
          </cell>
          <cell r="C321">
            <v>22.9771</v>
          </cell>
          <cell r="D321">
            <v>22.508800000000001</v>
          </cell>
          <cell r="E321">
            <v>20.788699999999999</v>
          </cell>
          <cell r="F321">
            <v>20.320399999999999</v>
          </cell>
        </row>
        <row r="322">
          <cell r="A322" t="str">
            <v>E9755</v>
          </cell>
          <cell r="B322" t="str">
            <v>Bomba de alta pressão para jet grouting 450 bar - 150 kW</v>
          </cell>
          <cell r="C322">
            <v>282.6139</v>
          </cell>
          <cell r="D322">
            <v>117.6606</v>
          </cell>
          <cell r="E322">
            <v>280.4255</v>
          </cell>
          <cell r="F322">
            <v>115.4722</v>
          </cell>
        </row>
        <row r="323">
          <cell r="A323" t="str">
            <v>E9756</v>
          </cell>
          <cell r="B323" t="str">
            <v>Calandra para chapas de aço até 25 mm - 22 kW</v>
          </cell>
          <cell r="C323">
            <v>72.715100000000007</v>
          </cell>
          <cell r="D323">
            <v>53.295499999999997</v>
          </cell>
          <cell r="E323">
            <v>70.526700000000005</v>
          </cell>
          <cell r="F323">
            <v>51.107100000000003</v>
          </cell>
        </row>
        <row r="324">
          <cell r="A324" t="str">
            <v>E9758</v>
          </cell>
          <cell r="B324" t="str">
            <v>Vibroacabadora de asfalto sobre pneus - 72 kW</v>
          </cell>
          <cell r="C324">
            <v>179.16800000000001</v>
          </cell>
          <cell r="D324">
            <v>90.1965</v>
          </cell>
          <cell r="E324">
            <v>175.15459999999999</v>
          </cell>
          <cell r="F324">
            <v>86.183099999999996</v>
          </cell>
        </row>
        <row r="325">
          <cell r="A325" t="str">
            <v>E9760</v>
          </cell>
          <cell r="B325" t="str">
            <v>Perfuratriz manual para coroa diamantada - 1,6 kW</v>
          </cell>
          <cell r="C325">
            <v>1.7748999999999999</v>
          </cell>
          <cell r="D325">
            <v>0.97719999999999996</v>
          </cell>
          <cell r="E325">
            <v>1.7748999999999999</v>
          </cell>
          <cell r="F325">
            <v>0.97719999999999996</v>
          </cell>
        </row>
        <row r="326">
          <cell r="A326" t="str">
            <v>E9761</v>
          </cell>
          <cell r="B326" t="str">
            <v>Guincho de coluna com capacidade de 200 kg - 920 W</v>
          </cell>
          <cell r="C326">
            <v>0.4501</v>
          </cell>
          <cell r="D326">
            <v>0.2792</v>
          </cell>
          <cell r="E326">
            <v>0.4501</v>
          </cell>
          <cell r="F326">
            <v>0.2792</v>
          </cell>
        </row>
        <row r="327">
          <cell r="A327" t="str">
            <v>E9762</v>
          </cell>
          <cell r="B327" t="str">
            <v>Rolo compactador de pneus autopropelido de 27 t - 85 kW</v>
          </cell>
          <cell r="C327">
            <v>136.29660000000001</v>
          </cell>
          <cell r="D327">
            <v>69.270700000000005</v>
          </cell>
          <cell r="E327">
            <v>133.41630000000001</v>
          </cell>
          <cell r="F327">
            <v>66.3904</v>
          </cell>
        </row>
        <row r="328">
          <cell r="A328" t="str">
            <v>E9763</v>
          </cell>
          <cell r="B328" t="str">
            <v>Grupo gerador - 36/40 kVA</v>
          </cell>
          <cell r="C328">
            <v>22.178599999999999</v>
          </cell>
          <cell r="D328">
            <v>3.1429</v>
          </cell>
          <cell r="E328">
            <v>22.178599999999999</v>
          </cell>
          <cell r="F328">
            <v>3.1429</v>
          </cell>
        </row>
        <row r="329">
          <cell r="A329" t="str">
            <v>E9766</v>
          </cell>
          <cell r="B329" t="str">
            <v>Prensa hidráulica para fabricação de blocos pré-moldados - 20 kW</v>
          </cell>
          <cell r="C329">
            <v>28.736899999999999</v>
          </cell>
          <cell r="D329">
            <v>26.007200000000001</v>
          </cell>
          <cell r="E329">
            <v>26.548500000000001</v>
          </cell>
          <cell r="F329">
            <v>23.8188</v>
          </cell>
        </row>
        <row r="330">
          <cell r="A330" t="str">
            <v>E9768</v>
          </cell>
          <cell r="B330" t="str">
            <v>Compressor de ar portátil de 778 PCM - 184 kW</v>
          </cell>
          <cell r="C330">
            <v>151.69200000000001</v>
          </cell>
          <cell r="D330">
            <v>31.4739</v>
          </cell>
          <cell r="E330">
            <v>151.69200000000001</v>
          </cell>
          <cell r="F330">
            <v>31.4739</v>
          </cell>
        </row>
        <row r="331">
          <cell r="A331" t="str">
            <v>E9769</v>
          </cell>
          <cell r="B331" t="str">
            <v>Cunha hidráulica com três cilindros e acessórios com capacidade de 3.000 kN - 5,6 kW</v>
          </cell>
          <cell r="C331">
            <v>50.3155</v>
          </cell>
          <cell r="D331">
            <v>35.780999999999999</v>
          </cell>
          <cell r="E331">
            <v>48.127099999999999</v>
          </cell>
          <cell r="F331">
            <v>33.592599999999997</v>
          </cell>
        </row>
        <row r="332">
          <cell r="A332" t="str">
            <v>E9775</v>
          </cell>
          <cell r="B332" t="str">
            <v>Escavadeira hidráulica com martelo hidráulico de 1.700 kg - 103 kW</v>
          </cell>
          <cell r="C332">
            <v>337.83449999999999</v>
          </cell>
          <cell r="D332">
            <v>157.5633</v>
          </cell>
          <cell r="E332">
            <v>334.95420000000001</v>
          </cell>
          <cell r="F332">
            <v>154.68299999999999</v>
          </cell>
        </row>
        <row r="333">
          <cell r="A333" t="str">
            <v>E9776</v>
          </cell>
          <cell r="B333" t="str">
            <v>Grupo gerador - 145/160 kVA</v>
          </cell>
          <cell r="C333">
            <v>76.312100000000001</v>
          </cell>
          <cell r="D333">
            <v>5.9870000000000001</v>
          </cell>
          <cell r="E333">
            <v>76.312100000000001</v>
          </cell>
          <cell r="F333">
            <v>5.9870000000000001</v>
          </cell>
        </row>
        <row r="334">
          <cell r="A334" t="str">
            <v>E9777</v>
          </cell>
          <cell r="B334" t="str">
            <v>Extrusora de barreira de concreto - 74 kW</v>
          </cell>
          <cell r="C334">
            <v>242.65360000000001</v>
          </cell>
          <cell r="D334">
            <v>116.97329999999999</v>
          </cell>
          <cell r="E334">
            <v>239.77330000000001</v>
          </cell>
          <cell r="F334">
            <v>114.093</v>
          </cell>
        </row>
        <row r="335">
          <cell r="A335" t="str">
            <v>E9778</v>
          </cell>
          <cell r="B335" t="str">
            <v>Grupo gerador - 310/340 kVA</v>
          </cell>
          <cell r="C335">
            <v>164.42840000000001</v>
          </cell>
          <cell r="D335">
            <v>9.1005000000000003</v>
          </cell>
          <cell r="E335">
            <v>164.42840000000001</v>
          </cell>
          <cell r="F335">
            <v>9.1005000000000003</v>
          </cell>
        </row>
        <row r="336">
          <cell r="A336" t="str">
            <v>E9779</v>
          </cell>
          <cell r="B336" t="str">
            <v>Grupo gerador - 100/110 kVA</v>
          </cell>
          <cell r="C336">
            <v>54.482799999999997</v>
          </cell>
          <cell r="D336">
            <v>3.8277999999999999</v>
          </cell>
          <cell r="E336">
            <v>54.482799999999997</v>
          </cell>
          <cell r="F336">
            <v>3.8277999999999999</v>
          </cell>
        </row>
        <row r="337">
          <cell r="A337" t="str">
            <v>E9780</v>
          </cell>
          <cell r="B337" t="str">
            <v>Misturador automático para grouteamento com capacidade de 20 m³/h - 7 kW</v>
          </cell>
          <cell r="C337">
            <v>55.721299999999999</v>
          </cell>
          <cell r="D337">
            <v>38.311100000000003</v>
          </cell>
          <cell r="E337">
            <v>53.532899999999998</v>
          </cell>
          <cell r="F337">
            <v>36.122700000000002</v>
          </cell>
        </row>
        <row r="338">
          <cell r="A338" t="str">
            <v>E9781</v>
          </cell>
          <cell r="B338" t="str">
            <v>Misturador com bomba para grouteamento tipo Flex E - 25 kW</v>
          </cell>
          <cell r="C338">
            <v>85.717299999999994</v>
          </cell>
          <cell r="D338">
            <v>57.056399999999996</v>
          </cell>
          <cell r="E338">
            <v>83.528899999999993</v>
          </cell>
          <cell r="F338">
            <v>54.868000000000002</v>
          </cell>
        </row>
        <row r="339">
          <cell r="A339" t="str">
            <v>E9782</v>
          </cell>
          <cell r="B339" t="str">
            <v>Perfuratriz pneumática com avanço de coluna de 33,5 kg</v>
          </cell>
          <cell r="C339">
            <v>29.500900000000001</v>
          </cell>
          <cell r="D339">
            <v>26.105799999999999</v>
          </cell>
          <cell r="E339">
            <v>27.3125</v>
          </cell>
          <cell r="F339">
            <v>23.917400000000001</v>
          </cell>
        </row>
        <row r="340">
          <cell r="A340" t="str">
            <v>E9784</v>
          </cell>
          <cell r="B340" t="str">
            <v>Plataforma autopropelida com alcance de 12 m com capacidade de 700 kg - 24 kW</v>
          </cell>
          <cell r="C340">
            <v>86.013300000000001</v>
          </cell>
          <cell r="D340">
            <v>51.577100000000002</v>
          </cell>
          <cell r="E340">
            <v>83.8249</v>
          </cell>
          <cell r="F340">
            <v>49.3887</v>
          </cell>
        </row>
        <row r="341">
          <cell r="A341" t="str">
            <v>E9785</v>
          </cell>
          <cell r="B341" t="str">
            <v>Guindaste sobre caminhão, com chassi 4 x 4 x 4, altura de elevação de 35,8 m com capacidade de 1.500 kN.m - 186 kW</v>
          </cell>
          <cell r="C341">
            <v>280.91980000000001</v>
          </cell>
          <cell r="D341">
            <v>149.23220000000001</v>
          </cell>
          <cell r="E341">
            <v>277.66719999999998</v>
          </cell>
          <cell r="F341">
            <v>145.9796</v>
          </cell>
        </row>
        <row r="342">
          <cell r="A342" t="str">
            <v>E9788</v>
          </cell>
          <cell r="B342" t="str">
            <v>Misturador de argamassa com capacidade de 250 l - 3,7 kW</v>
          </cell>
          <cell r="C342">
            <v>25.888999999999999</v>
          </cell>
          <cell r="D342">
            <v>22.938199999999998</v>
          </cell>
          <cell r="E342">
            <v>23.700600000000001</v>
          </cell>
          <cell r="F342">
            <v>20.7498</v>
          </cell>
        </row>
        <row r="343">
          <cell r="A343" t="str">
            <v>E9789</v>
          </cell>
          <cell r="B343" t="str">
            <v>Carro manual modelo plataforma de 150 x 80 cm com capacidade de 800 kg</v>
          </cell>
          <cell r="C343">
            <v>0.2838</v>
          </cell>
          <cell r="D343">
            <v>0.19400000000000001</v>
          </cell>
          <cell r="E343">
            <v>0.2838</v>
          </cell>
          <cell r="F343">
            <v>0.19400000000000001</v>
          </cell>
        </row>
        <row r="344">
          <cell r="A344" t="str">
            <v>E9790</v>
          </cell>
          <cell r="B344" t="str">
            <v>Bomba para concreto projetado via úmida com capacidade de 10 m³/h - 14,7 kW</v>
          </cell>
          <cell r="C344">
            <v>66.789199999999994</v>
          </cell>
          <cell r="D344">
            <v>48.060699999999997</v>
          </cell>
          <cell r="E344">
            <v>62.775799999999997</v>
          </cell>
          <cell r="F344">
            <v>44.0473</v>
          </cell>
        </row>
        <row r="345">
          <cell r="A345" t="str">
            <v>E9793</v>
          </cell>
          <cell r="B345" t="str">
            <v>Robot para concreto projetado - 70 kW - com compressor diesel</v>
          </cell>
          <cell r="C345">
            <v>683.33709999999996</v>
          </cell>
          <cell r="D345">
            <v>369.88630000000001</v>
          </cell>
          <cell r="E345">
            <v>679.32370000000003</v>
          </cell>
          <cell r="F345">
            <v>365.87290000000002</v>
          </cell>
        </row>
        <row r="346">
          <cell r="A346" t="str">
            <v>E9795</v>
          </cell>
          <cell r="B346" t="str">
            <v>Carreta de perfuração de superfície com martelo de topo e controle remoto via rádio - 46 kW</v>
          </cell>
          <cell r="C346">
            <v>301.19970000000001</v>
          </cell>
          <cell r="D346">
            <v>168.34289999999999</v>
          </cell>
          <cell r="E346">
            <v>298.31939999999997</v>
          </cell>
          <cell r="F346">
            <v>165.46260000000001</v>
          </cell>
        </row>
        <row r="347">
          <cell r="A347" t="str">
            <v>E9797</v>
          </cell>
          <cell r="B347" t="str">
            <v>Jumbo eletro-hidráulico com 3 braços - 233 kW</v>
          </cell>
          <cell r="C347">
            <v>1425.1684</v>
          </cell>
          <cell r="D347">
            <v>658.91290000000004</v>
          </cell>
          <cell r="E347">
            <v>1421.155</v>
          </cell>
          <cell r="F347">
            <v>654.89949999999999</v>
          </cell>
        </row>
        <row r="348">
          <cell r="A348" t="str">
            <v>E9798</v>
          </cell>
          <cell r="B348" t="str">
            <v>Perfuratriz hidráulica rotopercussiva - 123 kW</v>
          </cell>
          <cell r="C348">
            <v>264.80520000000001</v>
          </cell>
          <cell r="D348">
            <v>128.40090000000001</v>
          </cell>
          <cell r="E348">
            <v>261.92489999999998</v>
          </cell>
          <cell r="F348">
            <v>125.5206</v>
          </cell>
        </row>
        <row r="349">
          <cell r="A349" t="str">
            <v>E9013</v>
          </cell>
          <cell r="B349" t="str">
            <v>Caminhão tanque de asfalto com capacidade de 31.000 l - 265 kW</v>
          </cell>
          <cell r="C349">
            <v>250.1182</v>
          </cell>
          <cell r="D349">
            <v>62.487499999999997</v>
          </cell>
          <cell r="E349">
            <v>247.5119</v>
          </cell>
          <cell r="F349">
            <v>59.8812</v>
          </cell>
        </row>
        <row r="350">
          <cell r="A350" t="str">
            <v>A9335</v>
          </cell>
          <cell r="B350" t="str">
            <v>Cavalo mecânico estradeiro 6 x 2, PBT 23.000 kg - 265 kW - Motorista de caminhão</v>
          </cell>
          <cell r="C350">
            <v>235.95740000000001</v>
          </cell>
          <cell r="D350">
            <v>54.384799999999998</v>
          </cell>
          <cell r="E350">
            <v>233.3511</v>
          </cell>
          <cell r="F350">
            <v>51.778500000000001</v>
          </cell>
        </row>
        <row r="351">
          <cell r="A351" t="str">
            <v>A9364</v>
          </cell>
          <cell r="B351" t="str">
            <v>Tanque isotérmico de asfalto com capacidade de 31.000 l</v>
          </cell>
          <cell r="C351">
            <v>14.1608</v>
          </cell>
          <cell r="D351">
            <v>8.1027000000000005</v>
          </cell>
          <cell r="E351">
            <v>14.1608</v>
          </cell>
          <cell r="F351">
            <v>8.1027000000000005</v>
          </cell>
        </row>
        <row r="352">
          <cell r="A352" t="str">
            <v>E9018</v>
          </cell>
          <cell r="B352" t="str">
            <v>Cavalo mecânico com dolly intermediário e semirreboque de 4 eixos com capacidade de 53 t - 323 kW</v>
          </cell>
          <cell r="C352">
            <v>287.59370000000001</v>
          </cell>
          <cell r="D352">
            <v>94.414599999999993</v>
          </cell>
          <cell r="E352">
            <v>284.34109999999998</v>
          </cell>
          <cell r="F352">
            <v>91.162000000000006</v>
          </cell>
        </row>
        <row r="353">
          <cell r="A353" t="str">
            <v>A9324</v>
          </cell>
          <cell r="B353" t="str">
            <v>Cavalo mecânico estradeiro 6 x 4, PBT 23.000 kg - 323 kW - Motorista de veículo especial</v>
          </cell>
          <cell r="C353">
            <v>231.34389999999999</v>
          </cell>
          <cell r="D353">
            <v>62.3872</v>
          </cell>
          <cell r="E353">
            <v>228.09129999999999</v>
          </cell>
          <cell r="F353">
            <v>59.134599999999999</v>
          </cell>
        </row>
        <row r="354">
          <cell r="A354" t="str">
            <v>A9355</v>
          </cell>
          <cell r="B354" t="str">
            <v>Semirreboque com 4 eixos</v>
          </cell>
          <cell r="C354">
            <v>44.895099999999999</v>
          </cell>
          <cell r="D354">
            <v>25.5623</v>
          </cell>
          <cell r="E354">
            <v>44.895099999999999</v>
          </cell>
          <cell r="F354">
            <v>25.5623</v>
          </cell>
        </row>
        <row r="355">
          <cell r="A355" t="str">
            <v>A9382</v>
          </cell>
          <cell r="B355" t="str">
            <v>Dolly intermediário com 2 eixos para semirreboque</v>
          </cell>
          <cell r="C355">
            <v>11.354699999999999</v>
          </cell>
          <cell r="D355">
            <v>6.4650999999999996</v>
          </cell>
          <cell r="E355">
            <v>11.354699999999999</v>
          </cell>
          <cell r="F355">
            <v>6.4650999999999996</v>
          </cell>
        </row>
        <row r="356">
          <cell r="A356" t="str">
            <v>E9027</v>
          </cell>
          <cell r="B356" t="str">
            <v>Caminhão distribuidor de cimento com capacidade de 17 m³ - 188 kW</v>
          </cell>
          <cell r="C356">
            <v>222.90260000000001</v>
          </cell>
          <cell r="D356">
            <v>71.087199999999996</v>
          </cell>
          <cell r="E356">
            <v>220.2963</v>
          </cell>
          <cell r="F356">
            <v>68.480900000000005</v>
          </cell>
        </row>
        <row r="357">
          <cell r="A357" t="str">
            <v>A9333</v>
          </cell>
          <cell r="B357" t="str">
            <v>Caminhão plataforma 8 x 2, PBT 29.000 kg e distância entre eixos 4,8 m - 188 kW - Motorista de caminhão</v>
          </cell>
          <cell r="C357">
            <v>175.33</v>
          </cell>
          <cell r="D357">
            <v>46.180199999999999</v>
          </cell>
          <cell r="E357">
            <v>172.72370000000001</v>
          </cell>
          <cell r="F357">
            <v>43.573900000000002</v>
          </cell>
        </row>
        <row r="358">
          <cell r="A358" t="str">
            <v>A9365</v>
          </cell>
          <cell r="B358" t="str">
            <v>Distribuidor de cimento montado sobre chassi com capacidade de 17 m³</v>
          </cell>
          <cell r="C358">
            <v>47.572600000000001</v>
          </cell>
          <cell r="D358">
            <v>24.907</v>
          </cell>
          <cell r="E358">
            <v>47.572600000000001</v>
          </cell>
          <cell r="F358">
            <v>24.907</v>
          </cell>
        </row>
        <row r="359">
          <cell r="A359" t="str">
            <v>E9037</v>
          </cell>
          <cell r="B359" t="str">
            <v>Plataforma de inspeção sob pontes montada em caminhão com capacidade de 500 kg e alcance de 14 m - 188 kW</v>
          </cell>
          <cell r="C359">
            <v>350.59370000000001</v>
          </cell>
          <cell r="D359">
            <v>152.57079999999999</v>
          </cell>
          <cell r="E359">
            <v>345.15269999999998</v>
          </cell>
          <cell r="F359">
            <v>147.12979999999999</v>
          </cell>
        </row>
        <row r="360">
          <cell r="A360" t="str">
            <v>A9334</v>
          </cell>
          <cell r="B360" t="str">
            <v>Caminhão plataforma 8 x 2, PBT 29.000 kg e distância entre eixos 4,8 m - 188 kW - Motorista de veículo especial</v>
          </cell>
          <cell r="C360">
            <v>180.18700000000001</v>
          </cell>
          <cell r="D360">
            <v>51.037199999999999</v>
          </cell>
          <cell r="E360">
            <v>176.93440000000001</v>
          </cell>
          <cell r="F360">
            <v>47.784599999999998</v>
          </cell>
        </row>
        <row r="361">
          <cell r="A361" t="str">
            <v>A9378</v>
          </cell>
          <cell r="B361" t="str">
            <v>Plataforma telescópica para inspeção de pontes montada sobre chassi com capacidade de 500 kg</v>
          </cell>
          <cell r="C361">
            <v>170.4067</v>
          </cell>
          <cell r="D361">
            <v>101.53360000000001</v>
          </cell>
          <cell r="E361">
            <v>168.2183</v>
          </cell>
          <cell r="F361">
            <v>99.345200000000006</v>
          </cell>
        </row>
        <row r="362">
          <cell r="A362" t="str">
            <v>E9041</v>
          </cell>
          <cell r="B362" t="str">
            <v>Caminhão carroceria com guindauto com capacidade de 45 t.m - 188 kW</v>
          </cell>
          <cell r="C362">
            <v>231.77379999999999</v>
          </cell>
          <cell r="D362">
            <v>89.521199999999993</v>
          </cell>
          <cell r="E362">
            <v>226.33279999999999</v>
          </cell>
          <cell r="F362">
            <v>84.080200000000005</v>
          </cell>
        </row>
        <row r="363">
          <cell r="A363" t="str">
            <v>A9313</v>
          </cell>
          <cell r="B363" t="str">
            <v>Caminhão plataforma 6 x 2, PBT 24.100 kg e distância entre eixos 5,4 m - 188 kW - Motorista de veículo especial</v>
          </cell>
          <cell r="C363">
            <v>179.28219999999999</v>
          </cell>
          <cell r="D363">
            <v>50.575000000000003</v>
          </cell>
          <cell r="E363">
            <v>176.02959999999999</v>
          </cell>
          <cell r="F363">
            <v>47.322400000000002</v>
          </cell>
        </row>
        <row r="364">
          <cell r="A364" t="str">
            <v>A9351</v>
          </cell>
          <cell r="B364" t="str">
            <v>Carroceria de madeira com capacidade de 11 t</v>
          </cell>
          <cell r="C364">
            <v>2.7797000000000001</v>
          </cell>
          <cell r="D364">
            <v>1.5469999999999999</v>
          </cell>
          <cell r="E364">
            <v>2.7797000000000001</v>
          </cell>
          <cell r="F364">
            <v>1.5469999999999999</v>
          </cell>
        </row>
        <row r="365">
          <cell r="A365" t="str">
            <v>A9373</v>
          </cell>
          <cell r="B365" t="str">
            <v>Guindaste articulado montado sobre chassi com capacidade de 45 t.m</v>
          </cell>
          <cell r="C365">
            <v>49.7119</v>
          </cell>
          <cell r="D365">
            <v>37.3992</v>
          </cell>
          <cell r="E365">
            <v>47.523499999999999</v>
          </cell>
          <cell r="F365">
            <v>35.210799999999999</v>
          </cell>
        </row>
        <row r="366">
          <cell r="A366" t="str">
            <v>E9082</v>
          </cell>
          <cell r="B366" t="str">
            <v>Bate-estaca hidráulico para defensas montado em caminhão guindauto com capacidade de 20 t.m e carroceria de 4 t - 136 kW</v>
          </cell>
          <cell r="C366">
            <v>224.887</v>
          </cell>
          <cell r="D366">
            <v>111.2826</v>
          </cell>
          <cell r="E366">
            <v>217.90389999999999</v>
          </cell>
          <cell r="F366">
            <v>104.29949999999999</v>
          </cell>
        </row>
        <row r="367">
          <cell r="A367" t="str">
            <v>A9323</v>
          </cell>
          <cell r="B367" t="str">
            <v>Caminhão plataforma 4 x 2, PBT 14.300 kg e distância entre eixos 4,8 m - 136 kW - Motorista de caminhão</v>
          </cell>
          <cell r="C367">
            <v>138.9101</v>
          </cell>
          <cell r="D367">
            <v>42.950200000000002</v>
          </cell>
          <cell r="E367">
            <v>136.3038</v>
          </cell>
          <cell r="F367">
            <v>40.343899999999998</v>
          </cell>
        </row>
        <row r="368">
          <cell r="A368" t="str">
            <v>A9347</v>
          </cell>
          <cell r="B368" t="str">
            <v>Carroceria de madeira com capacidade de 4 t</v>
          </cell>
          <cell r="C368">
            <v>1.6034999999999999</v>
          </cell>
          <cell r="D368">
            <v>0.89239999999999997</v>
          </cell>
          <cell r="E368">
            <v>1.6034999999999999</v>
          </cell>
          <cell r="F368">
            <v>0.89239999999999997</v>
          </cell>
        </row>
        <row r="369">
          <cell r="A369" t="str">
            <v>A9372</v>
          </cell>
          <cell r="B369" t="str">
            <v>Guindaste articulado montado sobre chassi com capacidade de 20 t.m</v>
          </cell>
          <cell r="C369">
            <v>36.609299999999998</v>
          </cell>
          <cell r="D369">
            <v>30.107099999999999</v>
          </cell>
          <cell r="E369">
            <v>34.420900000000003</v>
          </cell>
          <cell r="F369">
            <v>27.918700000000001</v>
          </cell>
        </row>
        <row r="370">
          <cell r="A370" t="str">
            <v>A9379</v>
          </cell>
          <cell r="B370" t="str">
            <v>Bate estaca hidráulico para defensas metálicas montada sobre chassi</v>
          </cell>
          <cell r="C370">
            <v>47.764099999999999</v>
          </cell>
          <cell r="D370">
            <v>37.332900000000002</v>
          </cell>
          <cell r="E370">
            <v>45.575699999999998</v>
          </cell>
          <cell r="F370">
            <v>35.144500000000001</v>
          </cell>
        </row>
        <row r="371">
          <cell r="A371" t="str">
            <v>E9097</v>
          </cell>
          <cell r="B371" t="str">
            <v>Caminhão de resgate de veículos leves com plataforma com capacidade de 3,5 t - 115 kW</v>
          </cell>
          <cell r="C371">
            <v>125.8948</v>
          </cell>
          <cell r="D371">
            <v>45.025799999999997</v>
          </cell>
          <cell r="E371">
            <v>122.6422</v>
          </cell>
          <cell r="F371">
            <v>41.773200000000003</v>
          </cell>
        </row>
        <row r="372">
          <cell r="A372" t="str">
            <v>A9326</v>
          </cell>
          <cell r="B372" t="str">
            <v>Caminhão plataforma 4 x 2 PBT 9.600 kg e distância entre eixos 3,7 m - 115 kW - Motorista de veículo especial</v>
          </cell>
          <cell r="C372">
            <v>120.36320000000001</v>
          </cell>
          <cell r="D372">
            <v>42.060400000000001</v>
          </cell>
          <cell r="E372">
            <v>117.11060000000001</v>
          </cell>
          <cell r="F372">
            <v>38.8078</v>
          </cell>
        </row>
        <row r="373">
          <cell r="A373" t="str">
            <v>A9374</v>
          </cell>
          <cell r="B373" t="str">
            <v>Plataforma hidráulica para resgate de veículos montada sobre chassi com capacidade de 3,5 t</v>
          </cell>
          <cell r="C373">
            <v>5.5316000000000001</v>
          </cell>
          <cell r="D373">
            <v>2.9653999999999998</v>
          </cell>
          <cell r="E373">
            <v>5.5316000000000001</v>
          </cell>
          <cell r="F373">
            <v>2.9653999999999998</v>
          </cell>
        </row>
        <row r="374">
          <cell r="A374" t="str">
            <v>E9098</v>
          </cell>
          <cell r="B374" t="str">
            <v>Caminhão de resgate de veículos de porte médio com capacidade do guincho de 20 t - 136 kW</v>
          </cell>
          <cell r="C374">
            <v>180.48679999999999</v>
          </cell>
          <cell r="D374">
            <v>77.668999999999997</v>
          </cell>
          <cell r="E374">
            <v>175.04580000000001</v>
          </cell>
          <cell r="F374">
            <v>72.227999999999994</v>
          </cell>
        </row>
        <row r="375">
          <cell r="A375" t="str">
            <v>A9306</v>
          </cell>
          <cell r="B375" t="str">
            <v>Caminhão plataforma 4 x 2, PBT 17.100 kg e distância entre eixos 3,6 m - 136 kW - Motorista de veículo especial</v>
          </cell>
          <cell r="C375">
            <v>143.94630000000001</v>
          </cell>
          <cell r="D375">
            <v>47.898800000000001</v>
          </cell>
          <cell r="E375">
            <v>140.69370000000001</v>
          </cell>
          <cell r="F375">
            <v>44.6462</v>
          </cell>
        </row>
        <row r="376">
          <cell r="A376" t="str">
            <v>A9375</v>
          </cell>
          <cell r="B376" t="str">
            <v>Guincho rebocador para resgate de veículos montada sobre chassi com capacidade de 20 t</v>
          </cell>
          <cell r="C376">
            <v>36.540500000000002</v>
          </cell>
          <cell r="D376">
            <v>29.770199999999999</v>
          </cell>
          <cell r="E376">
            <v>34.3521</v>
          </cell>
          <cell r="F376">
            <v>27.581800000000001</v>
          </cell>
        </row>
        <row r="377">
          <cell r="A377" t="str">
            <v>E9099</v>
          </cell>
          <cell r="B377" t="str">
            <v>Caminhão de resgate de veículos pesados com dois guinchos com capacidade de 35 t - 240 kW</v>
          </cell>
          <cell r="C377">
            <v>288.8657</v>
          </cell>
          <cell r="D377">
            <v>103.0031</v>
          </cell>
          <cell r="E377">
            <v>283.42469999999997</v>
          </cell>
          <cell r="F377">
            <v>97.562100000000001</v>
          </cell>
        </row>
        <row r="378">
          <cell r="A378" t="str">
            <v>A9320</v>
          </cell>
          <cell r="B378" t="str">
            <v>Caminhão plataforma 6 x 2, PBT 23.000 kg e distância entre eixos 4,8 m - 240 kW - Motorista de veículo especial</v>
          </cell>
          <cell r="C378">
            <v>223.8329</v>
          </cell>
          <cell r="D378">
            <v>57.9587</v>
          </cell>
          <cell r="E378">
            <v>220.58029999999999</v>
          </cell>
          <cell r="F378">
            <v>54.706099999999999</v>
          </cell>
        </row>
        <row r="379">
          <cell r="A379" t="str">
            <v>A9376</v>
          </cell>
          <cell r="B379" t="str">
            <v>Guincho rebocador para resgate de veículos montada sobre chassi com capacidade de 35 t</v>
          </cell>
          <cell r="C379">
            <v>65.032799999999995</v>
          </cell>
          <cell r="D379">
            <v>45.044400000000003</v>
          </cell>
          <cell r="E379">
            <v>62.8444</v>
          </cell>
          <cell r="F379">
            <v>42.856000000000002</v>
          </cell>
        </row>
        <row r="380">
          <cell r="A380" t="str">
            <v>E9100</v>
          </cell>
          <cell r="B380" t="str">
            <v>Cavalo mecânico sem reboque - 210 kW</v>
          </cell>
          <cell r="C380">
            <v>153.14429999999999</v>
          </cell>
          <cell r="D380">
            <v>44.681800000000003</v>
          </cell>
          <cell r="E380">
            <v>150.53800000000001</v>
          </cell>
          <cell r="F380">
            <v>42.075499999999998</v>
          </cell>
        </row>
        <row r="381">
          <cell r="A381" t="str">
            <v>A9310</v>
          </cell>
          <cell r="B381" t="str">
            <v>Cavalo mecânico 4 x 2, PBT 17.100 kg - 210 kW - Motorista de caminhão</v>
          </cell>
          <cell r="C381">
            <v>153.14429999999999</v>
          </cell>
          <cell r="D381">
            <v>44.681800000000003</v>
          </cell>
          <cell r="E381">
            <v>150.53800000000001</v>
          </cell>
          <cell r="F381">
            <v>42.075499999999998</v>
          </cell>
        </row>
        <row r="382">
          <cell r="A382" t="str">
            <v>E9114</v>
          </cell>
          <cell r="B382" t="str">
            <v>Painel com seta luminosa para montagem em caminhão</v>
          </cell>
          <cell r="C382">
            <v>4.3460000000000001</v>
          </cell>
          <cell r="D382">
            <v>2.9706999999999999</v>
          </cell>
          <cell r="E382">
            <v>4.3460000000000001</v>
          </cell>
          <cell r="F382">
            <v>2.9706999999999999</v>
          </cell>
        </row>
        <row r="383">
          <cell r="A383" t="str">
            <v>A9380</v>
          </cell>
          <cell r="B383" t="str">
            <v>Painel com seta luminosa montado sobre chassi</v>
          </cell>
          <cell r="C383">
            <v>4.3460000000000001</v>
          </cell>
          <cell r="D383">
            <v>2.9706999999999999</v>
          </cell>
          <cell r="E383">
            <v>4.3460000000000001</v>
          </cell>
          <cell r="F383">
            <v>2.9706999999999999</v>
          </cell>
        </row>
        <row r="384">
          <cell r="A384" t="str">
            <v>E9115</v>
          </cell>
          <cell r="B384" t="str">
            <v>Amortecedor retrátil (AMC) para montagem em caminhão</v>
          </cell>
          <cell r="C384">
            <v>32.500799999999998</v>
          </cell>
          <cell r="D384">
            <v>17.727699999999999</v>
          </cell>
          <cell r="E384">
            <v>32.500799999999998</v>
          </cell>
          <cell r="F384">
            <v>17.727699999999999</v>
          </cell>
        </row>
        <row r="385">
          <cell r="A385" t="str">
            <v>A9381</v>
          </cell>
          <cell r="B385" t="str">
            <v>Amortecedor retrátil montado em caminhão</v>
          </cell>
          <cell r="C385">
            <v>32.500799999999998</v>
          </cell>
          <cell r="D385">
            <v>17.727699999999999</v>
          </cell>
          <cell r="E385">
            <v>32.500799999999998</v>
          </cell>
          <cell r="F385">
            <v>17.727699999999999</v>
          </cell>
        </row>
        <row r="386">
          <cell r="A386" t="str">
            <v>E9145</v>
          </cell>
          <cell r="B386" t="str">
            <v>Caminhão basculante para concreto com capacidade de 7 m³ - 188 kW</v>
          </cell>
          <cell r="C386">
            <v>151.82470000000001</v>
          </cell>
          <cell r="D386">
            <v>48.866</v>
          </cell>
          <cell r="E386">
            <v>149.2184</v>
          </cell>
          <cell r="F386">
            <v>46.259700000000002</v>
          </cell>
        </row>
        <row r="387">
          <cell r="A387" t="str">
            <v>A9316</v>
          </cell>
          <cell r="B387" t="str">
            <v>Caminhão plataforma 8 x 2, PBT 29.000 kg e distância entre eixos 4,8 m - 188 kW - Motorista de caminhão</v>
          </cell>
          <cell r="C387">
            <v>146.69479999999999</v>
          </cell>
          <cell r="D387">
            <v>46.180199999999999</v>
          </cell>
          <cell r="E387">
            <v>144.08850000000001</v>
          </cell>
          <cell r="F387">
            <v>43.573900000000002</v>
          </cell>
        </row>
        <row r="388">
          <cell r="A388" t="str">
            <v>A9340</v>
          </cell>
          <cell r="B388" t="str">
            <v>Caçamba basculante para concreto com capacidade de 7 m³</v>
          </cell>
          <cell r="C388">
            <v>5.1299000000000001</v>
          </cell>
          <cell r="D388">
            <v>2.6858</v>
          </cell>
          <cell r="E388">
            <v>5.1299000000000001</v>
          </cell>
          <cell r="F388">
            <v>2.6858</v>
          </cell>
        </row>
        <row r="389">
          <cell r="A389" t="str">
            <v>E9146</v>
          </cell>
          <cell r="B389" t="str">
            <v>Caminhão silo com capacidade de 30 m³ - 265 kW</v>
          </cell>
          <cell r="C389">
            <v>259.04300000000001</v>
          </cell>
          <cell r="D389">
            <v>67.232900000000001</v>
          </cell>
          <cell r="E389">
            <v>256.43669999999997</v>
          </cell>
          <cell r="F389">
            <v>64.626599999999996</v>
          </cell>
        </row>
        <row r="390">
          <cell r="A390" t="str">
            <v>A9335</v>
          </cell>
          <cell r="B390" t="str">
            <v>Cavalo mecânico estradeiro 6 x 2, PBT 23.000 kg - 265 kW - Motorista de caminhão</v>
          </cell>
          <cell r="C390">
            <v>235.95740000000001</v>
          </cell>
          <cell r="D390">
            <v>54.384799999999998</v>
          </cell>
          <cell r="E390">
            <v>233.3511</v>
          </cell>
          <cell r="F390">
            <v>51.778500000000001</v>
          </cell>
        </row>
        <row r="391">
          <cell r="A391" t="str">
            <v>A9357</v>
          </cell>
          <cell r="B391" t="str">
            <v>Semirreboque silo para cimento com capacidade de 30 m³</v>
          </cell>
          <cell r="C391">
            <v>23.085599999999999</v>
          </cell>
          <cell r="D391">
            <v>12.848100000000001</v>
          </cell>
          <cell r="E391">
            <v>23.085599999999999</v>
          </cell>
          <cell r="F391">
            <v>12.848100000000001</v>
          </cell>
        </row>
        <row r="392">
          <cell r="A392" t="str">
            <v>E9201</v>
          </cell>
          <cell r="B392" t="str">
            <v>Caminhão basculante para rocha com capacidade de 12 m³ - 188 kW com periculosidade</v>
          </cell>
          <cell r="C392">
            <v>173.4931</v>
          </cell>
          <cell r="D392">
            <v>65.9953</v>
          </cell>
          <cell r="E392">
            <v>169.2713</v>
          </cell>
          <cell r="F392">
            <v>61.773499999999999</v>
          </cell>
        </row>
        <row r="393">
          <cell r="A393" t="str">
            <v>A9327</v>
          </cell>
          <cell r="B393" t="str">
            <v>Caminhão plataforma 8 x 2 PBT 29.000 kg e distância entre eixos 4,8 m - 188 kW - Motorista de veículo especial com periculosidade</v>
          </cell>
          <cell r="C393">
            <v>158.83619999999999</v>
          </cell>
          <cell r="D393">
            <v>58.321599999999997</v>
          </cell>
          <cell r="E393">
            <v>154.61439999999999</v>
          </cell>
          <cell r="F393">
            <v>54.099800000000002</v>
          </cell>
        </row>
        <row r="394">
          <cell r="A394" t="str">
            <v>A9343</v>
          </cell>
          <cell r="B394" t="str">
            <v>Caçamba basculante para rocha com capacidade de 12 m³</v>
          </cell>
          <cell r="C394">
            <v>14.6569</v>
          </cell>
          <cell r="D394">
            <v>7.6737000000000002</v>
          </cell>
          <cell r="E394">
            <v>14.6569</v>
          </cell>
          <cell r="F394">
            <v>7.6737000000000002</v>
          </cell>
        </row>
        <row r="395">
          <cell r="A395" t="str">
            <v>E9202</v>
          </cell>
          <cell r="B395" t="str">
            <v>Plataforma pantográfica montada em caminhão - 115 kW com periculosidade</v>
          </cell>
          <cell r="C395">
            <v>213.4648</v>
          </cell>
          <cell r="D395">
            <v>108.9255</v>
          </cell>
          <cell r="E395">
            <v>206.40459999999999</v>
          </cell>
          <cell r="F395">
            <v>101.8653</v>
          </cell>
        </row>
        <row r="396">
          <cell r="A396" t="str">
            <v>A9300</v>
          </cell>
          <cell r="B396" t="str">
            <v>Caminhão plataforma 4 x 2, PBT 8.300 kg e distância entre eixos 3,7 m - 115 kW - Motorista de veículo especial com periculosidade</v>
          </cell>
          <cell r="C396">
            <v>131.1977</v>
          </cell>
          <cell r="D396">
            <v>51.1584</v>
          </cell>
          <cell r="E396">
            <v>126.9759</v>
          </cell>
          <cell r="F396">
            <v>46.936599999999999</v>
          </cell>
        </row>
        <row r="397">
          <cell r="A397" t="str">
            <v>A9383</v>
          </cell>
          <cell r="B397" t="str">
            <v>Plataforma pantográfica hidráulica montada sobre chassi com capacidade de 600 kg - com periculosidade</v>
          </cell>
          <cell r="C397">
            <v>82.267099999999999</v>
          </cell>
          <cell r="D397">
            <v>57.767099999999999</v>
          </cell>
          <cell r="E397">
            <v>79.428700000000006</v>
          </cell>
          <cell r="F397">
            <v>54.928699999999999</v>
          </cell>
        </row>
        <row r="398">
          <cell r="A398" t="str">
            <v>E9506</v>
          </cell>
          <cell r="B398" t="str">
            <v>Caminhão basculante com capacidade de 6 m³ - 136 kW</v>
          </cell>
          <cell r="C398">
            <v>107.2704</v>
          </cell>
          <cell r="D398">
            <v>45.904499999999999</v>
          </cell>
          <cell r="E398">
            <v>104.6641</v>
          </cell>
          <cell r="F398">
            <v>43.298200000000001</v>
          </cell>
        </row>
        <row r="399">
          <cell r="A399" t="str">
            <v>A9307</v>
          </cell>
          <cell r="B399" t="str">
            <v>Caminhão plataforma 4 x 2, PBT 17.100 kg e distância entre eixos 3,6 m - 136 kW - Motorista de caminhão</v>
          </cell>
          <cell r="C399">
            <v>101.8026</v>
          </cell>
          <cell r="D399">
            <v>43.041800000000002</v>
          </cell>
          <cell r="E399">
            <v>99.196299999999994</v>
          </cell>
          <cell r="F399">
            <v>40.435499999999998</v>
          </cell>
        </row>
        <row r="400">
          <cell r="A400" t="str">
            <v>A9338</v>
          </cell>
          <cell r="B400" t="str">
            <v>Caçamba basculante com capacidade de 6 m³</v>
          </cell>
          <cell r="C400">
            <v>5.4678000000000004</v>
          </cell>
          <cell r="D400">
            <v>2.8626999999999998</v>
          </cell>
          <cell r="E400">
            <v>5.4678000000000004</v>
          </cell>
          <cell r="F400">
            <v>2.8626999999999998</v>
          </cell>
        </row>
        <row r="401">
          <cell r="A401" t="str">
            <v>E9508</v>
          </cell>
          <cell r="B401" t="str">
            <v>Caminhão carroceria com capacidade de 9 t - 136 kW</v>
          </cell>
          <cell r="C401">
            <v>107.05459999999999</v>
          </cell>
          <cell r="D401">
            <v>45.851799999999997</v>
          </cell>
          <cell r="E401">
            <v>104.4483</v>
          </cell>
          <cell r="F401">
            <v>43.2455</v>
          </cell>
        </row>
        <row r="402">
          <cell r="A402" t="str">
            <v>A9309</v>
          </cell>
          <cell r="B402" t="str">
            <v>Caminhão plataforma 4 x 2, PBT 17.100 kg e distância entre eixos 4,8 m - 136 kW - Motorista de caminhão</v>
          </cell>
          <cell r="C402">
            <v>104.2749</v>
          </cell>
          <cell r="D402">
            <v>44.3048</v>
          </cell>
          <cell r="E402">
            <v>101.6686</v>
          </cell>
          <cell r="F402">
            <v>41.698500000000003</v>
          </cell>
        </row>
        <row r="403">
          <cell r="A403" t="str">
            <v>A9350</v>
          </cell>
          <cell r="B403" t="str">
            <v>Carroceria de madeira com capacidade de 9 t</v>
          </cell>
          <cell r="C403">
            <v>2.7797000000000001</v>
          </cell>
          <cell r="D403">
            <v>1.5469999999999999</v>
          </cell>
          <cell r="E403">
            <v>2.7797000000000001</v>
          </cell>
          <cell r="F403">
            <v>1.5469999999999999</v>
          </cell>
        </row>
        <row r="404">
          <cell r="A404" t="str">
            <v>E9509</v>
          </cell>
          <cell r="B404" t="str">
            <v>Caminhão tanque distribuidor de asfalto com capacidade de 6.000 l - 7 kW/136 kW</v>
          </cell>
          <cell r="C404">
            <v>153.6181</v>
          </cell>
          <cell r="D404">
            <v>49.657800000000002</v>
          </cell>
          <cell r="E404">
            <v>151.01179999999999</v>
          </cell>
          <cell r="F404">
            <v>47.051499999999997</v>
          </cell>
        </row>
        <row r="405">
          <cell r="A405" t="str">
            <v>A9323</v>
          </cell>
          <cell r="B405" t="str">
            <v>Caminhão plataforma 4 x 2, PBT 14.300 kg e distância entre eixos 4,8 m - 136 kW - Motorista de caminhão</v>
          </cell>
          <cell r="C405">
            <v>138.9101</v>
          </cell>
          <cell r="D405">
            <v>42.950200000000002</v>
          </cell>
          <cell r="E405">
            <v>136.3038</v>
          </cell>
          <cell r="F405">
            <v>40.343899999999998</v>
          </cell>
        </row>
        <row r="406">
          <cell r="A406" t="str">
            <v>A9363</v>
          </cell>
          <cell r="B406" t="str">
            <v>Tanque espargidor de asfalto com capacidade de 6.000 l</v>
          </cell>
          <cell r="C406">
            <v>14.708</v>
          </cell>
          <cell r="D406">
            <v>6.7076000000000002</v>
          </cell>
          <cell r="E406">
            <v>14.708</v>
          </cell>
          <cell r="F406">
            <v>6.7076000000000002</v>
          </cell>
        </row>
        <row r="407">
          <cell r="A407" t="str">
            <v>E9520</v>
          </cell>
          <cell r="B407" t="str">
            <v>Caminhão com caçamba térmica com capacidade de 6 m³ - 188 kW</v>
          </cell>
          <cell r="C407">
            <v>161.15209999999999</v>
          </cell>
          <cell r="D407">
            <v>53.917000000000002</v>
          </cell>
          <cell r="E407">
            <v>158.54580000000001</v>
          </cell>
          <cell r="F407">
            <v>51.310699999999997</v>
          </cell>
        </row>
        <row r="408">
          <cell r="A408" t="str">
            <v>A9311</v>
          </cell>
          <cell r="B408" t="str">
            <v>Caminhão plataforma 6 x 2, PBT 24.100 kg e distância entre eixos 4,8 m - 188 kW - Motorista de caminhão</v>
          </cell>
          <cell r="C408">
            <v>150.2792</v>
          </cell>
          <cell r="D408">
            <v>48.011400000000002</v>
          </cell>
          <cell r="E408">
            <v>147.6729</v>
          </cell>
          <cell r="F408">
            <v>45.405099999999997</v>
          </cell>
        </row>
        <row r="409">
          <cell r="A409" t="str">
            <v>A9339</v>
          </cell>
          <cell r="B409" t="str">
            <v>Caçamba térmica com capacidade de 6 m³</v>
          </cell>
          <cell r="C409">
            <v>10.8729</v>
          </cell>
          <cell r="D409">
            <v>5.9055999999999997</v>
          </cell>
          <cell r="E409">
            <v>10.8729</v>
          </cell>
          <cell r="F409">
            <v>5.9055999999999997</v>
          </cell>
        </row>
        <row r="410">
          <cell r="A410" t="str">
            <v>E9571</v>
          </cell>
          <cell r="B410" t="str">
            <v>Caminhão tanque com capacidade de 10.000 l - 188 kW</v>
          </cell>
          <cell r="C410">
            <v>189.13140000000001</v>
          </cell>
          <cell r="D410">
            <v>53.697600000000001</v>
          </cell>
          <cell r="E410">
            <v>186.52510000000001</v>
          </cell>
          <cell r="F410">
            <v>51.091299999999997</v>
          </cell>
        </row>
        <row r="411">
          <cell r="A411" t="str">
            <v>A9332</v>
          </cell>
          <cell r="B411" t="str">
            <v>Caminhão plataforma 6 x 2, PBT 24.100 kg e distância entre eixos 4,8 m - 188 kW - Motorista de caminhão</v>
          </cell>
          <cell r="C411">
            <v>178.9144</v>
          </cell>
          <cell r="D411">
            <v>48.011400000000002</v>
          </cell>
          <cell r="E411">
            <v>176.3081</v>
          </cell>
          <cell r="F411">
            <v>45.405099999999997</v>
          </cell>
        </row>
        <row r="412">
          <cell r="A412" t="str">
            <v>A9360</v>
          </cell>
          <cell r="B412" t="str">
            <v>Tanque para transporte de água com capacidade de 10.000 l</v>
          </cell>
          <cell r="C412">
            <v>10.217000000000001</v>
          </cell>
          <cell r="D412">
            <v>5.6862000000000004</v>
          </cell>
          <cell r="E412">
            <v>10.217000000000001</v>
          </cell>
          <cell r="F412">
            <v>5.6862000000000004</v>
          </cell>
        </row>
        <row r="413">
          <cell r="A413" t="str">
            <v>E9575</v>
          </cell>
          <cell r="B413" t="str">
            <v>Caminhão basculante com caçamba estanque com capacidade de 14 m³ - 188 kW</v>
          </cell>
          <cell r="C413">
            <v>159.38069999999999</v>
          </cell>
          <cell r="D413">
            <v>55.136099999999999</v>
          </cell>
          <cell r="E413">
            <v>156.12809999999999</v>
          </cell>
          <cell r="F413">
            <v>51.883499999999998</v>
          </cell>
        </row>
        <row r="414">
          <cell r="A414" t="str">
            <v>A9317</v>
          </cell>
          <cell r="B414" t="str">
            <v>Caminhão plataforma 8 x 2, PBT 29.000 kg e distância entre eixos 4,8 m - 188 kW - Motorista de veículo especial</v>
          </cell>
          <cell r="C414">
            <v>151.55179999999999</v>
          </cell>
          <cell r="D414">
            <v>51.037199999999999</v>
          </cell>
          <cell r="E414">
            <v>148.29920000000001</v>
          </cell>
          <cell r="F414">
            <v>47.784599999999998</v>
          </cell>
        </row>
        <row r="415">
          <cell r="A415" t="str">
            <v>A9345</v>
          </cell>
          <cell r="B415" t="str">
            <v>Caçamba basculante estanque com capacidade de 14 m³</v>
          </cell>
          <cell r="C415">
            <v>7.8289</v>
          </cell>
          <cell r="D415">
            <v>4.0989000000000004</v>
          </cell>
          <cell r="E415">
            <v>7.8289</v>
          </cell>
          <cell r="F415">
            <v>4.0989000000000004</v>
          </cell>
        </row>
        <row r="416">
          <cell r="A416" t="str">
            <v>E9579</v>
          </cell>
          <cell r="B416" t="str">
            <v>Caminhão basculante com capacidade de 10 m³ - 188 kW</v>
          </cell>
          <cell r="C416">
            <v>153.63990000000001</v>
          </cell>
          <cell r="D416">
            <v>49.816400000000002</v>
          </cell>
          <cell r="E416">
            <v>151.03360000000001</v>
          </cell>
          <cell r="F416">
            <v>47.210099999999997</v>
          </cell>
        </row>
        <row r="417">
          <cell r="A417" t="str">
            <v>A9316</v>
          </cell>
          <cell r="B417" t="str">
            <v>Caminhão plataforma 8 x 2, PBT 29.000 kg e distância entre eixos 4,8 m - 188 kW - Motorista de caminhão</v>
          </cell>
          <cell r="C417">
            <v>146.69479999999999</v>
          </cell>
          <cell r="D417">
            <v>46.180199999999999</v>
          </cell>
          <cell r="E417">
            <v>144.08850000000001</v>
          </cell>
          <cell r="F417">
            <v>43.573900000000002</v>
          </cell>
        </row>
        <row r="418">
          <cell r="A418" t="str">
            <v>A9342</v>
          </cell>
          <cell r="B418" t="str">
            <v>Caçamba basculante com capacidade de 10 m³</v>
          </cell>
          <cell r="C418">
            <v>6.9451000000000001</v>
          </cell>
          <cell r="D418">
            <v>3.6362000000000001</v>
          </cell>
          <cell r="E418">
            <v>6.9451000000000001</v>
          </cell>
          <cell r="F418">
            <v>3.6362000000000001</v>
          </cell>
        </row>
        <row r="419">
          <cell r="A419" t="str">
            <v>E9592</v>
          </cell>
          <cell r="B419" t="str">
            <v>Caminhão carroceria com capacidade de 15 t - 188 kW</v>
          </cell>
          <cell r="C419">
            <v>148.56970000000001</v>
          </cell>
          <cell r="D419">
            <v>47.265000000000001</v>
          </cell>
          <cell r="E419">
            <v>145.96340000000001</v>
          </cell>
          <cell r="F419">
            <v>44.658700000000003</v>
          </cell>
        </row>
        <row r="420">
          <cell r="A420" t="str">
            <v>A9314</v>
          </cell>
          <cell r="B420" t="str">
            <v>Caminhão plataforma 6 x 2, PBT 24.100 kg e distância entre eixos 5,4 m - 188 kW - Motorista de caminhão</v>
          </cell>
          <cell r="C420">
            <v>145.79</v>
          </cell>
          <cell r="D420">
            <v>45.718000000000004</v>
          </cell>
          <cell r="E420">
            <v>143.18369999999999</v>
          </cell>
          <cell r="F420">
            <v>43.111699999999999</v>
          </cell>
        </row>
        <row r="421">
          <cell r="A421" t="str">
            <v>A9352</v>
          </cell>
          <cell r="B421" t="str">
            <v>Carroceria de madeira com capacidade de 15 t</v>
          </cell>
          <cell r="C421">
            <v>2.7797000000000001</v>
          </cell>
          <cell r="D421">
            <v>1.5469999999999999</v>
          </cell>
          <cell r="E421">
            <v>2.7797000000000001</v>
          </cell>
          <cell r="F421">
            <v>1.5469999999999999</v>
          </cell>
        </row>
        <row r="422">
          <cell r="A422" t="str">
            <v>E9600</v>
          </cell>
          <cell r="B422" t="str">
            <v>Caminhão betoneira com capacidade de 8 m³ - 188 kW</v>
          </cell>
          <cell r="C422">
            <v>167.99610000000001</v>
          </cell>
          <cell r="D422">
            <v>59.646700000000003</v>
          </cell>
          <cell r="E422">
            <v>164.74350000000001</v>
          </cell>
          <cell r="F422">
            <v>56.394100000000002</v>
          </cell>
        </row>
        <row r="423">
          <cell r="A423" t="str">
            <v>A9317</v>
          </cell>
          <cell r="B423" t="str">
            <v>Caminhão plataforma 8 x 2, PBT 29.000 kg e distância entre eixos 4,8 m - 188 kW - Motorista de veículo especial</v>
          </cell>
          <cell r="C423">
            <v>151.55179999999999</v>
          </cell>
          <cell r="D423">
            <v>51.037199999999999</v>
          </cell>
          <cell r="E423">
            <v>148.29920000000001</v>
          </cell>
          <cell r="F423">
            <v>47.784599999999998</v>
          </cell>
        </row>
        <row r="424">
          <cell r="A424" t="str">
            <v>A9346</v>
          </cell>
          <cell r="B424" t="str">
            <v>Misturador de concreto para montagem em chassi de caminhão com capacidade de 8 m³</v>
          </cell>
          <cell r="C424">
            <v>16.444299999999998</v>
          </cell>
          <cell r="D424">
            <v>8.6095000000000006</v>
          </cell>
          <cell r="E424">
            <v>16.444299999999998</v>
          </cell>
          <cell r="F424">
            <v>8.6095000000000006</v>
          </cell>
        </row>
        <row r="425">
          <cell r="A425" t="str">
            <v>E9604</v>
          </cell>
          <cell r="B425" t="str">
            <v>Caminhão basculante para rocha com capacidade de 8 m³ - 210 kW</v>
          </cell>
          <cell r="C425">
            <v>172.5548</v>
          </cell>
          <cell r="D425">
            <v>54.6663</v>
          </cell>
          <cell r="E425">
            <v>169.9485</v>
          </cell>
          <cell r="F425">
            <v>52.06</v>
          </cell>
        </row>
        <row r="426">
          <cell r="A426" t="str">
            <v>A9315</v>
          </cell>
          <cell r="B426" t="str">
            <v>Caminhão basculante 6 x 4, PBT 23.000 kg e distância entre eixos 3,6 m - 210 kW - Motorista de caminhão</v>
          </cell>
          <cell r="C426">
            <v>167.1747</v>
          </cell>
          <cell r="D426">
            <v>51.849499999999999</v>
          </cell>
          <cell r="E426">
            <v>164.5684</v>
          </cell>
          <cell r="F426">
            <v>49.243200000000002</v>
          </cell>
        </row>
        <row r="427">
          <cell r="A427" t="str">
            <v>A9341</v>
          </cell>
          <cell r="B427" t="str">
            <v>Caçamba basculante para rocha com capacidade de 8 m³</v>
          </cell>
          <cell r="C427">
            <v>5.3800999999999997</v>
          </cell>
          <cell r="D427">
            <v>2.8168000000000002</v>
          </cell>
          <cell r="E427">
            <v>5.3800999999999997</v>
          </cell>
          <cell r="F427">
            <v>2.8168000000000002</v>
          </cell>
        </row>
        <row r="428">
          <cell r="A428" t="str">
            <v>E9605</v>
          </cell>
          <cell r="B428" t="str">
            <v>Caminhão tanque com capacidade de 6.000 l - 136 kW</v>
          </cell>
          <cell r="C428">
            <v>147.2552</v>
          </cell>
          <cell r="D428">
            <v>47.5946</v>
          </cell>
          <cell r="E428">
            <v>144.6489</v>
          </cell>
          <cell r="F428">
            <v>44.988300000000002</v>
          </cell>
        </row>
        <row r="429">
          <cell r="A429" t="str">
            <v>A9323</v>
          </cell>
          <cell r="B429" t="str">
            <v>Caminhão plataforma 4 x 2, PBT 14.300 kg e distância entre eixos 4,8 m - 136 kW - Motorista de caminhão</v>
          </cell>
          <cell r="C429">
            <v>138.9101</v>
          </cell>
          <cell r="D429">
            <v>42.950200000000002</v>
          </cell>
          <cell r="E429">
            <v>136.3038</v>
          </cell>
          <cell r="F429">
            <v>40.343899999999998</v>
          </cell>
        </row>
        <row r="430">
          <cell r="A430" t="str">
            <v>A9358</v>
          </cell>
          <cell r="B430" t="str">
            <v>Tanque para transporte de água com capacidade de 6.000 l</v>
          </cell>
          <cell r="C430">
            <v>8.3451000000000004</v>
          </cell>
          <cell r="D430">
            <v>4.6444000000000001</v>
          </cell>
          <cell r="E430">
            <v>8.3451000000000004</v>
          </cell>
          <cell r="F430">
            <v>4.6444000000000001</v>
          </cell>
        </row>
        <row r="431">
          <cell r="A431" t="str">
            <v>E9644</v>
          </cell>
          <cell r="B431" t="str">
            <v>Caminhão demarcador de faixas com sistema de pintura a frio - 28 kW/115 kW</v>
          </cell>
          <cell r="C431">
            <v>266.96280000000002</v>
          </cell>
          <cell r="D431">
            <v>130.56970000000001</v>
          </cell>
          <cell r="E431">
            <v>261.52179999999998</v>
          </cell>
          <cell r="F431">
            <v>125.12869999999999</v>
          </cell>
        </row>
        <row r="432">
          <cell r="A432" t="str">
            <v>A9302</v>
          </cell>
          <cell r="B432" t="str">
            <v>Caminhão plataforma 4 x 2, PBT 8.300 kg e distância entre eixos 4,4 m - 115 kW - Motorista de veículo especial</v>
          </cell>
          <cell r="C432">
            <v>119.20050000000001</v>
          </cell>
          <cell r="D432">
            <v>41.4664</v>
          </cell>
          <cell r="E432">
            <v>115.9479</v>
          </cell>
          <cell r="F432">
            <v>38.213799999999999</v>
          </cell>
        </row>
        <row r="433">
          <cell r="A433" t="str">
            <v>A9368</v>
          </cell>
          <cell r="B433" t="str">
            <v>Equipamento demarcador de faixas a frio montado sobre chassi com capacidade de 800 l</v>
          </cell>
          <cell r="C433">
            <v>147.76230000000001</v>
          </cell>
          <cell r="D433">
            <v>89.103300000000004</v>
          </cell>
          <cell r="E433">
            <v>145.57390000000001</v>
          </cell>
          <cell r="F433">
            <v>86.914900000000003</v>
          </cell>
        </row>
        <row r="434">
          <cell r="A434" t="str">
            <v>E9645</v>
          </cell>
          <cell r="B434" t="str">
            <v>Caminhão demarcador de faixas com sistema de pintura a quente - 136 kW</v>
          </cell>
          <cell r="C434">
            <v>371.93270000000001</v>
          </cell>
          <cell r="D434">
            <v>176.91229999999999</v>
          </cell>
          <cell r="E434">
            <v>366.49169999999998</v>
          </cell>
          <cell r="F434">
            <v>171.47130000000001</v>
          </cell>
        </row>
        <row r="435">
          <cell r="A435" t="str">
            <v>A9305</v>
          </cell>
          <cell r="B435" t="str">
            <v>Caminhão plataforma 4 x 2, PBT 14.300 kg e distância entre eixos 4,8 m - 136 kW - Motorista de veículo especial</v>
          </cell>
          <cell r="C435">
            <v>143.7671</v>
          </cell>
          <cell r="D435">
            <v>47.807200000000002</v>
          </cell>
          <cell r="E435">
            <v>140.5145</v>
          </cell>
          <cell r="F435">
            <v>44.554600000000001</v>
          </cell>
        </row>
        <row r="436">
          <cell r="A436" t="str">
            <v>A9328</v>
          </cell>
          <cell r="B436" t="str">
            <v>Compressor de ar portátil de 150 PCM sem reboque - 46 kW</v>
          </cell>
          <cell r="C436">
            <v>36.711799999999997</v>
          </cell>
          <cell r="D436">
            <v>7.1925999999999997</v>
          </cell>
          <cell r="E436">
            <v>36.711799999999997</v>
          </cell>
          <cell r="F436">
            <v>7.1925999999999997</v>
          </cell>
        </row>
        <row r="437">
          <cell r="A437" t="str">
            <v>A9369</v>
          </cell>
          <cell r="B437" t="str">
            <v>Equipamento demarcador de faixas a quente montado sobre chassi com capacidade de 500 l</v>
          </cell>
          <cell r="C437">
            <v>191.4538</v>
          </cell>
          <cell r="D437">
            <v>121.91249999999999</v>
          </cell>
          <cell r="E437">
            <v>189.2654</v>
          </cell>
          <cell r="F437">
            <v>119.72410000000001</v>
          </cell>
        </row>
        <row r="438">
          <cell r="A438" t="str">
            <v>E9663</v>
          </cell>
          <cell r="B438" t="str">
            <v>Caminhão basculante com capacidade de 4 m³ - 136 kW</v>
          </cell>
          <cell r="C438">
            <v>105.9704</v>
          </cell>
          <cell r="D438">
            <v>45.226100000000002</v>
          </cell>
          <cell r="E438">
            <v>103.36409999999999</v>
          </cell>
          <cell r="F438">
            <v>42.619799999999998</v>
          </cell>
        </row>
        <row r="439">
          <cell r="A439" t="str">
            <v>A9304</v>
          </cell>
          <cell r="B439" t="str">
            <v>Caminhão plataforma 4 x 2, PBT 14.300 kg e distância entre eixos 4,8 m - 136 kW - Motorista de caminhão</v>
          </cell>
          <cell r="C439">
            <v>101.6234</v>
          </cell>
          <cell r="D439">
            <v>42.950200000000002</v>
          </cell>
          <cell r="E439">
            <v>99.017099999999999</v>
          </cell>
          <cell r="F439">
            <v>40.343899999999998</v>
          </cell>
        </row>
        <row r="440">
          <cell r="A440" t="str">
            <v>A9336</v>
          </cell>
          <cell r="B440" t="str">
            <v>Caçamba basculante com capacidade de 4 m³</v>
          </cell>
          <cell r="C440">
            <v>4.3470000000000004</v>
          </cell>
          <cell r="D440">
            <v>2.2759</v>
          </cell>
          <cell r="E440">
            <v>4.3470000000000004</v>
          </cell>
          <cell r="F440">
            <v>2.2759</v>
          </cell>
        </row>
        <row r="441">
          <cell r="A441" t="str">
            <v>E9665</v>
          </cell>
          <cell r="B441" t="str">
            <v>Cavalo mecânico com semirreboque com capacidade de 22 t - 240 kW</v>
          </cell>
          <cell r="C441">
            <v>203.79249999999999</v>
          </cell>
          <cell r="D441">
            <v>67.877799999999993</v>
          </cell>
          <cell r="E441">
            <v>200.53989999999999</v>
          </cell>
          <cell r="F441">
            <v>64.625200000000007</v>
          </cell>
        </row>
        <row r="442">
          <cell r="A442" t="str">
            <v>A9318</v>
          </cell>
          <cell r="B442" t="str">
            <v>Cavalo mecânico 4 x 2, PBT 16.000 kg - 240 kW - Motorista de veículo especial</v>
          </cell>
          <cell r="C442">
            <v>178.46260000000001</v>
          </cell>
          <cell r="D442">
            <v>53.455500000000001</v>
          </cell>
          <cell r="E442">
            <v>175.21</v>
          </cell>
          <cell r="F442">
            <v>50.2029</v>
          </cell>
        </row>
        <row r="443">
          <cell r="A443" t="str">
            <v>A9353</v>
          </cell>
          <cell r="B443" t="str">
            <v>Semirreboque com 2 eixos</v>
          </cell>
          <cell r="C443">
            <v>25.329899999999999</v>
          </cell>
          <cell r="D443">
            <v>14.4223</v>
          </cell>
          <cell r="E443">
            <v>25.329899999999999</v>
          </cell>
          <cell r="F443">
            <v>14.4223</v>
          </cell>
        </row>
        <row r="444">
          <cell r="A444" t="str">
            <v>E9666</v>
          </cell>
          <cell r="B444" t="str">
            <v>Cavalo mecânico com semirreboque com capacidade de 30 t - 265 kW</v>
          </cell>
          <cell r="C444">
            <v>226.77600000000001</v>
          </cell>
          <cell r="D444">
            <v>72.139200000000002</v>
          </cell>
          <cell r="E444">
            <v>224.16970000000001</v>
          </cell>
          <cell r="F444">
            <v>69.532899999999998</v>
          </cell>
        </row>
        <row r="445">
          <cell r="A445" t="str">
            <v>A9321</v>
          </cell>
          <cell r="B445" t="str">
            <v>Cavalo mecânico estradeiro 6 x 2, PBT 23.000 kg - 265 kW - Motorista de caminhão</v>
          </cell>
          <cell r="C445">
            <v>195.59389999999999</v>
          </cell>
          <cell r="D445">
            <v>54.384799999999998</v>
          </cell>
          <cell r="E445">
            <v>192.98759999999999</v>
          </cell>
          <cell r="F445">
            <v>51.778500000000001</v>
          </cell>
        </row>
        <row r="446">
          <cell r="A446" t="str">
            <v>A9354</v>
          </cell>
          <cell r="B446" t="str">
            <v>Semirreboque com 3 eixos</v>
          </cell>
          <cell r="C446">
            <v>31.182099999999998</v>
          </cell>
          <cell r="D446">
            <v>17.7544</v>
          </cell>
          <cell r="E446">
            <v>31.182099999999998</v>
          </cell>
          <cell r="F446">
            <v>17.7544</v>
          </cell>
        </row>
        <row r="447">
          <cell r="A447" t="str">
            <v>E9667</v>
          </cell>
          <cell r="B447" t="str">
            <v>Caminhão basculante com capacidade de 14 m³ - 188 kW</v>
          </cell>
          <cell r="C447">
            <v>159.38069999999999</v>
          </cell>
          <cell r="D447">
            <v>55.136099999999999</v>
          </cell>
          <cell r="E447">
            <v>156.12809999999999</v>
          </cell>
          <cell r="F447">
            <v>51.883499999999998</v>
          </cell>
        </row>
        <row r="448">
          <cell r="A448" t="str">
            <v>A9317</v>
          </cell>
          <cell r="B448" t="str">
            <v>Caminhão plataforma 8 x 2, PBT 29.000 kg e distância entre eixos 4,8 m - 188 kW - Motorista de veículo especial</v>
          </cell>
          <cell r="C448">
            <v>151.55179999999999</v>
          </cell>
          <cell r="D448">
            <v>51.037199999999999</v>
          </cell>
          <cell r="E448">
            <v>148.29920000000001</v>
          </cell>
          <cell r="F448">
            <v>47.784599999999998</v>
          </cell>
        </row>
        <row r="449">
          <cell r="A449" t="str">
            <v>A9344</v>
          </cell>
          <cell r="B449" t="str">
            <v>Caçamba basculante com capacidade de 14 m³</v>
          </cell>
          <cell r="C449">
            <v>7.8289</v>
          </cell>
          <cell r="D449">
            <v>4.0989000000000004</v>
          </cell>
          <cell r="E449">
            <v>7.8289</v>
          </cell>
          <cell r="F449">
            <v>4.0989000000000004</v>
          </cell>
        </row>
        <row r="450">
          <cell r="A450" t="str">
            <v>E9669</v>
          </cell>
          <cell r="B450" t="str">
            <v>Caminhão tanque com capacidade de 8.000 l - 136 kW</v>
          </cell>
          <cell r="C450">
            <v>151.15459999999999</v>
          </cell>
          <cell r="D450">
            <v>49.643700000000003</v>
          </cell>
          <cell r="E450">
            <v>148.54830000000001</v>
          </cell>
          <cell r="F450">
            <v>47.037399999999998</v>
          </cell>
        </row>
        <row r="451">
          <cell r="A451" t="str">
            <v>A9331</v>
          </cell>
          <cell r="B451" t="str">
            <v>Caminhão plataforma 4 x 2, PBT 17.100 kg e distância entre eixos 4,8 m - 136 kW - Motorista de caminhão</v>
          </cell>
          <cell r="C451">
            <v>141.5616</v>
          </cell>
          <cell r="D451">
            <v>44.3048</v>
          </cell>
          <cell r="E451">
            <v>138.95529999999999</v>
          </cell>
          <cell r="F451">
            <v>41.698500000000003</v>
          </cell>
        </row>
        <row r="452">
          <cell r="A452" t="str">
            <v>A9359</v>
          </cell>
          <cell r="B452" t="str">
            <v>Tanque para transporte de água com capacidade de 8.000 l</v>
          </cell>
          <cell r="C452">
            <v>9.593</v>
          </cell>
          <cell r="D452">
            <v>5.3388999999999998</v>
          </cell>
          <cell r="E452">
            <v>9.593</v>
          </cell>
          <cell r="F452">
            <v>5.3388999999999998</v>
          </cell>
        </row>
        <row r="453">
          <cell r="A453" t="str">
            <v>E9670</v>
          </cell>
          <cell r="B453" t="str">
            <v>Usina móvel para microrrevestimento com cavalo mecânico com capacidade de 12 m³ - 86 kW/240 kW</v>
          </cell>
          <cell r="C453">
            <v>419.90629999999999</v>
          </cell>
          <cell r="D453">
            <v>163.9836</v>
          </cell>
          <cell r="E453">
            <v>412.64030000000002</v>
          </cell>
          <cell r="F453">
            <v>156.7176</v>
          </cell>
        </row>
        <row r="454">
          <cell r="A454" t="str">
            <v>A9319</v>
          </cell>
          <cell r="B454" t="str">
            <v>Cavalo mecânico 4 x 2, PBT 16.000 kg - 240 kW - Motorista de veículo especial</v>
          </cell>
          <cell r="C454">
            <v>215.01820000000001</v>
          </cell>
          <cell r="D454">
            <v>53.455500000000001</v>
          </cell>
          <cell r="E454">
            <v>211.76560000000001</v>
          </cell>
          <cell r="F454">
            <v>50.2029</v>
          </cell>
        </row>
        <row r="455">
          <cell r="A455" t="str">
            <v>A9367</v>
          </cell>
          <cell r="B455" t="str">
            <v>Usina de microrrevestimento asfáltico rebocável com capacidade de 12 m³</v>
          </cell>
          <cell r="C455">
            <v>204.88810000000001</v>
          </cell>
          <cell r="D455">
            <v>110.52809999999999</v>
          </cell>
          <cell r="E455">
            <v>200.87469999999999</v>
          </cell>
          <cell r="F455">
            <v>106.5147</v>
          </cell>
        </row>
        <row r="456">
          <cell r="A456" t="str">
            <v>E9672</v>
          </cell>
          <cell r="B456" t="str">
            <v>Caminhão basculante para rocha com capacidade de 12 m³ - 188 kW</v>
          </cell>
          <cell r="C456">
            <v>166.20869999999999</v>
          </cell>
          <cell r="D456">
            <v>58.710900000000002</v>
          </cell>
          <cell r="E456">
            <v>162.95609999999999</v>
          </cell>
          <cell r="F456">
            <v>55.458300000000001</v>
          </cell>
        </row>
        <row r="457">
          <cell r="A457" t="str">
            <v>A9317</v>
          </cell>
          <cell r="B457" t="str">
            <v>Caminhão plataforma 8 x 2, PBT 29.000 kg e distância entre eixos 4,8 m - 188 kW - Motorista de veículo especial</v>
          </cell>
          <cell r="C457">
            <v>151.55179999999999</v>
          </cell>
          <cell r="D457">
            <v>51.037199999999999</v>
          </cell>
          <cell r="E457">
            <v>148.29920000000001</v>
          </cell>
          <cell r="F457">
            <v>47.784599999999998</v>
          </cell>
        </row>
        <row r="458">
          <cell r="A458" t="str">
            <v>A9343</v>
          </cell>
          <cell r="B458" t="str">
            <v>Caçamba basculante para rocha com capacidade de 12 m³</v>
          </cell>
          <cell r="C458">
            <v>14.6569</v>
          </cell>
          <cell r="D458">
            <v>7.6737000000000002</v>
          </cell>
          <cell r="E458">
            <v>14.6569</v>
          </cell>
          <cell r="F458">
            <v>7.6737000000000002</v>
          </cell>
        </row>
        <row r="459">
          <cell r="A459" t="str">
            <v>E9679</v>
          </cell>
          <cell r="B459" t="str">
            <v>Cavalo mecânico com reboque de 6 eixos com capacidade de 207 t - 440 kW</v>
          </cell>
          <cell r="C459">
            <v>655.49059999999997</v>
          </cell>
          <cell r="D459">
            <v>260.03769999999997</v>
          </cell>
          <cell r="E459">
            <v>652.23800000000006</v>
          </cell>
          <cell r="F459">
            <v>256.7851</v>
          </cell>
        </row>
        <row r="460">
          <cell r="A460" t="str">
            <v>A9325</v>
          </cell>
          <cell r="B460" t="str">
            <v>Cavalo mecânico 8 x 8, PBT 26.000 kg - 440 kW -  Motorista de veículo especial</v>
          </cell>
          <cell r="C460">
            <v>545.10630000000003</v>
          </cell>
          <cell r="D460">
            <v>197.18729999999999</v>
          </cell>
          <cell r="E460">
            <v>541.8537</v>
          </cell>
          <cell r="F460">
            <v>193.93469999999999</v>
          </cell>
        </row>
        <row r="461">
          <cell r="A461" t="str">
            <v>A9356</v>
          </cell>
          <cell r="B461" t="str">
            <v>Reboque com capacidade de 400 t e 6 eixos</v>
          </cell>
          <cell r="C461">
            <v>110.3843</v>
          </cell>
          <cell r="D461">
            <v>62.8504</v>
          </cell>
          <cell r="E461">
            <v>110.3843</v>
          </cell>
          <cell r="F461">
            <v>62.8504</v>
          </cell>
        </row>
        <row r="462">
          <cell r="A462" t="str">
            <v>E9680</v>
          </cell>
          <cell r="B462" t="str">
            <v>Caminhão tanque com capacidade de 13.000 l - 188 kW</v>
          </cell>
          <cell r="C462">
            <v>189.44319999999999</v>
          </cell>
          <cell r="D462">
            <v>53.871099999999998</v>
          </cell>
          <cell r="E462">
            <v>186.83690000000001</v>
          </cell>
          <cell r="F462">
            <v>51.264800000000001</v>
          </cell>
        </row>
        <row r="463">
          <cell r="A463" t="str">
            <v>A9332</v>
          </cell>
          <cell r="B463" t="str">
            <v>Caminhão plataforma 6 x 2, PBT 24.100 kg e distância entre eixos 4,8 m - 188 kW - Motorista de caminhão</v>
          </cell>
          <cell r="C463">
            <v>178.9144</v>
          </cell>
          <cell r="D463">
            <v>48.011400000000002</v>
          </cell>
          <cell r="E463">
            <v>176.3081</v>
          </cell>
          <cell r="F463">
            <v>45.405099999999997</v>
          </cell>
        </row>
        <row r="464">
          <cell r="A464" t="str">
            <v>A9361</v>
          </cell>
          <cell r="B464" t="str">
            <v>Tanque para transporte de água com capacidade de 13.000 l</v>
          </cell>
          <cell r="C464">
            <v>10.5288</v>
          </cell>
          <cell r="D464">
            <v>5.8597000000000001</v>
          </cell>
          <cell r="E464">
            <v>10.5288</v>
          </cell>
          <cell r="F464">
            <v>5.8597000000000001</v>
          </cell>
        </row>
        <row r="465">
          <cell r="A465" t="str">
            <v>E9686</v>
          </cell>
          <cell r="B465" t="str">
            <v>Caminhão carroceria com guindauto com capacidade de 20 t.m - 136 kW</v>
          </cell>
          <cell r="C465">
            <v>185.5549</v>
          </cell>
          <cell r="D465">
            <v>80.675299999999993</v>
          </cell>
          <cell r="E465">
            <v>180.1139</v>
          </cell>
          <cell r="F465">
            <v>75.234300000000005</v>
          </cell>
        </row>
        <row r="466">
          <cell r="A466" t="str">
            <v>A9308</v>
          </cell>
          <cell r="B466" t="str">
            <v>Caminhão plataforma 4 x 2, PBT 17.100 kg e distância entre eixos 4,8 m - 136 kW - Motorista de veículo especial</v>
          </cell>
          <cell r="C466">
            <v>146.4186</v>
          </cell>
          <cell r="D466">
            <v>49.161799999999999</v>
          </cell>
          <cell r="E466">
            <v>143.166</v>
          </cell>
          <cell r="F466">
            <v>45.909199999999998</v>
          </cell>
        </row>
        <row r="467">
          <cell r="A467" t="str">
            <v>A9349</v>
          </cell>
          <cell r="B467" t="str">
            <v>Carroceria de madeira com capacidade de 7 t</v>
          </cell>
          <cell r="C467">
            <v>2.5270000000000001</v>
          </cell>
          <cell r="D467">
            <v>1.4064000000000001</v>
          </cell>
          <cell r="E467">
            <v>2.5270000000000001</v>
          </cell>
          <cell r="F467">
            <v>1.4064000000000001</v>
          </cell>
        </row>
        <row r="468">
          <cell r="A468" t="str">
            <v>A9372</v>
          </cell>
          <cell r="B468" t="str">
            <v>Guindaste articulado montado sobre chassi com capacidade de 20 t.m</v>
          </cell>
          <cell r="C468">
            <v>36.609299999999998</v>
          </cell>
          <cell r="D468">
            <v>30.107099999999999</v>
          </cell>
          <cell r="E468">
            <v>34.420900000000003</v>
          </cell>
          <cell r="F468">
            <v>27.918700000000001</v>
          </cell>
        </row>
        <row r="469">
          <cell r="A469" t="str">
            <v>E9687</v>
          </cell>
          <cell r="B469" t="str">
            <v>Caminhão carroceria com capacidade de 5 t - 115 kW</v>
          </cell>
          <cell r="C469">
            <v>86.096000000000004</v>
          </cell>
          <cell r="D469">
            <v>38.3827</v>
          </cell>
          <cell r="E469">
            <v>83.489699999999999</v>
          </cell>
          <cell r="F469">
            <v>35.776400000000002</v>
          </cell>
        </row>
        <row r="470">
          <cell r="A470" t="str">
            <v>A9303</v>
          </cell>
          <cell r="B470" t="str">
            <v>Caminhão plataforma 4 x 2, PBT 9.600 kg e distância entre eixos 3,7 m - 115 kW - Motorista de caminhão</v>
          </cell>
          <cell r="C470">
            <v>83.977000000000004</v>
          </cell>
          <cell r="D470">
            <v>37.203400000000002</v>
          </cell>
          <cell r="E470">
            <v>81.370699999999999</v>
          </cell>
          <cell r="F470">
            <v>34.597099999999998</v>
          </cell>
        </row>
        <row r="471">
          <cell r="A471" t="str">
            <v>A9348</v>
          </cell>
          <cell r="B471" t="str">
            <v>Carroceria de madeira com capacidade de 5 t</v>
          </cell>
          <cell r="C471">
            <v>2.1190000000000002</v>
          </cell>
          <cell r="D471">
            <v>1.1793</v>
          </cell>
          <cell r="E471">
            <v>2.1190000000000002</v>
          </cell>
          <cell r="F471">
            <v>1.1793</v>
          </cell>
        </row>
        <row r="472">
          <cell r="A472" t="str">
            <v>E9688</v>
          </cell>
          <cell r="B472" t="str">
            <v>Usina móvel de lama asfáltica montada sobre chassi com capacidade de 5 m³ - 25 kW/188 kW</v>
          </cell>
          <cell r="C472">
            <v>271.35590000000002</v>
          </cell>
          <cell r="D472">
            <v>111.7915</v>
          </cell>
          <cell r="E472">
            <v>264.0899</v>
          </cell>
          <cell r="F472">
            <v>104.52549999999999</v>
          </cell>
        </row>
        <row r="473">
          <cell r="A473" t="str">
            <v>A9312</v>
          </cell>
          <cell r="B473" t="str">
            <v>Caminhão plataforma 6 x 2, PBT 24.100 kg e distância entre eixos 4,8 m - 188 kW - Motorista de veículo especial</v>
          </cell>
          <cell r="C473">
            <v>183.90649999999999</v>
          </cell>
          <cell r="D473">
            <v>52.937399999999997</v>
          </cell>
          <cell r="E473">
            <v>180.65389999999999</v>
          </cell>
          <cell r="F473">
            <v>49.684800000000003</v>
          </cell>
        </row>
        <row r="474">
          <cell r="A474" t="str">
            <v>A9366</v>
          </cell>
          <cell r="B474" t="str">
            <v>Usina de lama asfáltica montada sobre chassi com capacidade de 5 m³</v>
          </cell>
          <cell r="C474">
            <v>87.449399999999997</v>
          </cell>
          <cell r="D474">
            <v>58.854100000000003</v>
          </cell>
          <cell r="E474">
            <v>83.436000000000007</v>
          </cell>
          <cell r="F474">
            <v>54.840699999999998</v>
          </cell>
        </row>
        <row r="475">
          <cell r="A475" t="str">
            <v>E9690</v>
          </cell>
          <cell r="B475" t="str">
            <v>Caminhão carroceria com guindauto e cesto aéreo com capacidade de 10 t.m - 136 kW</v>
          </cell>
          <cell r="C475">
            <v>215.393</v>
          </cell>
          <cell r="D475">
            <v>107.01390000000001</v>
          </cell>
          <cell r="E475">
            <v>207.7636</v>
          </cell>
          <cell r="F475">
            <v>99.384500000000003</v>
          </cell>
        </row>
        <row r="476">
          <cell r="A476" t="str">
            <v>A9308</v>
          </cell>
          <cell r="B476" t="str">
            <v>Caminhão plataforma 4 x 2, PBT 17.100 kg e distância entre eixos 4,8 m - 136 kW - Motorista de veículo especial</v>
          </cell>
          <cell r="C476">
            <v>146.4186</v>
          </cell>
          <cell r="D476">
            <v>49.161799999999999</v>
          </cell>
          <cell r="E476">
            <v>143.166</v>
          </cell>
          <cell r="F476">
            <v>45.909199999999998</v>
          </cell>
        </row>
        <row r="477">
          <cell r="A477" t="str">
            <v>A9329</v>
          </cell>
          <cell r="B477" t="str">
            <v>Cesto aéreo simples isolado</v>
          </cell>
          <cell r="C477">
            <v>7.1538000000000004</v>
          </cell>
          <cell r="D477">
            <v>3.9813999999999998</v>
          </cell>
          <cell r="E477">
            <v>7.1538000000000004</v>
          </cell>
          <cell r="F477">
            <v>3.9813999999999998</v>
          </cell>
        </row>
        <row r="478">
          <cell r="A478" t="str">
            <v>A9330</v>
          </cell>
          <cell r="B478" t="str">
            <v>Guindaste articulado montado sobre chassi com capacidade de 10 t.m</v>
          </cell>
          <cell r="C478">
            <v>59.040900000000001</v>
          </cell>
          <cell r="D478">
            <v>52.323700000000002</v>
          </cell>
          <cell r="E478">
            <v>54.664099999999998</v>
          </cell>
          <cell r="F478">
            <v>47.946899999999999</v>
          </cell>
        </row>
        <row r="479">
          <cell r="A479" t="str">
            <v>A9350</v>
          </cell>
          <cell r="B479" t="str">
            <v>Carroceria de madeira com capacidade de 9 t</v>
          </cell>
          <cell r="C479">
            <v>2.7797000000000001</v>
          </cell>
          <cell r="D479">
            <v>1.5469999999999999</v>
          </cell>
          <cell r="E479">
            <v>2.7797000000000001</v>
          </cell>
          <cell r="F479">
            <v>1.5469999999999999</v>
          </cell>
        </row>
        <row r="480">
          <cell r="A480" t="str">
            <v>E9693</v>
          </cell>
          <cell r="B480" t="str">
            <v>Caminhão demarcador de faixas com sistema de pintura Spray - 115 kW</v>
          </cell>
          <cell r="C480">
            <v>601.98699999999997</v>
          </cell>
          <cell r="D480">
            <v>333.1062</v>
          </cell>
          <cell r="E480">
            <v>597.19230000000005</v>
          </cell>
          <cell r="F480">
            <v>328.31150000000002</v>
          </cell>
        </row>
        <row r="481">
          <cell r="A481" t="str">
            <v>A9322</v>
          </cell>
          <cell r="B481" t="str">
            <v>Caminhão plataforma 4 x 2, PBT 9.600 kg e distância entre eixos 3,7 m - 115 kW - Motorista de caminhão</v>
          </cell>
          <cell r="C481">
            <v>115.50620000000001</v>
          </cell>
          <cell r="D481">
            <v>37.203400000000002</v>
          </cell>
          <cell r="E481">
            <v>112.8999</v>
          </cell>
          <cell r="F481">
            <v>34.597099999999998</v>
          </cell>
        </row>
        <row r="482">
          <cell r="A482" t="str">
            <v>A9370</v>
          </cell>
          <cell r="B482" t="str">
            <v>Equipamento demarcador de faixas sistema spray montado sobre chassi com capacidade
1.080 l</v>
          </cell>
          <cell r="C482">
            <v>486.48079999999999</v>
          </cell>
          <cell r="D482">
            <v>295.90280000000001</v>
          </cell>
          <cell r="E482">
            <v>484.29239999999999</v>
          </cell>
          <cell r="F482">
            <v>293.71440000000001</v>
          </cell>
        </row>
        <row r="483">
          <cell r="A483" t="str">
            <v>E9783</v>
          </cell>
          <cell r="B483" t="str">
            <v>Plataforma pantográfica montada em caminhão - 115 kW</v>
          </cell>
          <cell r="C483">
            <v>201.29140000000001</v>
          </cell>
          <cell r="D483">
            <v>96.752099999999999</v>
          </cell>
          <cell r="E483">
            <v>195.85040000000001</v>
          </cell>
          <cell r="F483">
            <v>91.311099999999996</v>
          </cell>
        </row>
        <row r="484">
          <cell r="A484" t="str">
            <v>A9301</v>
          </cell>
          <cell r="B484" t="str">
            <v>Caminhão plataforma 4 x 2, PBT 8.300 kg e distância entre eixos 3,7 m - 115 kW - Motorista de veículo especial</v>
          </cell>
          <cell r="C484">
            <v>123.91330000000001</v>
          </cell>
          <cell r="D484">
            <v>43.874000000000002</v>
          </cell>
          <cell r="E484">
            <v>120.66070000000001</v>
          </cell>
          <cell r="F484">
            <v>40.621400000000001</v>
          </cell>
        </row>
        <row r="485">
          <cell r="A485" t="str">
            <v>A9377</v>
          </cell>
          <cell r="B485" t="str">
            <v>Plataforma pantográfica hidráulica montada sobre chassi com capacidade de 600 kg</v>
          </cell>
          <cell r="C485">
            <v>77.378100000000003</v>
          </cell>
          <cell r="D485">
            <v>52.878100000000003</v>
          </cell>
          <cell r="E485">
            <v>75.189700000000002</v>
          </cell>
          <cell r="F485">
            <v>50.689700000000002</v>
          </cell>
        </row>
        <row r="486">
          <cell r="A486" t="str">
            <v>E9787</v>
          </cell>
          <cell r="B486" t="str">
            <v>Bomba para concreto com lança montada sobre chassi com capacidade de 45 m³/h - 136 kW</v>
          </cell>
          <cell r="C486">
            <v>260.38339999999999</v>
          </cell>
          <cell r="D486">
            <v>127.87990000000001</v>
          </cell>
          <cell r="E486">
            <v>253.1174</v>
          </cell>
          <cell r="F486">
            <v>120.6139</v>
          </cell>
        </row>
        <row r="487">
          <cell r="A487" t="str">
            <v>A9308</v>
          </cell>
          <cell r="B487" t="str">
            <v>Caminhão plataforma 4 x 2, PBT 17.100 kg e distância entre eixos 4,8 m - 136 kW - Motorista de veículo especial</v>
          </cell>
          <cell r="C487">
            <v>146.4186</v>
          </cell>
          <cell r="D487">
            <v>49.161799999999999</v>
          </cell>
          <cell r="E487">
            <v>143.166</v>
          </cell>
          <cell r="F487">
            <v>45.909199999999998</v>
          </cell>
        </row>
        <row r="488">
          <cell r="A488" t="str">
            <v>A9371</v>
          </cell>
          <cell r="B488" t="str">
            <v>Bomba para concreto com lança montada sobre chassi com capacidade de 45 m³/h</v>
          </cell>
          <cell r="C488">
            <v>113.9648</v>
          </cell>
          <cell r="D488">
            <v>78.718100000000007</v>
          </cell>
          <cell r="E488">
            <v>109.95140000000001</v>
          </cell>
          <cell r="F488">
            <v>74.704700000000003</v>
          </cell>
        </row>
        <row r="489">
          <cell r="A489" t="str">
            <v>E9792</v>
          </cell>
          <cell r="B489" t="str">
            <v>Caminhão para hidrossemeadura com capacidade de 7.000 l - 25 kW/136 kW</v>
          </cell>
          <cell r="C489">
            <v>190.83609999999999</v>
          </cell>
          <cell r="D489">
            <v>75.010599999999997</v>
          </cell>
          <cell r="E489">
            <v>186.04140000000001</v>
          </cell>
          <cell r="F489">
            <v>70.215900000000005</v>
          </cell>
        </row>
        <row r="490">
          <cell r="A490" t="str">
            <v>A9323</v>
          </cell>
          <cell r="B490" t="str">
            <v>Caminhão plataforma 4 x 2, PBT 14.300 kg e distância entre eixos 4,8 m - 136 kW - Motorista de caminhão</v>
          </cell>
          <cell r="C490">
            <v>138.9101</v>
          </cell>
          <cell r="D490">
            <v>42.950200000000002</v>
          </cell>
          <cell r="E490">
            <v>136.3038</v>
          </cell>
          <cell r="F490">
            <v>40.343899999999998</v>
          </cell>
        </row>
        <row r="491">
          <cell r="A491" t="str">
            <v>A9362</v>
          </cell>
          <cell r="B491" t="str">
            <v>Tanque para hidrossemeadura com capacidade de 7.000 l</v>
          </cell>
          <cell r="C491">
            <v>51.926000000000002</v>
          </cell>
          <cell r="D491">
            <v>32.060400000000001</v>
          </cell>
          <cell r="E491">
            <v>49.7376</v>
          </cell>
          <cell r="F491">
            <v>29.872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oleObject" Target="../embeddings/oleObject3.bin"/><Relationship Id="rId13" Type="http://schemas.openxmlformats.org/officeDocument/2006/relationships/image" Target="../media/image5.w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wmf"/><Relationship Id="rId12" Type="http://schemas.openxmlformats.org/officeDocument/2006/relationships/oleObject" Target="../embeddings/oleObject5.bin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oleObject" Target="../embeddings/oleObject2.bin"/><Relationship Id="rId11" Type="http://schemas.openxmlformats.org/officeDocument/2006/relationships/image" Target="../media/image4.wmf"/><Relationship Id="rId5" Type="http://schemas.openxmlformats.org/officeDocument/2006/relationships/image" Target="../media/image1.wmf"/><Relationship Id="rId10" Type="http://schemas.openxmlformats.org/officeDocument/2006/relationships/oleObject" Target="../embeddings/oleObject4.bin"/><Relationship Id="rId4" Type="http://schemas.openxmlformats.org/officeDocument/2006/relationships/oleObject" Target="../embeddings/oleObject1.bin"/><Relationship Id="rId9" Type="http://schemas.openxmlformats.org/officeDocument/2006/relationships/image" Target="../media/image3.wmf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H30"/>
  <sheetViews>
    <sheetView showGridLines="0" workbookViewId="0">
      <selection activeCell="L24" sqref="L24"/>
    </sheetView>
  </sheetViews>
  <sheetFormatPr defaultRowHeight="15" x14ac:dyDescent="0.25"/>
  <cols>
    <col min="2" max="2" width="17.42578125" bestFit="1" customWidth="1"/>
    <col min="3" max="3" width="12" style="1" bestFit="1" customWidth="1"/>
    <col min="4" max="4" width="22.5703125" bestFit="1" customWidth="1"/>
    <col min="5" max="6" width="10.7109375" customWidth="1"/>
  </cols>
  <sheetData>
    <row r="1" spans="2:8" ht="15.75" thickBot="1" x14ac:dyDescent="0.3"/>
    <row r="2" spans="2:8" ht="22.5" customHeight="1" thickBot="1" x14ac:dyDescent="0.3">
      <c r="B2" s="409" t="s">
        <v>27</v>
      </c>
      <c r="C2" s="410"/>
      <c r="D2" s="410"/>
      <c r="E2" s="410"/>
      <c r="F2" s="411"/>
    </row>
    <row r="3" spans="2:8" ht="15.75" thickBot="1" x14ac:dyDescent="0.3">
      <c r="B3" s="405" t="s">
        <v>17</v>
      </c>
      <c r="C3" s="403" t="s">
        <v>3</v>
      </c>
      <c r="D3" s="405" t="s">
        <v>1</v>
      </c>
      <c r="E3" s="407" t="s">
        <v>25</v>
      </c>
      <c r="F3" s="408"/>
    </row>
    <row r="4" spans="2:8" ht="15.75" thickBot="1" x14ac:dyDescent="0.3">
      <c r="B4" s="406"/>
      <c r="C4" s="404"/>
      <c r="D4" s="406"/>
      <c r="E4" s="27" t="s">
        <v>29</v>
      </c>
      <c r="F4" s="28" t="s">
        <v>28</v>
      </c>
    </row>
    <row r="5" spans="2:8" x14ac:dyDescent="0.25">
      <c r="B5" s="412" t="s">
        <v>18</v>
      </c>
      <c r="C5" s="24" t="s">
        <v>4</v>
      </c>
      <c r="D5" s="6" t="s">
        <v>2</v>
      </c>
      <c r="E5" s="16">
        <v>47.6</v>
      </c>
      <c r="F5" s="7"/>
    </row>
    <row r="6" spans="2:8" x14ac:dyDescent="0.25">
      <c r="B6" s="413"/>
      <c r="C6" s="25" t="s">
        <v>5</v>
      </c>
      <c r="D6" s="2" t="s">
        <v>7</v>
      </c>
      <c r="E6" s="17">
        <v>172.3</v>
      </c>
      <c r="F6" s="4"/>
      <c r="G6" s="8"/>
    </row>
    <row r="7" spans="2:8" ht="15.75" thickBot="1" x14ac:dyDescent="0.3">
      <c r="B7" s="414"/>
      <c r="C7" s="26" t="s">
        <v>6</v>
      </c>
      <c r="D7" s="3" t="s">
        <v>8</v>
      </c>
      <c r="E7" s="18">
        <v>374</v>
      </c>
      <c r="F7" s="5"/>
      <c r="G7" s="8"/>
    </row>
    <row r="8" spans="2:8" ht="15.75" thickBot="1" x14ac:dyDescent="0.3">
      <c r="B8" s="29"/>
      <c r="C8" s="30"/>
      <c r="D8" s="31" t="s">
        <v>0</v>
      </c>
      <c r="E8" s="32">
        <f>FLOOR(AVERAGE(E5:E7),0.01)</f>
        <v>197.96</v>
      </c>
      <c r="F8" s="33"/>
      <c r="H8" s="8"/>
    </row>
    <row r="9" spans="2:8" x14ac:dyDescent="0.25">
      <c r="B9" s="412" t="s">
        <v>19</v>
      </c>
      <c r="C9" s="24" t="s">
        <v>4</v>
      </c>
      <c r="D9" s="6" t="s">
        <v>9</v>
      </c>
      <c r="E9" s="16">
        <v>203</v>
      </c>
      <c r="F9" s="7"/>
    </row>
    <row r="10" spans="2:8" x14ac:dyDescent="0.25">
      <c r="B10" s="413"/>
      <c r="C10" s="25" t="s">
        <v>5</v>
      </c>
      <c r="D10" s="2" t="s">
        <v>11</v>
      </c>
      <c r="E10" s="17">
        <v>316</v>
      </c>
      <c r="F10" s="4"/>
    </row>
    <row r="11" spans="2:8" ht="15.75" thickBot="1" x14ac:dyDescent="0.3">
      <c r="B11" s="413"/>
      <c r="C11" s="25" t="s">
        <v>6</v>
      </c>
      <c r="D11" s="2" t="s">
        <v>10</v>
      </c>
      <c r="E11" s="17">
        <v>427</v>
      </c>
      <c r="F11" s="4"/>
    </row>
    <row r="12" spans="2:8" ht="15.75" thickBot="1" x14ac:dyDescent="0.3">
      <c r="B12" s="34"/>
      <c r="C12" s="35"/>
      <c r="D12" s="36" t="s">
        <v>0</v>
      </c>
      <c r="E12" s="37">
        <f>FLOOR(AVERAGE(E9:E11),0.01)</f>
        <v>315.33</v>
      </c>
      <c r="F12" s="38"/>
      <c r="G12" s="8"/>
    </row>
    <row r="13" spans="2:8" x14ac:dyDescent="0.25">
      <c r="B13" s="412" t="s">
        <v>20</v>
      </c>
      <c r="C13" s="24" t="s">
        <v>4</v>
      </c>
      <c r="D13" s="6" t="s">
        <v>26</v>
      </c>
      <c r="E13" s="19">
        <v>368</v>
      </c>
      <c r="F13" s="13"/>
    </row>
    <row r="14" spans="2:8" x14ac:dyDescent="0.25">
      <c r="B14" s="413"/>
      <c r="C14" s="25" t="s">
        <v>5</v>
      </c>
      <c r="D14" s="2" t="s">
        <v>16</v>
      </c>
      <c r="E14" s="20">
        <v>221.6</v>
      </c>
      <c r="F14" s="12"/>
    </row>
    <row r="15" spans="2:8" ht="15.75" thickBot="1" x14ac:dyDescent="0.3">
      <c r="B15" s="413"/>
      <c r="C15" s="25" t="s">
        <v>6</v>
      </c>
      <c r="D15" s="2" t="s">
        <v>12</v>
      </c>
      <c r="E15" s="21">
        <v>468.6</v>
      </c>
      <c r="F15" s="12"/>
    </row>
    <row r="16" spans="2:8" ht="15.75" thickBot="1" x14ac:dyDescent="0.3">
      <c r="B16" s="39"/>
      <c r="C16" s="40"/>
      <c r="D16" s="41" t="s">
        <v>0</v>
      </c>
      <c r="E16" s="42">
        <f>FLOOR(AVERAGE(E13:E15),0.01)</f>
        <v>352.73</v>
      </c>
      <c r="F16" s="43"/>
    </row>
    <row r="17" spans="2:7" x14ac:dyDescent="0.25">
      <c r="B17" s="412" t="s">
        <v>21</v>
      </c>
      <c r="C17" s="24" t="s">
        <v>4</v>
      </c>
      <c r="D17" s="6" t="s">
        <v>23</v>
      </c>
      <c r="E17" s="22">
        <v>552</v>
      </c>
      <c r="F17" s="14"/>
    </row>
    <row r="18" spans="2:7" x14ac:dyDescent="0.25">
      <c r="B18" s="413"/>
      <c r="C18" s="25" t="s">
        <v>5</v>
      </c>
      <c r="D18" s="2" t="s">
        <v>13</v>
      </c>
      <c r="E18" s="23">
        <v>420.5</v>
      </c>
      <c r="F18" s="10">
        <v>31.5</v>
      </c>
      <c r="G18" s="9"/>
    </row>
    <row r="19" spans="2:7" ht="15.75" thickBot="1" x14ac:dyDescent="0.3">
      <c r="B19" s="414"/>
      <c r="C19" s="25" t="s">
        <v>6</v>
      </c>
      <c r="D19" s="2" t="s">
        <v>14</v>
      </c>
      <c r="E19" s="23">
        <v>592</v>
      </c>
      <c r="F19" s="11"/>
      <c r="G19" s="9"/>
    </row>
    <row r="20" spans="2:7" ht="15.75" thickBot="1" x14ac:dyDescent="0.3">
      <c r="B20" s="44"/>
      <c r="C20" s="45"/>
      <c r="D20" s="46" t="s">
        <v>0</v>
      </c>
      <c r="E20" s="47">
        <f t="shared" ref="E20:F20" si="0">FLOOR(AVERAGE(E17:E19),0.01)</f>
        <v>521.5</v>
      </c>
      <c r="F20" s="48">
        <f t="shared" si="0"/>
        <v>31.5</v>
      </c>
    </row>
    <row r="21" spans="2:7" x14ac:dyDescent="0.25">
      <c r="B21" s="412" t="s">
        <v>22</v>
      </c>
      <c r="C21" s="24" t="s">
        <v>4</v>
      </c>
      <c r="D21" s="6" t="s">
        <v>24</v>
      </c>
      <c r="E21" s="22">
        <v>519</v>
      </c>
      <c r="F21" s="14"/>
    </row>
    <row r="22" spans="2:7" x14ac:dyDescent="0.25">
      <c r="B22" s="413"/>
      <c r="C22" s="25" t="s">
        <v>5</v>
      </c>
      <c r="D22" s="2" t="s">
        <v>8</v>
      </c>
      <c r="E22" s="23">
        <v>374</v>
      </c>
      <c r="F22" s="15"/>
    </row>
    <row r="23" spans="2:7" ht="15.75" thickBot="1" x14ac:dyDescent="0.3">
      <c r="B23" s="413"/>
      <c r="C23" s="26" t="s">
        <v>6</v>
      </c>
      <c r="D23" s="3" t="s">
        <v>15</v>
      </c>
      <c r="E23" s="18">
        <v>625</v>
      </c>
      <c r="F23" s="4"/>
    </row>
    <row r="24" spans="2:7" ht="15.75" thickBot="1" x14ac:dyDescent="0.3">
      <c r="B24" s="49"/>
      <c r="C24" s="50"/>
      <c r="D24" s="51" t="s">
        <v>0</v>
      </c>
      <c r="E24" s="52">
        <f>FLOOR(AVERAGE(E21:E23),0.01)</f>
        <v>506</v>
      </c>
      <c r="F24" s="53"/>
    </row>
    <row r="25" spans="2:7" ht="20.100000000000001" customHeight="1" x14ac:dyDescent="0.25"/>
    <row r="26" spans="2:7" ht="20.100000000000001" customHeight="1" x14ac:dyDescent="0.25">
      <c r="B26" t="s">
        <v>224</v>
      </c>
      <c r="E26" s="8">
        <f>E8</f>
        <v>197.96</v>
      </c>
      <c r="F26" s="8">
        <v>0</v>
      </c>
    </row>
    <row r="27" spans="2:7" x14ac:dyDescent="0.25">
      <c r="B27" t="s">
        <v>247</v>
      </c>
      <c r="E27" s="8">
        <f>E12</f>
        <v>315.33</v>
      </c>
      <c r="F27" s="8">
        <v>0</v>
      </c>
    </row>
    <row r="28" spans="2:7" x14ac:dyDescent="0.25">
      <c r="B28" t="s">
        <v>248</v>
      </c>
      <c r="E28" s="8">
        <f>E16</f>
        <v>352.73</v>
      </c>
      <c r="F28" s="8">
        <v>0</v>
      </c>
    </row>
    <row r="29" spans="2:7" x14ac:dyDescent="0.25">
      <c r="B29" t="s">
        <v>241</v>
      </c>
      <c r="E29" s="8">
        <f>E20</f>
        <v>521.5</v>
      </c>
      <c r="F29" s="8">
        <f>F20</f>
        <v>31.5</v>
      </c>
    </row>
    <row r="30" spans="2:7" x14ac:dyDescent="0.25">
      <c r="B30" t="s">
        <v>249</v>
      </c>
      <c r="E30" s="8">
        <f>E24</f>
        <v>506</v>
      </c>
      <c r="F30" s="8">
        <v>0</v>
      </c>
    </row>
  </sheetData>
  <mergeCells count="10">
    <mergeCell ref="B21:B23"/>
    <mergeCell ref="B5:B7"/>
    <mergeCell ref="B9:B11"/>
    <mergeCell ref="B13:B15"/>
    <mergeCell ref="B17:B19"/>
    <mergeCell ref="C3:C4"/>
    <mergeCell ref="D3:D4"/>
    <mergeCell ref="B3:B4"/>
    <mergeCell ref="E3:F3"/>
    <mergeCell ref="B2:F2"/>
  </mergeCells>
  <pageMargins left="0.511811024" right="0.511811024" top="0.78740157499999996" bottom="0.78740157499999996" header="0.31496062000000002" footer="0.31496062000000002"/>
  <pageSetup paperSize="9" scale="7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60"/>
  <sheetViews>
    <sheetView topLeftCell="A49" zoomScale="110" zoomScaleNormal="110" workbookViewId="0">
      <selection activeCell="C2" sqref="C2:C101"/>
    </sheetView>
  </sheetViews>
  <sheetFormatPr defaultRowHeight="12.75" x14ac:dyDescent="0.25"/>
  <cols>
    <col min="1" max="1" width="9" style="55" customWidth="1"/>
    <col min="2" max="2" width="67.140625" style="55" bestFit="1" customWidth="1"/>
    <col min="3" max="3" width="13.85546875" style="55" bestFit="1" customWidth="1"/>
    <col min="4" max="16384" width="9.140625" style="55"/>
  </cols>
  <sheetData>
    <row r="1" spans="1:5" x14ac:dyDescent="0.25">
      <c r="A1" s="54" t="s">
        <v>30</v>
      </c>
      <c r="B1" s="54" t="s">
        <v>31</v>
      </c>
      <c r="C1" s="54" t="s">
        <v>32</v>
      </c>
      <c r="D1" s="54" t="s">
        <v>33</v>
      </c>
      <c r="E1" s="54" t="s">
        <v>34</v>
      </c>
    </row>
    <row r="2" spans="1:5" ht="14.25" customHeight="1" x14ac:dyDescent="0.25">
      <c r="A2" s="56">
        <v>319300</v>
      </c>
      <c r="B2" s="57" t="s">
        <v>35</v>
      </c>
      <c r="C2" s="415" t="str">
        <f>CHP!G13</f>
        <v>Cavalo mecânico com semirreboque com capacidade de 20 t - 276 kW</v>
      </c>
      <c r="D2" s="58">
        <v>0.5</v>
      </c>
      <c r="E2" s="59">
        <f t="shared" ref="E2:E66" si="0">IF(A2=C2,1,2)</f>
        <v>2</v>
      </c>
    </row>
    <row r="3" spans="1:5" ht="12.75" customHeight="1" x14ac:dyDescent="0.25">
      <c r="A3" s="56">
        <v>329300</v>
      </c>
      <c r="B3" s="57" t="s">
        <v>37</v>
      </c>
      <c r="C3" s="416"/>
      <c r="D3" s="58">
        <v>0.5</v>
      </c>
      <c r="E3" s="59">
        <f t="shared" si="0"/>
        <v>2</v>
      </c>
    </row>
    <row r="4" spans="1:5" ht="12.75" customHeight="1" x14ac:dyDescent="0.25">
      <c r="A4" s="56">
        <v>339300</v>
      </c>
      <c r="B4" s="57" t="s">
        <v>38</v>
      </c>
      <c r="C4" s="416"/>
      <c r="D4" s="58">
        <v>0.5</v>
      </c>
      <c r="E4" s="59">
        <f t="shared" si="0"/>
        <v>2</v>
      </c>
    </row>
    <row r="5" spans="1:5" ht="12.75" customHeight="1" x14ac:dyDescent="0.25">
      <c r="A5" s="56">
        <v>319660</v>
      </c>
      <c r="B5" s="57" t="s">
        <v>39</v>
      </c>
      <c r="C5" s="416"/>
      <c r="D5" s="58">
        <v>0.5</v>
      </c>
      <c r="E5" s="59">
        <f t="shared" si="0"/>
        <v>2</v>
      </c>
    </row>
    <row r="6" spans="1:5" ht="12.75" customHeight="1" x14ac:dyDescent="0.25">
      <c r="A6" s="56">
        <v>329660</v>
      </c>
      <c r="B6" s="57" t="s">
        <v>40</v>
      </c>
      <c r="C6" s="416"/>
      <c r="D6" s="58">
        <v>0.5</v>
      </c>
      <c r="E6" s="59">
        <f t="shared" si="0"/>
        <v>2</v>
      </c>
    </row>
    <row r="7" spans="1:5" ht="12.75" customHeight="1" x14ac:dyDescent="0.25">
      <c r="A7" s="56">
        <v>339660</v>
      </c>
      <c r="B7" s="57" t="s">
        <v>41</v>
      </c>
      <c r="C7" s="416"/>
      <c r="D7" s="58">
        <v>0.5</v>
      </c>
      <c r="E7" s="59">
        <f t="shared" si="0"/>
        <v>2</v>
      </c>
    </row>
    <row r="8" spans="1:5" ht="12.75" customHeight="1" x14ac:dyDescent="0.25">
      <c r="A8" s="56">
        <v>320550</v>
      </c>
      <c r="B8" s="57" t="s">
        <v>42</v>
      </c>
      <c r="C8" s="416"/>
      <c r="D8" s="58">
        <v>0.5</v>
      </c>
      <c r="E8" s="59">
        <f t="shared" si="0"/>
        <v>2</v>
      </c>
    </row>
    <row r="9" spans="1:5" ht="12.75" customHeight="1" x14ac:dyDescent="0.25">
      <c r="A9" s="56">
        <v>306010</v>
      </c>
      <c r="B9" s="57" t="s">
        <v>43</v>
      </c>
      <c r="C9" s="416"/>
      <c r="D9" s="58">
        <v>0.5</v>
      </c>
      <c r="E9" s="59">
        <f t="shared" si="0"/>
        <v>2</v>
      </c>
    </row>
    <row r="10" spans="1:5" ht="12.75" customHeight="1" x14ac:dyDescent="0.25">
      <c r="A10" s="56">
        <v>310030</v>
      </c>
      <c r="B10" s="57" t="s">
        <v>44</v>
      </c>
      <c r="C10" s="416"/>
      <c r="D10" s="58">
        <v>1</v>
      </c>
      <c r="E10" s="59">
        <f t="shared" si="0"/>
        <v>2</v>
      </c>
    </row>
    <row r="11" spans="1:5" ht="12.75" customHeight="1" x14ac:dyDescent="0.25">
      <c r="A11" s="56">
        <v>300125</v>
      </c>
      <c r="B11" s="57" t="s">
        <v>391</v>
      </c>
      <c r="C11" s="416"/>
      <c r="D11" s="58">
        <v>1</v>
      </c>
      <c r="E11" s="59">
        <f t="shared" si="0"/>
        <v>2</v>
      </c>
    </row>
    <row r="12" spans="1:5" ht="12.75" customHeight="1" x14ac:dyDescent="0.25">
      <c r="A12" s="56">
        <v>300510</v>
      </c>
      <c r="B12" s="57" t="s">
        <v>45</v>
      </c>
      <c r="C12" s="416"/>
      <c r="D12" s="58">
        <v>1</v>
      </c>
      <c r="E12" s="59">
        <f t="shared" si="0"/>
        <v>2</v>
      </c>
    </row>
    <row r="13" spans="1:5" ht="12.75" customHeight="1" x14ac:dyDescent="0.25">
      <c r="A13" s="56">
        <v>313200</v>
      </c>
      <c r="B13" s="57" t="s">
        <v>46</v>
      </c>
      <c r="C13" s="416"/>
      <c r="D13" s="58">
        <v>1</v>
      </c>
      <c r="E13" s="59">
        <f t="shared" si="0"/>
        <v>2</v>
      </c>
    </row>
    <row r="14" spans="1:5" ht="12.75" customHeight="1" x14ac:dyDescent="0.25">
      <c r="A14" s="56">
        <v>323200</v>
      </c>
      <c r="B14" s="57" t="s">
        <v>47</v>
      </c>
      <c r="C14" s="416"/>
      <c r="D14" s="58">
        <v>1</v>
      </c>
      <c r="E14" s="59">
        <f t="shared" si="0"/>
        <v>2</v>
      </c>
    </row>
    <row r="15" spans="1:5" ht="12.75" customHeight="1" x14ac:dyDescent="0.25">
      <c r="A15" s="56">
        <v>333200</v>
      </c>
      <c r="B15" s="57" t="s">
        <v>48</v>
      </c>
      <c r="C15" s="416"/>
      <c r="D15" s="58">
        <v>1</v>
      </c>
      <c r="E15" s="59">
        <f t="shared" si="0"/>
        <v>2</v>
      </c>
    </row>
    <row r="16" spans="1:5" ht="12.75" customHeight="1" x14ac:dyDescent="0.25">
      <c r="A16" s="56">
        <v>313300</v>
      </c>
      <c r="B16" s="57" t="s">
        <v>49</v>
      </c>
      <c r="C16" s="416"/>
      <c r="D16" s="58">
        <v>1</v>
      </c>
      <c r="E16" s="59">
        <f t="shared" si="0"/>
        <v>2</v>
      </c>
    </row>
    <row r="17" spans="1:5" ht="12.75" customHeight="1" x14ac:dyDescent="0.25">
      <c r="A17" s="56">
        <v>323300</v>
      </c>
      <c r="B17" s="57" t="s">
        <v>50</v>
      </c>
      <c r="C17" s="416"/>
      <c r="D17" s="58">
        <v>1</v>
      </c>
      <c r="E17" s="59">
        <f t="shared" si="0"/>
        <v>2</v>
      </c>
    </row>
    <row r="18" spans="1:5" ht="12.75" customHeight="1" x14ac:dyDescent="0.25">
      <c r="A18" s="56">
        <v>333300</v>
      </c>
      <c r="B18" s="57" t="s">
        <v>51</v>
      </c>
      <c r="C18" s="416"/>
      <c r="D18" s="58">
        <v>1</v>
      </c>
      <c r="E18" s="59">
        <f t="shared" si="0"/>
        <v>2</v>
      </c>
    </row>
    <row r="19" spans="1:5" ht="12.75" customHeight="1" x14ac:dyDescent="0.25">
      <c r="A19" s="56">
        <v>310800</v>
      </c>
      <c r="B19" s="57" t="s">
        <v>52</v>
      </c>
      <c r="C19" s="416"/>
      <c r="D19" s="58">
        <v>1</v>
      </c>
      <c r="E19" s="59">
        <f t="shared" si="0"/>
        <v>2</v>
      </c>
    </row>
    <row r="20" spans="1:5" ht="12.75" customHeight="1" x14ac:dyDescent="0.25">
      <c r="A20" s="56">
        <v>320800</v>
      </c>
      <c r="B20" s="57" t="s">
        <v>53</v>
      </c>
      <c r="C20" s="416"/>
      <c r="D20" s="58">
        <v>1</v>
      </c>
      <c r="E20" s="59">
        <f t="shared" si="0"/>
        <v>2</v>
      </c>
    </row>
    <row r="21" spans="1:5" ht="12.75" customHeight="1" x14ac:dyDescent="0.25">
      <c r="A21" s="56">
        <v>330800</v>
      </c>
      <c r="B21" s="57" t="s">
        <v>54</v>
      </c>
      <c r="C21" s="416"/>
      <c r="D21" s="58">
        <v>1</v>
      </c>
      <c r="E21" s="59">
        <f t="shared" si="0"/>
        <v>2</v>
      </c>
    </row>
    <row r="22" spans="1:5" ht="12.75" customHeight="1" x14ac:dyDescent="0.25">
      <c r="A22" s="56">
        <v>311500</v>
      </c>
      <c r="B22" s="57" t="s">
        <v>55</v>
      </c>
      <c r="C22" s="416"/>
      <c r="D22" s="58">
        <v>1</v>
      </c>
      <c r="E22" s="59">
        <f t="shared" si="0"/>
        <v>2</v>
      </c>
    </row>
    <row r="23" spans="1:5" ht="12.75" customHeight="1" x14ac:dyDescent="0.25">
      <c r="A23" s="56">
        <v>321500</v>
      </c>
      <c r="B23" s="57" t="s">
        <v>56</v>
      </c>
      <c r="C23" s="416"/>
      <c r="D23" s="58">
        <v>1</v>
      </c>
      <c r="E23" s="59">
        <f t="shared" si="0"/>
        <v>2</v>
      </c>
    </row>
    <row r="24" spans="1:5" ht="12.75" customHeight="1" x14ac:dyDescent="0.25">
      <c r="A24" s="56">
        <v>331500</v>
      </c>
      <c r="B24" s="57" t="s">
        <v>57</v>
      </c>
      <c r="C24" s="416"/>
      <c r="D24" s="58">
        <v>1</v>
      </c>
      <c r="E24" s="59">
        <f t="shared" si="0"/>
        <v>2</v>
      </c>
    </row>
    <row r="25" spans="1:5" ht="12.75" customHeight="1" x14ac:dyDescent="0.25">
      <c r="A25" s="56">
        <v>390000</v>
      </c>
      <c r="B25" s="57" t="s">
        <v>58</v>
      </c>
      <c r="C25" s="416"/>
      <c r="D25" s="58">
        <v>1</v>
      </c>
      <c r="E25" s="59">
        <f t="shared" si="0"/>
        <v>2</v>
      </c>
    </row>
    <row r="26" spans="1:5" ht="12.75" customHeight="1" x14ac:dyDescent="0.25">
      <c r="A26" s="56">
        <v>390200</v>
      </c>
      <c r="B26" s="57" t="s">
        <v>59</v>
      </c>
      <c r="C26" s="416"/>
      <c r="D26" s="58">
        <v>1</v>
      </c>
      <c r="E26" s="59">
        <f t="shared" si="0"/>
        <v>2</v>
      </c>
    </row>
    <row r="27" spans="1:5" ht="12.75" customHeight="1" x14ac:dyDescent="0.25">
      <c r="A27" s="56">
        <v>390100</v>
      </c>
      <c r="B27" s="57" t="s">
        <v>60</v>
      </c>
      <c r="C27" s="416"/>
      <c r="D27" s="58">
        <v>1</v>
      </c>
      <c r="E27" s="59">
        <f t="shared" si="0"/>
        <v>2</v>
      </c>
    </row>
    <row r="28" spans="1:5" ht="12.75" customHeight="1" x14ac:dyDescent="0.25">
      <c r="A28" s="56">
        <v>351500</v>
      </c>
      <c r="B28" s="57" t="s">
        <v>61</v>
      </c>
      <c r="C28" s="416"/>
      <c r="D28" s="58">
        <v>0.5</v>
      </c>
      <c r="E28" s="59">
        <f t="shared" si="0"/>
        <v>2</v>
      </c>
    </row>
    <row r="29" spans="1:5" ht="12.75" customHeight="1" x14ac:dyDescent="0.25">
      <c r="A29" s="56">
        <v>351000</v>
      </c>
      <c r="B29" s="57" t="s">
        <v>62</v>
      </c>
      <c r="C29" s="416"/>
      <c r="D29" s="58">
        <v>1</v>
      </c>
      <c r="E29" s="59">
        <f t="shared" si="0"/>
        <v>2</v>
      </c>
    </row>
    <row r="30" spans="1:5" ht="12.75" customHeight="1" x14ac:dyDescent="0.25">
      <c r="A30" s="56">
        <v>352000</v>
      </c>
      <c r="B30" s="57" t="s">
        <v>63</v>
      </c>
      <c r="C30" s="416"/>
      <c r="D30" s="58">
        <v>1</v>
      </c>
      <c r="E30" s="59">
        <f t="shared" si="0"/>
        <v>2</v>
      </c>
    </row>
    <row r="31" spans="1:5" ht="12.75" customHeight="1" x14ac:dyDescent="0.25">
      <c r="A31" s="56">
        <v>327530</v>
      </c>
      <c r="B31" s="57" t="s">
        <v>64</v>
      </c>
      <c r="C31" s="416"/>
      <c r="D31" s="58">
        <v>0.33</v>
      </c>
      <c r="E31" s="59">
        <f t="shared" si="0"/>
        <v>2</v>
      </c>
    </row>
    <row r="32" spans="1:5" ht="12.75" customHeight="1" x14ac:dyDescent="0.25">
      <c r="A32" s="56">
        <v>352500</v>
      </c>
      <c r="B32" s="57" t="s">
        <v>65</v>
      </c>
      <c r="C32" s="416"/>
      <c r="D32" s="58">
        <v>0.5</v>
      </c>
      <c r="E32" s="59">
        <f t="shared" si="0"/>
        <v>2</v>
      </c>
    </row>
    <row r="33" spans="1:5" ht="12.75" customHeight="1" x14ac:dyDescent="0.25">
      <c r="A33" s="56">
        <v>312000</v>
      </c>
      <c r="B33" s="57" t="s">
        <v>66</v>
      </c>
      <c r="C33" s="416"/>
      <c r="D33" s="58">
        <v>0.5</v>
      </c>
      <c r="E33" s="59">
        <f t="shared" si="0"/>
        <v>2</v>
      </c>
    </row>
    <row r="34" spans="1:5" ht="12.75" customHeight="1" x14ac:dyDescent="0.25">
      <c r="A34" s="56">
        <v>311200</v>
      </c>
      <c r="B34" s="57" t="s">
        <v>67</v>
      </c>
      <c r="C34" s="416"/>
      <c r="D34" s="58">
        <v>1</v>
      </c>
      <c r="E34" s="59">
        <f t="shared" si="0"/>
        <v>2</v>
      </c>
    </row>
    <row r="35" spans="1:5" ht="12.75" customHeight="1" x14ac:dyDescent="0.25">
      <c r="A35" s="56">
        <v>321200</v>
      </c>
      <c r="B35" s="57" t="s">
        <v>68</v>
      </c>
      <c r="C35" s="416"/>
      <c r="D35" s="58">
        <v>1</v>
      </c>
      <c r="E35" s="59">
        <f t="shared" si="0"/>
        <v>2</v>
      </c>
    </row>
    <row r="36" spans="1:5" ht="12.75" customHeight="1" x14ac:dyDescent="0.25">
      <c r="A36" s="56">
        <v>331200</v>
      </c>
      <c r="B36" s="57" t="s">
        <v>69</v>
      </c>
      <c r="C36" s="416"/>
      <c r="D36" s="58">
        <v>1</v>
      </c>
      <c r="E36" s="59">
        <f t="shared" si="0"/>
        <v>2</v>
      </c>
    </row>
    <row r="37" spans="1:5" ht="12.75" customHeight="1" x14ac:dyDescent="0.25">
      <c r="A37" s="56">
        <v>310400</v>
      </c>
      <c r="B37" s="57" t="s">
        <v>70</v>
      </c>
      <c r="C37" s="416"/>
      <c r="D37" s="58">
        <v>1</v>
      </c>
      <c r="E37" s="59">
        <f t="shared" si="0"/>
        <v>2</v>
      </c>
    </row>
    <row r="38" spans="1:5" ht="12.75" customHeight="1" x14ac:dyDescent="0.25">
      <c r="A38" s="56">
        <v>320400</v>
      </c>
      <c r="B38" s="57" t="s">
        <v>71</v>
      </c>
      <c r="C38" s="416"/>
      <c r="D38" s="58">
        <v>1</v>
      </c>
      <c r="E38" s="59">
        <f t="shared" si="0"/>
        <v>2</v>
      </c>
    </row>
    <row r="39" spans="1:5" ht="12.75" customHeight="1" x14ac:dyDescent="0.25">
      <c r="A39" s="56">
        <v>330400</v>
      </c>
      <c r="B39" s="57" t="s">
        <v>72</v>
      </c>
      <c r="C39" s="416"/>
      <c r="D39" s="58">
        <v>1</v>
      </c>
      <c r="E39" s="59">
        <f t="shared" si="0"/>
        <v>2</v>
      </c>
    </row>
    <row r="40" spans="1:5" ht="12.75" customHeight="1" x14ac:dyDescent="0.25">
      <c r="A40" s="56">
        <v>311400</v>
      </c>
      <c r="B40" s="57" t="s">
        <v>73</v>
      </c>
      <c r="C40" s="416"/>
      <c r="D40" s="58">
        <v>1</v>
      </c>
      <c r="E40" s="59">
        <f t="shared" si="0"/>
        <v>2</v>
      </c>
    </row>
    <row r="41" spans="1:5" ht="12.75" customHeight="1" x14ac:dyDescent="0.25">
      <c r="A41" s="56">
        <v>321400</v>
      </c>
      <c r="B41" s="57" t="s">
        <v>74</v>
      </c>
      <c r="C41" s="416"/>
      <c r="D41" s="58">
        <v>1</v>
      </c>
      <c r="E41" s="59">
        <f t="shared" si="0"/>
        <v>2</v>
      </c>
    </row>
    <row r="42" spans="1:5" ht="12.75" customHeight="1" x14ac:dyDescent="0.25">
      <c r="A42" s="56">
        <v>331400</v>
      </c>
      <c r="B42" s="57" t="s">
        <v>75</v>
      </c>
      <c r="C42" s="416"/>
      <c r="D42" s="58">
        <v>1</v>
      </c>
      <c r="E42" s="59">
        <f t="shared" si="0"/>
        <v>2</v>
      </c>
    </row>
    <row r="43" spans="1:5" ht="12.75" customHeight="1" x14ac:dyDescent="0.25">
      <c r="A43" s="56">
        <v>323104</v>
      </c>
      <c r="B43" s="121" t="s">
        <v>392</v>
      </c>
      <c r="C43" s="416"/>
      <c r="D43" s="58">
        <v>1</v>
      </c>
      <c r="E43" s="59">
        <f t="shared" si="0"/>
        <v>2</v>
      </c>
    </row>
    <row r="44" spans="1:5" ht="12.75" customHeight="1" x14ac:dyDescent="0.25">
      <c r="A44" s="56">
        <v>325125</v>
      </c>
      <c r="B44" s="57" t="s">
        <v>76</v>
      </c>
      <c r="C44" s="416"/>
      <c r="D44" s="58">
        <v>1</v>
      </c>
      <c r="E44" s="59">
        <f t="shared" si="0"/>
        <v>2</v>
      </c>
    </row>
    <row r="45" spans="1:5" ht="12.75" customHeight="1" x14ac:dyDescent="0.25">
      <c r="A45" s="56">
        <v>325020</v>
      </c>
      <c r="B45" s="57" t="s">
        <v>77</v>
      </c>
      <c r="C45" s="416"/>
      <c r="D45" s="58">
        <v>1</v>
      </c>
      <c r="E45" s="59">
        <f t="shared" si="0"/>
        <v>2</v>
      </c>
    </row>
    <row r="46" spans="1:5" ht="12.75" customHeight="1" x14ac:dyDescent="0.25">
      <c r="A46" s="56">
        <v>325010</v>
      </c>
      <c r="B46" s="57" t="s">
        <v>78</v>
      </c>
      <c r="C46" s="416"/>
      <c r="D46" s="58">
        <v>1</v>
      </c>
      <c r="E46" s="59">
        <f t="shared" si="0"/>
        <v>2</v>
      </c>
    </row>
    <row r="47" spans="1:5" ht="12.75" customHeight="1" x14ac:dyDescent="0.25">
      <c r="A47" s="56">
        <v>325150</v>
      </c>
      <c r="B47" s="57" t="s">
        <v>79</v>
      </c>
      <c r="C47" s="416"/>
      <c r="D47" s="58">
        <v>1</v>
      </c>
      <c r="E47" s="59">
        <f t="shared" si="0"/>
        <v>2</v>
      </c>
    </row>
    <row r="48" spans="1:5" ht="12.75" customHeight="1" x14ac:dyDescent="0.25">
      <c r="A48" s="56">
        <v>325200</v>
      </c>
      <c r="B48" s="57" t="s">
        <v>80</v>
      </c>
      <c r="C48" s="416"/>
      <c r="D48" s="58">
        <v>1</v>
      </c>
      <c r="E48" s="59">
        <f t="shared" si="0"/>
        <v>2</v>
      </c>
    </row>
    <row r="49" spans="1:5" ht="12.75" customHeight="1" x14ac:dyDescent="0.25">
      <c r="A49" s="56">
        <v>325250</v>
      </c>
      <c r="B49" s="57" t="s">
        <v>81</v>
      </c>
      <c r="C49" s="416"/>
      <c r="D49" s="58">
        <v>1</v>
      </c>
      <c r="E49" s="59">
        <f t="shared" si="0"/>
        <v>2</v>
      </c>
    </row>
    <row r="50" spans="1:5" ht="12.75" customHeight="1" x14ac:dyDescent="0.25">
      <c r="A50" s="56">
        <v>312520</v>
      </c>
      <c r="B50" s="57" t="s">
        <v>83</v>
      </c>
      <c r="C50" s="416"/>
      <c r="D50" s="58">
        <v>0.5</v>
      </c>
      <c r="E50" s="59">
        <f t="shared" si="0"/>
        <v>2</v>
      </c>
    </row>
    <row r="51" spans="1:5" ht="12.75" customHeight="1" x14ac:dyDescent="0.25">
      <c r="A51" s="56">
        <v>322520</v>
      </c>
      <c r="B51" s="57" t="s">
        <v>84</v>
      </c>
      <c r="C51" s="416"/>
      <c r="D51" s="58">
        <v>0.5</v>
      </c>
      <c r="E51" s="59">
        <f t="shared" si="0"/>
        <v>2</v>
      </c>
    </row>
    <row r="52" spans="1:5" ht="12.75" customHeight="1" x14ac:dyDescent="0.25">
      <c r="A52" s="56">
        <v>332520</v>
      </c>
      <c r="B52" s="57" t="s">
        <v>85</v>
      </c>
      <c r="C52" s="416"/>
      <c r="D52" s="58">
        <v>0.5</v>
      </c>
      <c r="E52" s="59">
        <f t="shared" si="0"/>
        <v>2</v>
      </c>
    </row>
    <row r="53" spans="1:5" ht="12.75" customHeight="1" x14ac:dyDescent="0.25">
      <c r="A53" s="56">
        <v>340140</v>
      </c>
      <c r="B53" s="57" t="s">
        <v>86</v>
      </c>
      <c r="C53" s="416"/>
      <c r="D53" s="58">
        <v>1</v>
      </c>
      <c r="E53" s="59">
        <f t="shared" si="0"/>
        <v>2</v>
      </c>
    </row>
    <row r="54" spans="1:5" ht="12.75" customHeight="1" x14ac:dyDescent="0.25">
      <c r="A54" s="56">
        <v>340150</v>
      </c>
      <c r="B54" s="57" t="s">
        <v>87</v>
      </c>
      <c r="C54" s="416"/>
      <c r="D54" s="58">
        <v>0.5</v>
      </c>
      <c r="E54" s="59">
        <f t="shared" si="0"/>
        <v>2</v>
      </c>
    </row>
    <row r="55" spans="1:5" ht="12.75" customHeight="1" x14ac:dyDescent="0.25">
      <c r="A55" s="56">
        <v>345500</v>
      </c>
      <c r="B55" s="57" t="s">
        <v>88</v>
      </c>
      <c r="C55" s="416"/>
      <c r="D55" s="58">
        <v>1</v>
      </c>
      <c r="E55" s="59">
        <f t="shared" si="0"/>
        <v>2</v>
      </c>
    </row>
    <row r="56" spans="1:5" ht="12.75" customHeight="1" x14ac:dyDescent="0.25">
      <c r="A56" s="56">
        <v>340210</v>
      </c>
      <c r="B56" s="57" t="s">
        <v>89</v>
      </c>
      <c r="C56" s="416"/>
      <c r="D56" s="58">
        <v>1</v>
      </c>
      <c r="E56" s="59">
        <f t="shared" si="0"/>
        <v>2</v>
      </c>
    </row>
    <row r="57" spans="1:5" ht="12.75" customHeight="1" x14ac:dyDescent="0.25">
      <c r="A57" s="56">
        <v>340270</v>
      </c>
      <c r="B57" s="57" t="s">
        <v>90</v>
      </c>
      <c r="C57" s="416"/>
      <c r="D57" s="58">
        <v>1</v>
      </c>
      <c r="E57" s="59">
        <f t="shared" si="0"/>
        <v>2</v>
      </c>
    </row>
    <row r="58" spans="1:5" ht="12.75" customHeight="1" x14ac:dyDescent="0.25">
      <c r="A58" s="56">
        <v>340110</v>
      </c>
      <c r="B58" s="57" t="s">
        <v>91</v>
      </c>
      <c r="C58" s="416"/>
      <c r="D58" s="58">
        <v>0.5</v>
      </c>
      <c r="E58" s="59">
        <f>IF(A58=C58,1,2)</f>
        <v>2</v>
      </c>
    </row>
    <row r="59" spans="1:5" ht="12.75" customHeight="1" x14ac:dyDescent="0.25">
      <c r="A59" s="56">
        <v>340620</v>
      </c>
      <c r="B59" s="57" t="s">
        <v>92</v>
      </c>
      <c r="C59" s="416"/>
      <c r="D59" s="58">
        <v>0.5</v>
      </c>
      <c r="E59" s="59">
        <f t="shared" si="0"/>
        <v>2</v>
      </c>
    </row>
    <row r="60" spans="1:5" ht="12.75" customHeight="1" x14ac:dyDescent="0.25">
      <c r="A60" s="56">
        <v>342220</v>
      </c>
      <c r="B60" s="57" t="s">
        <v>93</v>
      </c>
      <c r="C60" s="416"/>
      <c r="D60" s="58">
        <v>0.5</v>
      </c>
      <c r="E60" s="59">
        <f t="shared" si="0"/>
        <v>2</v>
      </c>
    </row>
    <row r="61" spans="1:5" ht="12.75" customHeight="1" x14ac:dyDescent="0.25">
      <c r="A61" s="56">
        <v>340100</v>
      </c>
      <c r="B61" s="57" t="s">
        <v>94</v>
      </c>
      <c r="C61" s="416"/>
      <c r="D61" s="58">
        <v>0.5</v>
      </c>
      <c r="E61" s="59">
        <f t="shared" si="0"/>
        <v>2</v>
      </c>
    </row>
    <row r="62" spans="1:5" ht="12.75" customHeight="1" x14ac:dyDescent="0.25">
      <c r="A62" s="56">
        <v>341840</v>
      </c>
      <c r="B62" s="57" t="s">
        <v>95</v>
      </c>
      <c r="C62" s="416"/>
      <c r="D62" s="58">
        <v>0.5</v>
      </c>
      <c r="E62" s="59">
        <f t="shared" si="0"/>
        <v>2</v>
      </c>
    </row>
    <row r="63" spans="1:5" ht="12.75" customHeight="1" x14ac:dyDescent="0.25">
      <c r="A63" s="56">
        <v>340250</v>
      </c>
      <c r="B63" s="57" t="s">
        <v>96</v>
      </c>
      <c r="C63" s="416"/>
      <c r="D63" s="58">
        <v>0.5</v>
      </c>
      <c r="E63" s="59">
        <f t="shared" si="0"/>
        <v>2</v>
      </c>
    </row>
    <row r="64" spans="1:5" ht="12.75" customHeight="1" x14ac:dyDescent="0.25">
      <c r="A64" s="56">
        <v>341150</v>
      </c>
      <c r="B64" s="57" t="s">
        <v>97</v>
      </c>
      <c r="C64" s="416"/>
      <c r="D64" s="58">
        <v>0.5</v>
      </c>
      <c r="E64" s="59">
        <f t="shared" si="0"/>
        <v>2</v>
      </c>
    </row>
    <row r="65" spans="1:5" ht="12.75" customHeight="1" x14ac:dyDescent="0.25">
      <c r="A65" s="56">
        <v>341680</v>
      </c>
      <c r="B65" s="57" t="s">
        <v>98</v>
      </c>
      <c r="C65" s="416"/>
      <c r="D65" s="58">
        <v>0.5</v>
      </c>
      <c r="E65" s="59">
        <f t="shared" si="0"/>
        <v>2</v>
      </c>
    </row>
    <row r="66" spans="1:5" ht="12.75" customHeight="1" x14ac:dyDescent="0.25">
      <c r="A66" s="56">
        <v>340840</v>
      </c>
      <c r="B66" s="57" t="s">
        <v>99</v>
      </c>
      <c r="C66" s="416"/>
      <c r="D66" s="58">
        <v>0.5</v>
      </c>
      <c r="E66" s="59">
        <f t="shared" si="0"/>
        <v>2</v>
      </c>
    </row>
    <row r="67" spans="1:5" ht="12.75" customHeight="1" x14ac:dyDescent="0.25">
      <c r="A67" s="56">
        <v>300220</v>
      </c>
      <c r="B67" s="57" t="s">
        <v>100</v>
      </c>
      <c r="C67" s="416"/>
      <c r="D67" s="58">
        <v>1</v>
      </c>
      <c r="E67" s="59">
        <f t="shared" ref="E67:E101" si="1">IF(A67=C67,1,2)</f>
        <v>2</v>
      </c>
    </row>
    <row r="68" spans="1:5" ht="12.75" customHeight="1" x14ac:dyDescent="0.25">
      <c r="A68" s="56">
        <v>300100</v>
      </c>
      <c r="B68" s="57" t="s">
        <v>101</v>
      </c>
      <c r="C68" s="416"/>
      <c r="D68" s="58">
        <v>1</v>
      </c>
      <c r="E68" s="59">
        <f t="shared" si="1"/>
        <v>2</v>
      </c>
    </row>
    <row r="69" spans="1:5" ht="12.75" customHeight="1" x14ac:dyDescent="0.25">
      <c r="A69" s="56">
        <v>300200</v>
      </c>
      <c r="B69" s="57" t="s">
        <v>102</v>
      </c>
      <c r="C69" s="416"/>
      <c r="D69" s="58">
        <v>1</v>
      </c>
      <c r="E69" s="59">
        <f t="shared" si="1"/>
        <v>2</v>
      </c>
    </row>
    <row r="70" spans="1:5" ht="12.75" customHeight="1" x14ac:dyDescent="0.25">
      <c r="A70" s="56">
        <v>300210</v>
      </c>
      <c r="B70" s="57" t="s">
        <v>103</v>
      </c>
      <c r="C70" s="416"/>
      <c r="D70" s="58">
        <v>1</v>
      </c>
      <c r="E70" s="59">
        <f t="shared" si="1"/>
        <v>2</v>
      </c>
    </row>
    <row r="71" spans="1:5" ht="12.75" customHeight="1" x14ac:dyDescent="0.25">
      <c r="A71" s="56">
        <v>341000</v>
      </c>
      <c r="B71" s="57" t="s">
        <v>104</v>
      </c>
      <c r="C71" s="416"/>
      <c r="D71" s="58">
        <v>0.5</v>
      </c>
      <c r="E71" s="59">
        <f t="shared" si="1"/>
        <v>2</v>
      </c>
    </row>
    <row r="72" spans="1:5" ht="12.75" customHeight="1" x14ac:dyDescent="0.25">
      <c r="A72" s="56">
        <v>341100</v>
      </c>
      <c r="B72" s="57" t="s">
        <v>105</v>
      </c>
      <c r="C72" s="416"/>
      <c r="D72" s="58">
        <v>0.5</v>
      </c>
      <c r="E72" s="59">
        <f t="shared" si="1"/>
        <v>2</v>
      </c>
    </row>
    <row r="73" spans="1:5" ht="12.75" customHeight="1" x14ac:dyDescent="0.25">
      <c r="A73" s="56">
        <v>341500</v>
      </c>
      <c r="B73" s="57" t="s">
        <v>106</v>
      </c>
      <c r="C73" s="416"/>
      <c r="D73" s="58">
        <v>0.5</v>
      </c>
      <c r="E73" s="59">
        <f t="shared" si="1"/>
        <v>2</v>
      </c>
    </row>
    <row r="74" spans="1:5" ht="12.75" customHeight="1" x14ac:dyDescent="0.25">
      <c r="A74" s="56">
        <v>310650</v>
      </c>
      <c r="B74" s="57" t="s">
        <v>107</v>
      </c>
      <c r="C74" s="416"/>
      <c r="D74" s="58">
        <v>1</v>
      </c>
      <c r="E74" s="59">
        <f t="shared" si="1"/>
        <v>2</v>
      </c>
    </row>
    <row r="75" spans="1:5" ht="12.75" customHeight="1" x14ac:dyDescent="0.25">
      <c r="A75" s="56">
        <v>320650</v>
      </c>
      <c r="B75" s="57" t="s">
        <v>108</v>
      </c>
      <c r="C75" s="416"/>
      <c r="D75" s="58">
        <v>1</v>
      </c>
      <c r="E75" s="59">
        <f t="shared" si="1"/>
        <v>2</v>
      </c>
    </row>
    <row r="76" spans="1:5" ht="12.75" customHeight="1" x14ac:dyDescent="0.25">
      <c r="A76" s="56">
        <v>330650</v>
      </c>
      <c r="B76" s="57" t="s">
        <v>109</v>
      </c>
      <c r="C76" s="416"/>
      <c r="D76" s="58">
        <v>1</v>
      </c>
      <c r="E76" s="59">
        <f t="shared" si="1"/>
        <v>2</v>
      </c>
    </row>
    <row r="77" spans="1:5" ht="12.75" customHeight="1" x14ac:dyDescent="0.25">
      <c r="A77" s="56">
        <v>310080</v>
      </c>
      <c r="B77" s="57" t="s">
        <v>110</v>
      </c>
      <c r="C77" s="416"/>
      <c r="D77" s="58">
        <v>1</v>
      </c>
      <c r="E77" s="59">
        <f t="shared" si="1"/>
        <v>2</v>
      </c>
    </row>
    <row r="78" spans="1:5" ht="12.75" customHeight="1" x14ac:dyDescent="0.25">
      <c r="A78" s="56">
        <v>320080</v>
      </c>
      <c r="B78" s="57" t="s">
        <v>111</v>
      </c>
      <c r="C78" s="416"/>
      <c r="D78" s="58">
        <v>1</v>
      </c>
      <c r="E78" s="59">
        <f t="shared" si="1"/>
        <v>2</v>
      </c>
    </row>
    <row r="79" spans="1:5" ht="12.75" customHeight="1" x14ac:dyDescent="0.25">
      <c r="A79" s="56">
        <v>330080</v>
      </c>
      <c r="B79" s="57" t="s">
        <v>112</v>
      </c>
      <c r="C79" s="416"/>
      <c r="D79" s="58">
        <v>1</v>
      </c>
      <c r="E79" s="59">
        <f t="shared" si="1"/>
        <v>2</v>
      </c>
    </row>
    <row r="80" spans="1:5" ht="12.75" customHeight="1" x14ac:dyDescent="0.25">
      <c r="A80" s="56">
        <v>320700</v>
      </c>
      <c r="B80" s="57" t="s">
        <v>113</v>
      </c>
      <c r="C80" s="416"/>
      <c r="D80" s="58">
        <v>0.5</v>
      </c>
      <c r="E80" s="59">
        <f t="shared" si="1"/>
        <v>2</v>
      </c>
    </row>
    <row r="81" spans="1:5" ht="12.75" customHeight="1" x14ac:dyDescent="0.25">
      <c r="A81" s="56">
        <v>320140</v>
      </c>
      <c r="B81" s="57" t="s">
        <v>114</v>
      </c>
      <c r="C81" s="416"/>
      <c r="D81" s="58">
        <v>1</v>
      </c>
      <c r="E81" s="59">
        <f t="shared" si="1"/>
        <v>2</v>
      </c>
    </row>
    <row r="82" spans="1:5" ht="12.75" customHeight="1" x14ac:dyDescent="0.25">
      <c r="A82" s="56">
        <v>311650</v>
      </c>
      <c r="B82" s="57" t="s">
        <v>115</v>
      </c>
      <c r="C82" s="416"/>
      <c r="D82" s="58">
        <v>0.5</v>
      </c>
      <c r="E82" s="59">
        <f t="shared" si="1"/>
        <v>2</v>
      </c>
    </row>
    <row r="83" spans="1:5" ht="12.75" customHeight="1" x14ac:dyDescent="0.25">
      <c r="A83" s="56">
        <v>321650</v>
      </c>
      <c r="B83" s="57" t="s">
        <v>116</v>
      </c>
      <c r="C83" s="416"/>
      <c r="D83" s="58">
        <v>0.5</v>
      </c>
      <c r="E83" s="59">
        <f t="shared" si="1"/>
        <v>2</v>
      </c>
    </row>
    <row r="84" spans="1:5" ht="12.75" customHeight="1" x14ac:dyDescent="0.25">
      <c r="A84" s="56">
        <v>331650</v>
      </c>
      <c r="B84" s="57" t="s">
        <v>117</v>
      </c>
      <c r="C84" s="416"/>
      <c r="D84" s="58">
        <v>0.5</v>
      </c>
      <c r="E84" s="59">
        <f t="shared" si="1"/>
        <v>2</v>
      </c>
    </row>
    <row r="85" spans="1:5" ht="12.75" customHeight="1" x14ac:dyDescent="0.25">
      <c r="A85" s="56">
        <v>310040</v>
      </c>
      <c r="B85" s="57" t="s">
        <v>118</v>
      </c>
      <c r="C85" s="416"/>
      <c r="D85" s="58">
        <v>0.5</v>
      </c>
      <c r="E85" s="59">
        <f t="shared" si="1"/>
        <v>2</v>
      </c>
    </row>
    <row r="86" spans="1:5" ht="12.75" customHeight="1" x14ac:dyDescent="0.25">
      <c r="A86" s="56">
        <v>320040</v>
      </c>
      <c r="B86" s="57" t="s">
        <v>119</v>
      </c>
      <c r="C86" s="416"/>
      <c r="D86" s="58">
        <v>0.5</v>
      </c>
      <c r="E86" s="59">
        <f t="shared" si="1"/>
        <v>2</v>
      </c>
    </row>
    <row r="87" spans="1:5" ht="12.75" customHeight="1" x14ac:dyDescent="0.25">
      <c r="A87" s="56">
        <v>330040</v>
      </c>
      <c r="B87" s="57" t="s">
        <v>120</v>
      </c>
      <c r="C87" s="416"/>
      <c r="D87" s="58">
        <v>0.5</v>
      </c>
      <c r="E87" s="59">
        <f t="shared" si="1"/>
        <v>2</v>
      </c>
    </row>
    <row r="88" spans="1:5" ht="12.75" customHeight="1" x14ac:dyDescent="0.25">
      <c r="A88" s="56">
        <v>310060</v>
      </c>
      <c r="B88" s="57" t="s">
        <v>121</v>
      </c>
      <c r="C88" s="416"/>
      <c r="D88" s="58">
        <v>0.5</v>
      </c>
      <c r="E88" s="59">
        <f t="shared" si="1"/>
        <v>2</v>
      </c>
    </row>
    <row r="89" spans="1:5" ht="12.75" customHeight="1" x14ac:dyDescent="0.25">
      <c r="A89" s="56">
        <v>320060</v>
      </c>
      <c r="B89" s="57" t="s">
        <v>122</v>
      </c>
      <c r="C89" s="416"/>
      <c r="D89" s="58">
        <v>0.5</v>
      </c>
      <c r="E89" s="59">
        <f t="shared" si="1"/>
        <v>2</v>
      </c>
    </row>
    <row r="90" spans="1:5" ht="12.75" customHeight="1" x14ac:dyDescent="0.25">
      <c r="A90" s="56">
        <v>330060</v>
      </c>
      <c r="B90" s="57" t="s">
        <v>123</v>
      </c>
      <c r="C90" s="416"/>
      <c r="D90" s="58">
        <v>0.5</v>
      </c>
      <c r="E90" s="59">
        <f t="shared" si="1"/>
        <v>2</v>
      </c>
    </row>
    <row r="91" spans="1:5" ht="12.75" customHeight="1" x14ac:dyDescent="0.25">
      <c r="A91" s="56">
        <v>310180</v>
      </c>
      <c r="B91" s="57" t="s">
        <v>124</v>
      </c>
      <c r="C91" s="416"/>
      <c r="D91" s="58">
        <v>1</v>
      </c>
      <c r="E91" s="59">
        <f t="shared" si="1"/>
        <v>2</v>
      </c>
    </row>
    <row r="92" spans="1:5" ht="12.75" customHeight="1" x14ac:dyDescent="0.25">
      <c r="A92" s="56">
        <v>320180</v>
      </c>
      <c r="B92" s="57" t="s">
        <v>125</v>
      </c>
      <c r="C92" s="416"/>
      <c r="D92" s="58">
        <v>1</v>
      </c>
      <c r="E92" s="59">
        <f t="shared" si="1"/>
        <v>2</v>
      </c>
    </row>
    <row r="93" spans="1:5" ht="12.75" customHeight="1" x14ac:dyDescent="0.25">
      <c r="A93" s="56">
        <v>330180</v>
      </c>
      <c r="B93" s="57" t="s">
        <v>126</v>
      </c>
      <c r="C93" s="416"/>
      <c r="D93" s="58">
        <v>1</v>
      </c>
      <c r="E93" s="59">
        <f t="shared" si="1"/>
        <v>2</v>
      </c>
    </row>
    <row r="94" spans="1:5" ht="12.75" customHeight="1" x14ac:dyDescent="0.25">
      <c r="A94" s="56">
        <v>309100</v>
      </c>
      <c r="B94" s="57" t="s">
        <v>127</v>
      </c>
      <c r="C94" s="416"/>
      <c r="D94" s="58">
        <v>4</v>
      </c>
      <c r="E94" s="59">
        <f t="shared" si="1"/>
        <v>2</v>
      </c>
    </row>
    <row r="95" spans="1:5" ht="12.75" customHeight="1" x14ac:dyDescent="0.25">
      <c r="A95" s="56">
        <v>309000</v>
      </c>
      <c r="B95" s="57" t="s">
        <v>128</v>
      </c>
      <c r="C95" s="416"/>
      <c r="D95" s="58">
        <v>1</v>
      </c>
      <c r="E95" s="59">
        <f t="shared" si="1"/>
        <v>2</v>
      </c>
    </row>
    <row r="96" spans="1:5" ht="12.75" customHeight="1" x14ac:dyDescent="0.25">
      <c r="A96" s="56">
        <v>303500</v>
      </c>
      <c r="B96" s="57" t="s">
        <v>129</v>
      </c>
      <c r="C96" s="416"/>
      <c r="D96" s="58">
        <v>2</v>
      </c>
      <c r="E96" s="59">
        <f t="shared" si="1"/>
        <v>2</v>
      </c>
    </row>
    <row r="97" spans="1:5" ht="12.75" customHeight="1" x14ac:dyDescent="0.25">
      <c r="A97" s="56">
        <v>303600</v>
      </c>
      <c r="B97" s="57" t="s">
        <v>130</v>
      </c>
      <c r="C97" s="416"/>
      <c r="D97" s="58">
        <v>2</v>
      </c>
      <c r="E97" s="59">
        <f t="shared" si="1"/>
        <v>2</v>
      </c>
    </row>
    <row r="98" spans="1:5" ht="12.75" customHeight="1" x14ac:dyDescent="0.25">
      <c r="A98" s="56">
        <v>340410</v>
      </c>
      <c r="B98" s="57" t="s">
        <v>131</v>
      </c>
      <c r="C98" s="416"/>
      <c r="D98" s="58">
        <v>0.5</v>
      </c>
      <c r="E98" s="59">
        <f t="shared" si="1"/>
        <v>2</v>
      </c>
    </row>
    <row r="99" spans="1:5" x14ac:dyDescent="0.25">
      <c r="A99" s="56">
        <v>370600</v>
      </c>
      <c r="B99" s="57" t="s">
        <v>132</v>
      </c>
      <c r="C99" s="416"/>
      <c r="D99" s="58">
        <v>0.33</v>
      </c>
      <c r="E99" s="59">
        <f t="shared" si="1"/>
        <v>2</v>
      </c>
    </row>
    <row r="100" spans="1:5" x14ac:dyDescent="0.25">
      <c r="A100" s="56">
        <v>344500</v>
      </c>
      <c r="B100" s="57" t="s">
        <v>133</v>
      </c>
      <c r="C100" s="416"/>
      <c r="D100" s="58">
        <v>0.33</v>
      </c>
      <c r="E100" s="59">
        <f t="shared" si="1"/>
        <v>2</v>
      </c>
    </row>
    <row r="101" spans="1:5" x14ac:dyDescent="0.25">
      <c r="A101" s="56">
        <v>300060</v>
      </c>
      <c r="B101" s="57" t="s">
        <v>134</v>
      </c>
      <c r="C101" s="417"/>
      <c r="D101" s="58">
        <v>1</v>
      </c>
      <c r="E101" s="59">
        <f t="shared" si="1"/>
        <v>2</v>
      </c>
    </row>
    <row r="102" spans="1:5" ht="76.5" x14ac:dyDescent="0.25">
      <c r="A102" s="56">
        <v>304000</v>
      </c>
      <c r="B102" s="57" t="s">
        <v>135</v>
      </c>
      <c r="C102" s="60" t="str">
        <f>CHP!G16</f>
        <v>Cavalo mecânico com semirreboque com capacidade de 32 t - 302 kW</v>
      </c>
      <c r="D102" s="61">
        <v>1</v>
      </c>
      <c r="E102" s="59">
        <f>IF(A102=C102,1,2)</f>
        <v>2</v>
      </c>
    </row>
    <row r="103" spans="1:5" ht="27" customHeight="1" x14ac:dyDescent="0.25">
      <c r="A103" s="56">
        <v>399798</v>
      </c>
      <c r="B103" s="57" t="s">
        <v>456</v>
      </c>
      <c r="C103" s="418" t="str">
        <f>CHP!G19</f>
        <v>Cavalo mecânico com dolly intermediário e semirreboque de 4 eixos com capacidade de 52 t - 364 kW</v>
      </c>
      <c r="D103" s="421">
        <v>1</v>
      </c>
      <c r="E103" s="424">
        <v>2</v>
      </c>
    </row>
    <row r="104" spans="1:5" ht="23.25" customHeight="1" x14ac:dyDescent="0.25">
      <c r="A104" s="56">
        <v>399516</v>
      </c>
      <c r="B104" s="57" t="s">
        <v>457</v>
      </c>
      <c r="C104" s="419"/>
      <c r="D104" s="422"/>
      <c r="E104" s="425"/>
    </row>
    <row r="105" spans="1:5" ht="23.25" customHeight="1" x14ac:dyDescent="0.25">
      <c r="A105" s="56">
        <v>399517</v>
      </c>
      <c r="B105" s="57" t="s">
        <v>457</v>
      </c>
      <c r="C105" s="419"/>
      <c r="D105" s="422"/>
      <c r="E105" s="425"/>
    </row>
    <row r="106" spans="1:5" ht="54" customHeight="1" x14ac:dyDescent="0.25">
      <c r="A106" s="56">
        <v>396920</v>
      </c>
      <c r="B106" s="57" t="s">
        <v>458</v>
      </c>
      <c r="C106" s="420"/>
      <c r="D106" s="423"/>
      <c r="E106" s="426"/>
    </row>
    <row r="107" spans="1:5" x14ac:dyDescent="0.25">
      <c r="A107" s="56">
        <v>304100</v>
      </c>
      <c r="B107" s="57" t="s">
        <v>137</v>
      </c>
      <c r="C107" s="62">
        <v>304100</v>
      </c>
      <c r="D107" s="61">
        <v>1</v>
      </c>
      <c r="E107" s="59">
        <f>IF(A107=C107,1,2)</f>
        <v>1</v>
      </c>
    </row>
    <row r="108" spans="1:5" x14ac:dyDescent="0.25">
      <c r="A108" s="56">
        <v>399502</v>
      </c>
      <c r="B108" s="57" t="s">
        <v>466</v>
      </c>
      <c r="C108" s="62">
        <v>346020</v>
      </c>
      <c r="D108" s="61">
        <v>1</v>
      </c>
      <c r="E108" s="59">
        <v>1</v>
      </c>
    </row>
    <row r="109" spans="1:5" x14ac:dyDescent="0.25">
      <c r="A109" s="56">
        <v>370020</v>
      </c>
      <c r="B109" s="57" t="s">
        <v>138</v>
      </c>
      <c r="C109" s="62">
        <v>370020</v>
      </c>
      <c r="D109" s="61">
        <v>1</v>
      </c>
      <c r="E109" s="59">
        <f t="shared" ref="E109:E160" si="2">IF(A109=C109,1,2)</f>
        <v>1</v>
      </c>
    </row>
    <row r="110" spans="1:5" x14ac:dyDescent="0.25">
      <c r="A110" s="56">
        <v>370030</v>
      </c>
      <c r="B110" s="57" t="s">
        <v>139</v>
      </c>
      <c r="C110" s="62">
        <v>370030</v>
      </c>
      <c r="D110" s="61">
        <v>1</v>
      </c>
      <c r="E110" s="59">
        <f t="shared" si="2"/>
        <v>1</v>
      </c>
    </row>
    <row r="111" spans="1:5" x14ac:dyDescent="0.25">
      <c r="A111" s="56">
        <v>370000</v>
      </c>
      <c r="B111" s="57" t="s">
        <v>140</v>
      </c>
      <c r="C111" s="62">
        <v>370000</v>
      </c>
      <c r="D111" s="61">
        <v>1</v>
      </c>
      <c r="E111" s="59">
        <f t="shared" si="2"/>
        <v>1</v>
      </c>
    </row>
    <row r="112" spans="1:5" x14ac:dyDescent="0.25">
      <c r="A112" s="56">
        <v>370110</v>
      </c>
      <c r="B112" s="57" t="s">
        <v>141</v>
      </c>
      <c r="C112" s="62">
        <v>370110</v>
      </c>
      <c r="D112" s="61">
        <v>1</v>
      </c>
      <c r="E112" s="59">
        <f t="shared" si="2"/>
        <v>1</v>
      </c>
    </row>
    <row r="113" spans="1:5" x14ac:dyDescent="0.25">
      <c r="A113" s="56">
        <v>370160</v>
      </c>
      <c r="B113" s="57" t="s">
        <v>142</v>
      </c>
      <c r="C113" s="62">
        <v>370160</v>
      </c>
      <c r="D113" s="61">
        <v>1</v>
      </c>
      <c r="E113" s="59">
        <f t="shared" si="2"/>
        <v>1</v>
      </c>
    </row>
    <row r="114" spans="1:5" x14ac:dyDescent="0.25">
      <c r="A114" s="56">
        <v>316060</v>
      </c>
      <c r="B114" s="57" t="s">
        <v>143</v>
      </c>
      <c r="C114" s="62">
        <v>316060</v>
      </c>
      <c r="D114" s="61">
        <v>1</v>
      </c>
      <c r="E114" s="59">
        <f t="shared" si="2"/>
        <v>1</v>
      </c>
    </row>
    <row r="115" spans="1:5" x14ac:dyDescent="0.25">
      <c r="A115" s="56">
        <v>313140</v>
      </c>
      <c r="B115" s="57" t="s">
        <v>144</v>
      </c>
      <c r="C115" s="62">
        <v>313140</v>
      </c>
      <c r="D115" s="61">
        <v>1</v>
      </c>
      <c r="E115" s="59">
        <f t="shared" si="2"/>
        <v>1</v>
      </c>
    </row>
    <row r="116" spans="1:5" x14ac:dyDescent="0.25">
      <c r="A116" s="56">
        <v>323140</v>
      </c>
      <c r="B116" s="57" t="s">
        <v>145</v>
      </c>
      <c r="C116" s="62">
        <v>323140</v>
      </c>
      <c r="D116" s="61">
        <v>1</v>
      </c>
      <c r="E116" s="59">
        <f t="shared" si="2"/>
        <v>1</v>
      </c>
    </row>
    <row r="117" spans="1:5" x14ac:dyDescent="0.25">
      <c r="A117" s="56">
        <v>333140</v>
      </c>
      <c r="B117" s="57" t="s">
        <v>146</v>
      </c>
      <c r="C117" s="62">
        <v>333140</v>
      </c>
      <c r="D117" s="61">
        <v>1</v>
      </c>
      <c r="E117" s="59">
        <f t="shared" si="2"/>
        <v>1</v>
      </c>
    </row>
    <row r="118" spans="1:5" x14ac:dyDescent="0.25">
      <c r="A118" s="56">
        <v>300110</v>
      </c>
      <c r="B118" s="57" t="s">
        <v>147</v>
      </c>
      <c r="C118" s="62">
        <v>300110</v>
      </c>
      <c r="D118" s="61">
        <v>1</v>
      </c>
      <c r="E118" s="59">
        <f t="shared" si="2"/>
        <v>1</v>
      </c>
    </row>
    <row r="119" spans="1:5" x14ac:dyDescent="0.25">
      <c r="A119" s="56">
        <v>370060</v>
      </c>
      <c r="B119" s="57" t="s">
        <v>148</v>
      </c>
      <c r="C119" s="62">
        <v>370060</v>
      </c>
      <c r="D119" s="61">
        <v>1</v>
      </c>
      <c r="E119" s="59">
        <f t="shared" si="2"/>
        <v>1</v>
      </c>
    </row>
    <row r="120" spans="1:5" x14ac:dyDescent="0.25">
      <c r="A120" s="56">
        <v>370070</v>
      </c>
      <c r="B120" s="57" t="s">
        <v>149</v>
      </c>
      <c r="C120" s="62">
        <v>370070</v>
      </c>
      <c r="D120" s="61">
        <v>1</v>
      </c>
      <c r="E120" s="59">
        <f t="shared" si="2"/>
        <v>1</v>
      </c>
    </row>
    <row r="121" spans="1:5" x14ac:dyDescent="0.25">
      <c r="A121" s="56">
        <v>370080</v>
      </c>
      <c r="B121" s="57" t="s">
        <v>150</v>
      </c>
      <c r="C121" s="62">
        <v>370080</v>
      </c>
      <c r="D121" s="61">
        <v>1</v>
      </c>
      <c r="E121" s="59">
        <f t="shared" si="2"/>
        <v>1</v>
      </c>
    </row>
    <row r="122" spans="1:5" x14ac:dyDescent="0.25">
      <c r="A122" s="56">
        <v>306000</v>
      </c>
      <c r="B122" s="57" t="s">
        <v>151</v>
      </c>
      <c r="C122" s="62">
        <v>306000</v>
      </c>
      <c r="D122" s="61">
        <v>1</v>
      </c>
      <c r="E122" s="59">
        <f t="shared" si="2"/>
        <v>1</v>
      </c>
    </row>
    <row r="123" spans="1:5" x14ac:dyDescent="0.25">
      <c r="A123" s="56">
        <v>321800</v>
      </c>
      <c r="B123" s="57" t="s">
        <v>152</v>
      </c>
      <c r="C123" s="62">
        <v>321800</v>
      </c>
      <c r="D123" s="61">
        <v>1</v>
      </c>
      <c r="E123" s="59">
        <f t="shared" si="2"/>
        <v>1</v>
      </c>
    </row>
    <row r="124" spans="1:5" x14ac:dyDescent="0.25">
      <c r="A124" s="56">
        <v>321810</v>
      </c>
      <c r="B124" s="57" t="s">
        <v>153</v>
      </c>
      <c r="C124" s="62">
        <v>321810</v>
      </c>
      <c r="D124" s="61">
        <v>1</v>
      </c>
      <c r="E124" s="59">
        <f t="shared" si="2"/>
        <v>1</v>
      </c>
    </row>
    <row r="125" spans="1:5" x14ac:dyDescent="0.25">
      <c r="A125" s="56">
        <v>321820</v>
      </c>
      <c r="B125" s="57" t="s">
        <v>154</v>
      </c>
      <c r="C125" s="62">
        <v>321820</v>
      </c>
      <c r="D125" s="61">
        <v>1</v>
      </c>
      <c r="E125" s="59">
        <f t="shared" si="2"/>
        <v>1</v>
      </c>
    </row>
    <row r="126" spans="1:5" x14ac:dyDescent="0.25">
      <c r="A126" s="56">
        <v>300130</v>
      </c>
      <c r="B126" s="57" t="s">
        <v>155</v>
      </c>
      <c r="C126" s="62">
        <v>300130</v>
      </c>
      <c r="D126" s="61">
        <v>1</v>
      </c>
      <c r="E126" s="59">
        <f t="shared" si="2"/>
        <v>1</v>
      </c>
    </row>
    <row r="127" spans="1:5" x14ac:dyDescent="0.25">
      <c r="A127" s="56">
        <v>340320</v>
      </c>
      <c r="B127" s="57" t="s">
        <v>156</v>
      </c>
      <c r="C127" s="62">
        <v>340320</v>
      </c>
      <c r="D127" s="61">
        <v>1</v>
      </c>
      <c r="E127" s="59">
        <f t="shared" si="2"/>
        <v>1</v>
      </c>
    </row>
    <row r="128" spans="1:5" x14ac:dyDescent="0.25">
      <c r="A128" s="56">
        <v>346000</v>
      </c>
      <c r="B128" s="57" t="s">
        <v>157</v>
      </c>
      <c r="C128" s="62">
        <v>346000</v>
      </c>
      <c r="D128" s="61">
        <v>1</v>
      </c>
      <c r="E128" s="59">
        <f t="shared" si="2"/>
        <v>1</v>
      </c>
    </row>
    <row r="129" spans="1:5" x14ac:dyDescent="0.25">
      <c r="A129" s="56">
        <v>326280</v>
      </c>
      <c r="B129" s="57" t="s">
        <v>158</v>
      </c>
      <c r="C129" s="62">
        <v>326280</v>
      </c>
      <c r="D129" s="61">
        <v>1</v>
      </c>
      <c r="E129" s="59">
        <f t="shared" si="2"/>
        <v>1</v>
      </c>
    </row>
    <row r="130" spans="1:5" x14ac:dyDescent="0.25">
      <c r="A130" s="56">
        <v>336090</v>
      </c>
      <c r="B130" s="57" t="s">
        <v>159</v>
      </c>
      <c r="C130" s="62">
        <v>336090</v>
      </c>
      <c r="D130" s="61">
        <v>1</v>
      </c>
      <c r="E130" s="59">
        <f t="shared" si="2"/>
        <v>1</v>
      </c>
    </row>
    <row r="131" spans="1:5" x14ac:dyDescent="0.25">
      <c r="A131" s="56">
        <v>346070</v>
      </c>
      <c r="B131" s="57" t="s">
        <v>160</v>
      </c>
      <c r="C131" s="62">
        <v>346070</v>
      </c>
      <c r="D131" s="61">
        <v>1</v>
      </c>
      <c r="E131" s="59">
        <f t="shared" si="2"/>
        <v>1</v>
      </c>
    </row>
    <row r="132" spans="1:5" x14ac:dyDescent="0.25">
      <c r="A132" s="56">
        <v>340030</v>
      </c>
      <c r="B132" s="57" t="s">
        <v>451</v>
      </c>
      <c r="C132" s="62">
        <v>340030</v>
      </c>
      <c r="D132" s="61">
        <v>1</v>
      </c>
      <c r="E132" s="59">
        <v>1</v>
      </c>
    </row>
    <row r="133" spans="1:5" x14ac:dyDescent="0.25">
      <c r="A133" s="56">
        <v>370700</v>
      </c>
      <c r="B133" s="57" t="s">
        <v>161</v>
      </c>
      <c r="C133" s="62">
        <v>370700</v>
      </c>
      <c r="D133" s="61">
        <v>1</v>
      </c>
      <c r="E133" s="59">
        <f t="shared" si="2"/>
        <v>1</v>
      </c>
    </row>
    <row r="134" spans="1:5" x14ac:dyDescent="0.25">
      <c r="A134" s="56">
        <v>370440</v>
      </c>
      <c r="B134" s="57" t="s">
        <v>162</v>
      </c>
      <c r="C134" s="62">
        <v>370440</v>
      </c>
      <c r="D134" s="61">
        <v>1</v>
      </c>
      <c r="E134" s="59">
        <f t="shared" si="2"/>
        <v>1</v>
      </c>
    </row>
    <row r="135" spans="1:5" x14ac:dyDescent="0.25">
      <c r="A135" s="56">
        <v>322140</v>
      </c>
      <c r="B135" s="57" t="s">
        <v>163</v>
      </c>
      <c r="C135" s="62">
        <v>322140</v>
      </c>
      <c r="D135" s="61">
        <v>1</v>
      </c>
      <c r="E135" s="59">
        <f t="shared" si="2"/>
        <v>1</v>
      </c>
    </row>
    <row r="136" spans="1:5" x14ac:dyDescent="0.25">
      <c r="A136" s="56">
        <v>313180</v>
      </c>
      <c r="B136" s="57" t="s">
        <v>164</v>
      </c>
      <c r="C136" s="62">
        <v>313180</v>
      </c>
      <c r="D136" s="61">
        <v>1</v>
      </c>
      <c r="E136" s="59">
        <f t="shared" si="2"/>
        <v>1</v>
      </c>
    </row>
    <row r="137" spans="1:5" x14ac:dyDescent="0.25">
      <c r="A137" s="56">
        <v>323180</v>
      </c>
      <c r="B137" s="57" t="s">
        <v>165</v>
      </c>
      <c r="C137" s="62">
        <v>323180</v>
      </c>
      <c r="D137" s="61">
        <v>1</v>
      </c>
      <c r="E137" s="59">
        <f t="shared" si="2"/>
        <v>1</v>
      </c>
    </row>
    <row r="138" spans="1:5" x14ac:dyDescent="0.25">
      <c r="A138" s="56">
        <v>333180</v>
      </c>
      <c r="B138" s="57" t="s">
        <v>166</v>
      </c>
      <c r="C138" s="62">
        <v>333180</v>
      </c>
      <c r="D138" s="61">
        <v>1</v>
      </c>
      <c r="E138" s="59">
        <f t="shared" si="2"/>
        <v>1</v>
      </c>
    </row>
    <row r="139" spans="1:5" x14ac:dyDescent="0.25">
      <c r="A139" s="56">
        <v>323514</v>
      </c>
      <c r="B139" s="57" t="s">
        <v>448</v>
      </c>
      <c r="C139" s="62">
        <v>323514</v>
      </c>
      <c r="D139" s="61">
        <v>1</v>
      </c>
      <c r="E139" s="59">
        <f t="shared" si="2"/>
        <v>1</v>
      </c>
    </row>
    <row r="140" spans="1:5" x14ac:dyDescent="0.25">
      <c r="A140" s="56">
        <v>370150</v>
      </c>
      <c r="B140" s="57" t="s">
        <v>167</v>
      </c>
      <c r="C140" s="62">
        <v>370150</v>
      </c>
      <c r="D140" s="61">
        <v>1</v>
      </c>
      <c r="E140" s="59">
        <f t="shared" si="2"/>
        <v>1</v>
      </c>
    </row>
    <row r="141" spans="1:5" x14ac:dyDescent="0.25">
      <c r="A141" s="56">
        <v>300140</v>
      </c>
      <c r="B141" s="57" t="s">
        <v>168</v>
      </c>
      <c r="C141" s="62">
        <v>300140</v>
      </c>
      <c r="D141" s="61">
        <v>1</v>
      </c>
      <c r="E141" s="59">
        <f t="shared" si="2"/>
        <v>1</v>
      </c>
    </row>
    <row r="142" spans="1:5" x14ac:dyDescent="0.25">
      <c r="A142" s="56">
        <v>300170</v>
      </c>
      <c r="B142" s="57" t="s">
        <v>169</v>
      </c>
      <c r="C142" s="62">
        <v>300170</v>
      </c>
      <c r="D142" s="61">
        <v>1</v>
      </c>
      <c r="E142" s="59">
        <f t="shared" si="2"/>
        <v>1</v>
      </c>
    </row>
    <row r="143" spans="1:5" x14ac:dyDescent="0.25">
      <c r="A143" s="56">
        <v>346020</v>
      </c>
      <c r="B143" s="57" t="s">
        <v>170</v>
      </c>
      <c r="C143" s="62">
        <v>346020</v>
      </c>
      <c r="D143" s="61">
        <v>1</v>
      </c>
      <c r="E143" s="59">
        <f t="shared" si="2"/>
        <v>1</v>
      </c>
    </row>
    <row r="144" spans="1:5" x14ac:dyDescent="0.25">
      <c r="A144" s="56">
        <v>346080</v>
      </c>
      <c r="B144" s="57" t="s">
        <v>171</v>
      </c>
      <c r="C144" s="62">
        <v>346080</v>
      </c>
      <c r="D144" s="61">
        <v>1</v>
      </c>
      <c r="E144" s="59">
        <f t="shared" si="2"/>
        <v>1</v>
      </c>
    </row>
    <row r="145" spans="1:5" x14ac:dyDescent="0.25">
      <c r="A145" s="56">
        <v>370400</v>
      </c>
      <c r="B145" s="57" t="s">
        <v>172</v>
      </c>
      <c r="C145" s="62">
        <v>370400</v>
      </c>
      <c r="D145" s="61">
        <v>1</v>
      </c>
      <c r="E145" s="59">
        <f t="shared" si="2"/>
        <v>1</v>
      </c>
    </row>
    <row r="146" spans="1:5" x14ac:dyDescent="0.25">
      <c r="A146" s="56">
        <v>300010</v>
      </c>
      <c r="B146" s="57" t="s">
        <v>173</v>
      </c>
      <c r="C146" s="62">
        <v>300010</v>
      </c>
      <c r="D146" s="61">
        <v>1</v>
      </c>
      <c r="E146" s="59">
        <f t="shared" si="2"/>
        <v>1</v>
      </c>
    </row>
    <row r="147" spans="1:5" x14ac:dyDescent="0.25">
      <c r="A147" s="56">
        <v>346220</v>
      </c>
      <c r="B147" s="57" t="s">
        <v>174</v>
      </c>
      <c r="C147" s="62">
        <v>346220</v>
      </c>
      <c r="D147" s="61">
        <v>1</v>
      </c>
      <c r="E147" s="59">
        <f t="shared" si="2"/>
        <v>1</v>
      </c>
    </row>
    <row r="148" spans="1:5" x14ac:dyDescent="0.25">
      <c r="A148" s="56">
        <v>316000</v>
      </c>
      <c r="B148" s="57" t="s">
        <v>175</v>
      </c>
      <c r="C148" s="62">
        <v>316000</v>
      </c>
      <c r="D148" s="61">
        <v>1</v>
      </c>
      <c r="E148" s="59">
        <f t="shared" si="2"/>
        <v>1</v>
      </c>
    </row>
    <row r="149" spans="1:5" x14ac:dyDescent="0.25">
      <c r="A149" s="56">
        <v>370040</v>
      </c>
      <c r="B149" s="57" t="s">
        <v>176</v>
      </c>
      <c r="C149" s="63">
        <v>370040</v>
      </c>
      <c r="D149" s="61">
        <v>1</v>
      </c>
      <c r="E149" s="59">
        <f t="shared" si="2"/>
        <v>1</v>
      </c>
    </row>
    <row r="150" spans="1:5" x14ac:dyDescent="0.25">
      <c r="A150" s="56">
        <v>346050</v>
      </c>
      <c r="B150" s="57" t="s">
        <v>177</v>
      </c>
      <c r="C150" s="62">
        <v>346050</v>
      </c>
      <c r="D150" s="61">
        <v>1</v>
      </c>
      <c r="E150" s="59">
        <f t="shared" si="2"/>
        <v>1</v>
      </c>
    </row>
    <row r="151" spans="1:5" x14ac:dyDescent="0.25">
      <c r="A151" s="56">
        <v>342300</v>
      </c>
      <c r="B151" s="57" t="s">
        <v>178</v>
      </c>
      <c r="C151" s="62">
        <v>342300</v>
      </c>
      <c r="D151" s="61">
        <v>1</v>
      </c>
      <c r="E151" s="59">
        <f t="shared" si="2"/>
        <v>1</v>
      </c>
    </row>
    <row r="152" spans="1:5" x14ac:dyDescent="0.25">
      <c r="A152" s="56">
        <v>346010</v>
      </c>
      <c r="B152" s="57" t="s">
        <v>179</v>
      </c>
      <c r="C152" s="62">
        <v>346010</v>
      </c>
      <c r="D152" s="61">
        <v>1</v>
      </c>
      <c r="E152" s="59">
        <f t="shared" si="2"/>
        <v>1</v>
      </c>
    </row>
    <row r="153" spans="1:5" x14ac:dyDescent="0.25">
      <c r="A153" s="56">
        <v>341800</v>
      </c>
      <c r="B153" s="57" t="s">
        <v>180</v>
      </c>
      <c r="C153" s="62">
        <v>341800</v>
      </c>
      <c r="D153" s="61">
        <v>1</v>
      </c>
      <c r="E153" s="59">
        <f t="shared" si="2"/>
        <v>1</v>
      </c>
    </row>
    <row r="154" spans="1:5" x14ac:dyDescent="0.25">
      <c r="A154" s="56">
        <v>343800</v>
      </c>
      <c r="B154" s="57" t="s">
        <v>181</v>
      </c>
      <c r="C154" s="62">
        <v>343800</v>
      </c>
      <c r="D154" s="61">
        <v>1</v>
      </c>
      <c r="E154" s="59">
        <f t="shared" si="2"/>
        <v>1</v>
      </c>
    </row>
    <row r="155" spans="1:5" x14ac:dyDescent="0.25">
      <c r="A155" s="56">
        <v>346090</v>
      </c>
      <c r="B155" s="57" t="s">
        <v>182</v>
      </c>
      <c r="C155" s="62">
        <v>346090</v>
      </c>
      <c r="D155" s="61">
        <v>1</v>
      </c>
      <c r="E155" s="59">
        <f t="shared" si="2"/>
        <v>1</v>
      </c>
    </row>
    <row r="156" spans="1:5" x14ac:dyDescent="0.25">
      <c r="A156" s="56">
        <v>346030</v>
      </c>
      <c r="B156" s="57" t="s">
        <v>183</v>
      </c>
      <c r="C156" s="62">
        <v>346030</v>
      </c>
      <c r="D156" s="61">
        <v>1</v>
      </c>
      <c r="E156" s="59">
        <f t="shared" si="2"/>
        <v>1</v>
      </c>
    </row>
    <row r="157" spans="1:5" x14ac:dyDescent="0.25">
      <c r="A157" s="56">
        <v>346060</v>
      </c>
      <c r="B157" s="57" t="s">
        <v>184</v>
      </c>
      <c r="C157" s="62">
        <v>346060</v>
      </c>
      <c r="D157" s="61">
        <v>1</v>
      </c>
      <c r="E157" s="59">
        <f t="shared" si="2"/>
        <v>1</v>
      </c>
    </row>
    <row r="158" spans="1:5" x14ac:dyDescent="0.25">
      <c r="A158" s="56">
        <v>370100</v>
      </c>
      <c r="B158" s="57" t="s">
        <v>185</v>
      </c>
      <c r="C158" s="62">
        <v>370100</v>
      </c>
      <c r="D158" s="61">
        <v>1</v>
      </c>
      <c r="E158" s="59">
        <f t="shared" si="2"/>
        <v>1</v>
      </c>
    </row>
    <row r="159" spans="1:5" x14ac:dyDescent="0.25">
      <c r="A159" s="56">
        <v>370140</v>
      </c>
      <c r="B159" s="57" t="s">
        <v>186</v>
      </c>
      <c r="C159" s="62">
        <v>370140</v>
      </c>
      <c r="D159" s="61">
        <v>1</v>
      </c>
      <c r="E159" s="59">
        <f t="shared" si="2"/>
        <v>1</v>
      </c>
    </row>
    <row r="160" spans="1:5" x14ac:dyDescent="0.25">
      <c r="A160" s="56">
        <v>300030</v>
      </c>
      <c r="B160" s="57" t="s">
        <v>187</v>
      </c>
      <c r="C160" s="62">
        <v>300030</v>
      </c>
      <c r="D160" s="61">
        <v>1</v>
      </c>
      <c r="E160" s="59">
        <f t="shared" si="2"/>
        <v>1</v>
      </c>
    </row>
  </sheetData>
  <mergeCells count="4">
    <mergeCell ref="C2:C101"/>
    <mergeCell ref="C103:C106"/>
    <mergeCell ref="D103:D106"/>
    <mergeCell ref="E103:E10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165"/>
  <sheetViews>
    <sheetView topLeftCell="A145" zoomScaleNormal="100" workbookViewId="0">
      <selection activeCell="B159" sqref="B159"/>
    </sheetView>
  </sheetViews>
  <sheetFormatPr defaultColWidth="9.140625" defaultRowHeight="14.25" x14ac:dyDescent="0.2"/>
  <cols>
    <col min="1" max="1" width="14.28515625" style="67" bestFit="1" customWidth="1"/>
    <col min="2" max="2" width="18.7109375" style="67" customWidth="1"/>
    <col min="3" max="3" width="12.85546875" style="68" customWidth="1"/>
    <col min="4" max="16384" width="9.140625" style="64"/>
  </cols>
  <sheetData>
    <row r="1" spans="1:3" ht="15" x14ac:dyDescent="0.2">
      <c r="A1" s="427" t="s">
        <v>188</v>
      </c>
      <c r="B1" s="427" t="s">
        <v>189</v>
      </c>
      <c r="C1" s="427"/>
    </row>
    <row r="2" spans="1:3" ht="15" x14ac:dyDescent="0.2">
      <c r="A2" s="427"/>
      <c r="B2" s="70" t="s">
        <v>30</v>
      </c>
      <c r="C2" s="71" t="s">
        <v>33</v>
      </c>
    </row>
    <row r="3" spans="1:3" x14ac:dyDescent="0.2">
      <c r="A3" s="65">
        <v>304100</v>
      </c>
      <c r="B3" s="65">
        <v>304100</v>
      </c>
      <c r="C3" s="66">
        <v>1</v>
      </c>
    </row>
    <row r="4" spans="1:3" x14ac:dyDescent="0.2">
      <c r="A4" s="65">
        <v>370020</v>
      </c>
      <c r="B4" s="65">
        <v>370020</v>
      </c>
      <c r="C4" s="66">
        <v>1</v>
      </c>
    </row>
    <row r="5" spans="1:3" x14ac:dyDescent="0.2">
      <c r="A5" s="65">
        <v>370030</v>
      </c>
      <c r="B5" s="65">
        <v>370030</v>
      </c>
      <c r="C5" s="66">
        <v>1</v>
      </c>
    </row>
    <row r="6" spans="1:3" x14ac:dyDescent="0.2">
      <c r="A6" s="65">
        <v>370000</v>
      </c>
      <c r="B6" s="65">
        <v>370000</v>
      </c>
      <c r="C6" s="66">
        <v>1</v>
      </c>
    </row>
    <row r="7" spans="1:3" x14ac:dyDescent="0.2">
      <c r="A7" s="65">
        <v>370110</v>
      </c>
      <c r="B7" s="65">
        <v>370110</v>
      </c>
      <c r="C7" s="66">
        <v>1</v>
      </c>
    </row>
    <row r="8" spans="1:3" x14ac:dyDescent="0.2">
      <c r="A8" s="65">
        <v>370160</v>
      </c>
      <c r="B8" s="65">
        <v>370160</v>
      </c>
      <c r="C8" s="66">
        <v>1</v>
      </c>
    </row>
    <row r="9" spans="1:3" x14ac:dyDescent="0.2">
      <c r="A9" s="65">
        <v>316060</v>
      </c>
      <c r="B9" s="65">
        <v>316060</v>
      </c>
      <c r="C9" s="66">
        <v>1</v>
      </c>
    </row>
    <row r="10" spans="1:3" x14ac:dyDescent="0.2">
      <c r="A10" s="65">
        <v>326060</v>
      </c>
      <c r="B10" s="65">
        <f>A10</f>
        <v>326060</v>
      </c>
      <c r="C10" s="66">
        <v>1</v>
      </c>
    </row>
    <row r="11" spans="1:3" x14ac:dyDescent="0.2">
      <c r="A11" s="65">
        <v>336060</v>
      </c>
      <c r="B11" s="65">
        <f>A11</f>
        <v>336060</v>
      </c>
      <c r="C11" s="66">
        <v>1</v>
      </c>
    </row>
    <row r="12" spans="1:3" x14ac:dyDescent="0.2">
      <c r="A12" s="65">
        <v>313140</v>
      </c>
      <c r="B12" s="65">
        <v>313140</v>
      </c>
      <c r="C12" s="66">
        <v>1</v>
      </c>
    </row>
    <row r="13" spans="1:3" x14ac:dyDescent="0.2">
      <c r="A13" s="65">
        <v>323140</v>
      </c>
      <c r="B13" s="65">
        <v>323140</v>
      </c>
      <c r="C13" s="66">
        <v>1</v>
      </c>
    </row>
    <row r="14" spans="1:3" x14ac:dyDescent="0.2">
      <c r="A14" s="65">
        <v>333140</v>
      </c>
      <c r="B14" s="65">
        <v>333140</v>
      </c>
      <c r="C14" s="66">
        <v>1</v>
      </c>
    </row>
    <row r="15" spans="1:3" x14ac:dyDescent="0.2">
      <c r="A15" s="65">
        <v>300110</v>
      </c>
      <c r="B15" s="65">
        <v>300110</v>
      </c>
      <c r="C15" s="66">
        <v>1</v>
      </c>
    </row>
    <row r="16" spans="1:3" x14ac:dyDescent="0.2">
      <c r="A16" s="65">
        <v>370060</v>
      </c>
      <c r="B16" s="65">
        <v>370060</v>
      </c>
      <c r="C16" s="66">
        <v>1</v>
      </c>
    </row>
    <row r="17" spans="1:3" x14ac:dyDescent="0.2">
      <c r="A17" s="65">
        <v>370070</v>
      </c>
      <c r="B17" s="65">
        <v>370070</v>
      </c>
      <c r="C17" s="66">
        <v>1</v>
      </c>
    </row>
    <row r="18" spans="1:3" x14ac:dyDescent="0.2">
      <c r="A18" s="65">
        <v>370080</v>
      </c>
      <c r="B18" s="65">
        <v>370080</v>
      </c>
      <c r="C18" s="66">
        <v>1</v>
      </c>
    </row>
    <row r="19" spans="1:3" x14ac:dyDescent="0.2">
      <c r="A19" s="65">
        <v>306000</v>
      </c>
      <c r="B19" s="65">
        <v>306000</v>
      </c>
      <c r="C19" s="66">
        <v>1</v>
      </c>
    </row>
    <row r="20" spans="1:3" x14ac:dyDescent="0.2">
      <c r="A20" s="65">
        <v>321800</v>
      </c>
      <c r="B20" s="65">
        <v>321800</v>
      </c>
      <c r="C20" s="66">
        <v>1</v>
      </c>
    </row>
    <row r="21" spans="1:3" x14ac:dyDescent="0.2">
      <c r="A21" s="65">
        <v>321810</v>
      </c>
      <c r="B21" s="65">
        <v>321810</v>
      </c>
      <c r="C21" s="66">
        <v>1</v>
      </c>
    </row>
    <row r="22" spans="1:3" x14ac:dyDescent="0.2">
      <c r="A22" s="65">
        <v>321820</v>
      </c>
      <c r="B22" s="65">
        <v>321820</v>
      </c>
      <c r="C22" s="66">
        <v>1</v>
      </c>
    </row>
    <row r="23" spans="1:3" x14ac:dyDescent="0.2">
      <c r="A23" s="65">
        <v>300130</v>
      </c>
      <c r="B23" s="65">
        <v>300130</v>
      </c>
      <c r="C23" s="66">
        <v>1</v>
      </c>
    </row>
    <row r="24" spans="1:3" x14ac:dyDescent="0.2">
      <c r="A24" s="65">
        <v>340320</v>
      </c>
      <c r="B24" s="65">
        <v>340320</v>
      </c>
      <c r="C24" s="66">
        <v>1</v>
      </c>
    </row>
    <row r="25" spans="1:3" x14ac:dyDescent="0.2">
      <c r="A25" s="65">
        <v>346000</v>
      </c>
      <c r="B25" s="65">
        <v>346000</v>
      </c>
      <c r="C25" s="66">
        <v>1</v>
      </c>
    </row>
    <row r="26" spans="1:3" x14ac:dyDescent="0.2">
      <c r="A26" s="65">
        <v>326280</v>
      </c>
      <c r="B26" s="65">
        <v>326280</v>
      </c>
      <c r="C26" s="66">
        <v>1</v>
      </c>
    </row>
    <row r="27" spans="1:3" x14ac:dyDescent="0.2">
      <c r="A27" s="65">
        <v>336090</v>
      </c>
      <c r="B27" s="65">
        <v>336090</v>
      </c>
      <c r="C27" s="66">
        <v>1</v>
      </c>
    </row>
    <row r="28" spans="1:3" x14ac:dyDescent="0.2">
      <c r="A28" s="65">
        <v>346070</v>
      </c>
      <c r="B28" s="65">
        <v>346070</v>
      </c>
      <c r="C28" s="66">
        <v>1</v>
      </c>
    </row>
    <row r="29" spans="1:3" x14ac:dyDescent="0.2">
      <c r="A29" s="65">
        <v>340030</v>
      </c>
      <c r="B29" s="65">
        <v>340030</v>
      </c>
      <c r="C29" s="66">
        <v>1</v>
      </c>
    </row>
    <row r="30" spans="1:3" x14ac:dyDescent="0.2">
      <c r="A30" s="65">
        <v>370700</v>
      </c>
      <c r="B30" s="65">
        <v>370700</v>
      </c>
      <c r="C30" s="66">
        <v>1</v>
      </c>
    </row>
    <row r="31" spans="1:3" x14ac:dyDescent="0.2">
      <c r="A31" s="65">
        <v>370440</v>
      </c>
      <c r="B31" s="65">
        <v>370440</v>
      </c>
      <c r="C31" s="66">
        <v>1</v>
      </c>
    </row>
    <row r="32" spans="1:3" x14ac:dyDescent="0.2">
      <c r="A32" s="65">
        <v>322140</v>
      </c>
      <c r="B32" s="65">
        <v>322140</v>
      </c>
      <c r="C32" s="66">
        <v>1</v>
      </c>
    </row>
    <row r="33" spans="1:3" x14ac:dyDescent="0.2">
      <c r="A33" s="65">
        <v>313180</v>
      </c>
      <c r="B33" s="65">
        <v>313180</v>
      </c>
      <c r="C33" s="66">
        <v>1</v>
      </c>
    </row>
    <row r="34" spans="1:3" x14ac:dyDescent="0.2">
      <c r="A34" s="65">
        <v>323180</v>
      </c>
      <c r="B34" s="65">
        <v>323180</v>
      </c>
      <c r="C34" s="66">
        <v>1</v>
      </c>
    </row>
    <row r="35" spans="1:3" ht="15" customHeight="1" x14ac:dyDescent="0.2">
      <c r="A35" s="65">
        <v>333180</v>
      </c>
      <c r="B35" s="65">
        <v>333180</v>
      </c>
      <c r="C35" s="66">
        <v>1</v>
      </c>
    </row>
    <row r="36" spans="1:3" ht="15" customHeight="1" x14ac:dyDescent="0.2">
      <c r="A36" s="65">
        <v>323514</v>
      </c>
      <c r="B36" s="65">
        <v>323514</v>
      </c>
      <c r="C36" s="66">
        <v>1</v>
      </c>
    </row>
    <row r="37" spans="1:3" x14ac:dyDescent="0.2">
      <c r="A37" s="65">
        <v>370150</v>
      </c>
      <c r="B37" s="65">
        <v>370150</v>
      </c>
      <c r="C37" s="66">
        <v>1</v>
      </c>
    </row>
    <row r="38" spans="1:3" x14ac:dyDescent="0.2">
      <c r="A38" s="65">
        <v>300140</v>
      </c>
      <c r="B38" s="65">
        <v>300140</v>
      </c>
      <c r="C38" s="66">
        <v>1</v>
      </c>
    </row>
    <row r="39" spans="1:3" x14ac:dyDescent="0.2">
      <c r="A39" s="65">
        <v>300170</v>
      </c>
      <c r="B39" s="65">
        <v>300170</v>
      </c>
      <c r="C39" s="66">
        <v>1</v>
      </c>
    </row>
    <row r="40" spans="1:3" x14ac:dyDescent="0.2">
      <c r="A40" s="65">
        <v>346020</v>
      </c>
      <c r="B40" s="65">
        <v>346020</v>
      </c>
      <c r="C40" s="66">
        <v>1</v>
      </c>
    </row>
    <row r="41" spans="1:3" x14ac:dyDescent="0.2">
      <c r="A41" s="65">
        <v>346080</v>
      </c>
      <c r="B41" s="65">
        <v>346080</v>
      </c>
      <c r="C41" s="66">
        <v>1</v>
      </c>
    </row>
    <row r="42" spans="1:3" x14ac:dyDescent="0.2">
      <c r="A42" s="65">
        <v>370400</v>
      </c>
      <c r="B42" s="65">
        <v>370400</v>
      </c>
      <c r="C42" s="66">
        <v>1</v>
      </c>
    </row>
    <row r="43" spans="1:3" x14ac:dyDescent="0.2">
      <c r="A43" s="65">
        <v>300010</v>
      </c>
      <c r="B43" s="65">
        <v>300010</v>
      </c>
      <c r="C43" s="66">
        <v>1</v>
      </c>
    </row>
    <row r="44" spans="1:3" x14ac:dyDescent="0.2">
      <c r="A44" s="65">
        <v>346220</v>
      </c>
      <c r="B44" s="65">
        <v>346220</v>
      </c>
      <c r="C44" s="66">
        <v>1</v>
      </c>
    </row>
    <row r="45" spans="1:3" x14ac:dyDescent="0.2">
      <c r="A45" s="65">
        <v>316000</v>
      </c>
      <c r="B45" s="65">
        <v>316000</v>
      </c>
      <c r="C45" s="66">
        <v>1</v>
      </c>
    </row>
    <row r="46" spans="1:3" x14ac:dyDescent="0.2">
      <c r="A46" s="65">
        <v>370040</v>
      </c>
      <c r="B46" s="65">
        <v>370040</v>
      </c>
      <c r="C46" s="66">
        <v>1</v>
      </c>
    </row>
    <row r="47" spans="1:3" x14ac:dyDescent="0.2">
      <c r="A47" s="65">
        <v>346050</v>
      </c>
      <c r="B47" s="65">
        <v>346050</v>
      </c>
      <c r="C47" s="66">
        <v>1</v>
      </c>
    </row>
    <row r="48" spans="1:3" x14ac:dyDescent="0.2">
      <c r="A48" s="65">
        <v>342300</v>
      </c>
      <c r="B48" s="65">
        <v>342300</v>
      </c>
      <c r="C48" s="66">
        <v>1</v>
      </c>
    </row>
    <row r="49" spans="1:3" x14ac:dyDescent="0.2">
      <c r="A49" s="65">
        <v>346010</v>
      </c>
      <c r="B49" s="65">
        <v>346010</v>
      </c>
      <c r="C49" s="66">
        <v>1</v>
      </c>
    </row>
    <row r="50" spans="1:3" x14ac:dyDescent="0.2">
      <c r="A50" s="65">
        <v>341800</v>
      </c>
      <c r="B50" s="65">
        <v>341800</v>
      </c>
      <c r="C50" s="66">
        <v>1</v>
      </c>
    </row>
    <row r="51" spans="1:3" x14ac:dyDescent="0.2">
      <c r="A51" s="65">
        <v>343800</v>
      </c>
      <c r="B51" s="65">
        <v>343800</v>
      </c>
      <c r="C51" s="66">
        <v>1</v>
      </c>
    </row>
    <row r="52" spans="1:3" x14ac:dyDescent="0.2">
      <c r="A52" s="65">
        <v>346090</v>
      </c>
      <c r="B52" s="65">
        <v>346090</v>
      </c>
      <c r="C52" s="66">
        <v>1</v>
      </c>
    </row>
    <row r="53" spans="1:3" x14ac:dyDescent="0.2">
      <c r="A53" s="65">
        <v>346030</v>
      </c>
      <c r="B53" s="65">
        <v>346030</v>
      </c>
      <c r="C53" s="66">
        <v>1</v>
      </c>
    </row>
    <row r="54" spans="1:3" x14ac:dyDescent="0.2">
      <c r="A54" s="65">
        <v>346060</v>
      </c>
      <c r="B54" s="65">
        <v>346060</v>
      </c>
      <c r="C54" s="66">
        <v>1</v>
      </c>
    </row>
    <row r="55" spans="1:3" x14ac:dyDescent="0.2">
      <c r="A55" s="65">
        <v>370100</v>
      </c>
      <c r="B55" s="65">
        <v>370100</v>
      </c>
      <c r="C55" s="66">
        <v>1</v>
      </c>
    </row>
    <row r="56" spans="1:3" x14ac:dyDescent="0.2">
      <c r="A56" s="65">
        <v>370140</v>
      </c>
      <c r="B56" s="65">
        <v>370140</v>
      </c>
      <c r="C56" s="66">
        <v>1</v>
      </c>
    </row>
    <row r="57" spans="1:3" x14ac:dyDescent="0.2">
      <c r="A57" s="65">
        <v>300030</v>
      </c>
      <c r="B57" s="65">
        <v>300030</v>
      </c>
      <c r="C57" s="66">
        <v>1</v>
      </c>
    </row>
    <row r="58" spans="1:3" x14ac:dyDescent="0.2">
      <c r="A58" s="65">
        <v>399502</v>
      </c>
      <c r="B58" s="65">
        <v>346020</v>
      </c>
      <c r="C58" s="66">
        <v>1</v>
      </c>
    </row>
    <row r="59" spans="1:3" x14ac:dyDescent="0.2">
      <c r="A59" s="65">
        <v>319300</v>
      </c>
      <c r="B59" s="65" t="s">
        <v>369</v>
      </c>
      <c r="C59" s="66">
        <v>0.5</v>
      </c>
    </row>
    <row r="60" spans="1:3" x14ac:dyDescent="0.2">
      <c r="A60" s="65">
        <v>329300</v>
      </c>
      <c r="B60" s="65" t="s">
        <v>369</v>
      </c>
      <c r="C60" s="66">
        <v>0.5</v>
      </c>
    </row>
    <row r="61" spans="1:3" x14ac:dyDescent="0.2">
      <c r="A61" s="65">
        <v>339300</v>
      </c>
      <c r="B61" s="65" t="s">
        <v>369</v>
      </c>
      <c r="C61" s="66">
        <v>0.5</v>
      </c>
    </row>
    <row r="62" spans="1:3" x14ac:dyDescent="0.2">
      <c r="A62" s="65">
        <v>319660</v>
      </c>
      <c r="B62" s="65" t="s">
        <v>369</v>
      </c>
      <c r="C62" s="66">
        <v>0.5</v>
      </c>
    </row>
    <row r="63" spans="1:3" x14ac:dyDescent="0.2">
      <c r="A63" s="65">
        <v>329660</v>
      </c>
      <c r="B63" s="65" t="s">
        <v>369</v>
      </c>
      <c r="C63" s="66">
        <v>0.5</v>
      </c>
    </row>
    <row r="64" spans="1:3" x14ac:dyDescent="0.2">
      <c r="A64" s="65">
        <v>339660</v>
      </c>
      <c r="B64" s="65" t="s">
        <v>369</v>
      </c>
      <c r="C64" s="66">
        <v>0.5</v>
      </c>
    </row>
    <row r="65" spans="1:3" x14ac:dyDescent="0.2">
      <c r="A65" s="65">
        <v>320550</v>
      </c>
      <c r="B65" s="65" t="s">
        <v>369</v>
      </c>
      <c r="C65" s="66">
        <v>0.5</v>
      </c>
    </row>
    <row r="66" spans="1:3" x14ac:dyDescent="0.2">
      <c r="A66" s="65">
        <v>306010</v>
      </c>
      <c r="B66" s="65" t="s">
        <v>369</v>
      </c>
      <c r="C66" s="66">
        <v>0.5</v>
      </c>
    </row>
    <row r="67" spans="1:3" x14ac:dyDescent="0.2">
      <c r="A67" s="65">
        <v>310030</v>
      </c>
      <c r="B67" s="65" t="s">
        <v>369</v>
      </c>
      <c r="C67" s="66">
        <v>1</v>
      </c>
    </row>
    <row r="68" spans="1:3" x14ac:dyDescent="0.2">
      <c r="A68" s="65">
        <v>300125</v>
      </c>
      <c r="B68" s="65" t="s">
        <v>369</v>
      </c>
      <c r="C68" s="66">
        <v>1</v>
      </c>
    </row>
    <row r="69" spans="1:3" x14ac:dyDescent="0.2">
      <c r="A69" s="65">
        <v>300510</v>
      </c>
      <c r="B69" s="65" t="s">
        <v>369</v>
      </c>
      <c r="C69" s="66">
        <v>1</v>
      </c>
    </row>
    <row r="70" spans="1:3" x14ac:dyDescent="0.2">
      <c r="A70" s="65">
        <v>313200</v>
      </c>
      <c r="B70" s="65" t="s">
        <v>369</v>
      </c>
      <c r="C70" s="66">
        <v>1</v>
      </c>
    </row>
    <row r="71" spans="1:3" x14ac:dyDescent="0.2">
      <c r="A71" s="65">
        <v>323200</v>
      </c>
      <c r="B71" s="65" t="s">
        <v>369</v>
      </c>
      <c r="C71" s="66">
        <v>1</v>
      </c>
    </row>
    <row r="72" spans="1:3" x14ac:dyDescent="0.2">
      <c r="A72" s="65">
        <v>333200</v>
      </c>
      <c r="B72" s="65" t="s">
        <v>369</v>
      </c>
      <c r="C72" s="66">
        <v>1</v>
      </c>
    </row>
    <row r="73" spans="1:3" x14ac:dyDescent="0.2">
      <c r="A73" s="65">
        <v>313300</v>
      </c>
      <c r="B73" s="65" t="s">
        <v>369</v>
      </c>
      <c r="C73" s="66">
        <v>1</v>
      </c>
    </row>
    <row r="74" spans="1:3" x14ac:dyDescent="0.2">
      <c r="A74" s="65">
        <v>323300</v>
      </c>
      <c r="B74" s="65" t="s">
        <v>369</v>
      </c>
      <c r="C74" s="66">
        <v>1</v>
      </c>
    </row>
    <row r="75" spans="1:3" x14ac:dyDescent="0.2">
      <c r="A75" s="65">
        <v>333300</v>
      </c>
      <c r="B75" s="65" t="s">
        <v>369</v>
      </c>
      <c r="C75" s="66">
        <v>1</v>
      </c>
    </row>
    <row r="76" spans="1:3" x14ac:dyDescent="0.2">
      <c r="A76" s="65">
        <v>310800</v>
      </c>
      <c r="B76" s="65" t="s">
        <v>369</v>
      </c>
      <c r="C76" s="66">
        <v>1</v>
      </c>
    </row>
    <row r="77" spans="1:3" x14ac:dyDescent="0.2">
      <c r="A77" s="65">
        <v>320800</v>
      </c>
      <c r="B77" s="65" t="s">
        <v>369</v>
      </c>
      <c r="C77" s="66">
        <v>1</v>
      </c>
    </row>
    <row r="78" spans="1:3" x14ac:dyDescent="0.2">
      <c r="A78" s="65">
        <v>330800</v>
      </c>
      <c r="B78" s="65" t="s">
        <v>369</v>
      </c>
      <c r="C78" s="66">
        <v>1</v>
      </c>
    </row>
    <row r="79" spans="1:3" x14ac:dyDescent="0.2">
      <c r="A79" s="65">
        <v>311500</v>
      </c>
      <c r="B79" s="65" t="s">
        <v>369</v>
      </c>
      <c r="C79" s="66">
        <v>1</v>
      </c>
    </row>
    <row r="80" spans="1:3" x14ac:dyDescent="0.2">
      <c r="A80" s="65">
        <v>321500</v>
      </c>
      <c r="B80" s="65" t="s">
        <v>369</v>
      </c>
      <c r="C80" s="66">
        <v>1</v>
      </c>
    </row>
    <row r="81" spans="1:3" x14ac:dyDescent="0.2">
      <c r="A81" s="65">
        <v>331500</v>
      </c>
      <c r="B81" s="65" t="s">
        <v>369</v>
      </c>
      <c r="C81" s="66">
        <v>1</v>
      </c>
    </row>
    <row r="82" spans="1:3" x14ac:dyDescent="0.2">
      <c r="A82" s="65">
        <v>390000</v>
      </c>
      <c r="B82" s="65" t="s">
        <v>369</v>
      </c>
      <c r="C82" s="66">
        <v>1</v>
      </c>
    </row>
    <row r="83" spans="1:3" x14ac:dyDescent="0.2">
      <c r="A83" s="65">
        <v>390200</v>
      </c>
      <c r="B83" s="65" t="s">
        <v>369</v>
      </c>
      <c r="C83" s="66">
        <v>1</v>
      </c>
    </row>
    <row r="84" spans="1:3" x14ac:dyDescent="0.2">
      <c r="A84" s="65">
        <v>390100</v>
      </c>
      <c r="B84" s="65" t="s">
        <v>369</v>
      </c>
      <c r="C84" s="66">
        <v>1</v>
      </c>
    </row>
    <row r="85" spans="1:3" x14ac:dyDescent="0.2">
      <c r="A85" s="65">
        <v>351500</v>
      </c>
      <c r="B85" s="65" t="s">
        <v>369</v>
      </c>
      <c r="C85" s="66">
        <v>0.5</v>
      </c>
    </row>
    <row r="86" spans="1:3" x14ac:dyDescent="0.2">
      <c r="A86" s="65">
        <v>351000</v>
      </c>
      <c r="B86" s="65" t="s">
        <v>369</v>
      </c>
      <c r="C86" s="66">
        <v>1</v>
      </c>
    </row>
    <row r="87" spans="1:3" x14ac:dyDescent="0.2">
      <c r="A87" s="65">
        <v>352000</v>
      </c>
      <c r="B87" s="65" t="s">
        <v>369</v>
      </c>
      <c r="C87" s="66">
        <v>1</v>
      </c>
    </row>
    <row r="88" spans="1:3" x14ac:dyDescent="0.2">
      <c r="A88" s="65">
        <v>327530</v>
      </c>
      <c r="B88" s="65" t="s">
        <v>369</v>
      </c>
      <c r="C88" s="66">
        <v>0.33</v>
      </c>
    </row>
    <row r="89" spans="1:3" x14ac:dyDescent="0.2">
      <c r="A89" s="65">
        <v>352500</v>
      </c>
      <c r="B89" s="65" t="s">
        <v>369</v>
      </c>
      <c r="C89" s="66">
        <v>0.5</v>
      </c>
    </row>
    <row r="90" spans="1:3" x14ac:dyDescent="0.2">
      <c r="A90" s="65">
        <v>312000</v>
      </c>
      <c r="B90" s="65" t="s">
        <v>369</v>
      </c>
      <c r="C90" s="66">
        <v>0.5</v>
      </c>
    </row>
    <row r="91" spans="1:3" x14ac:dyDescent="0.2">
      <c r="A91" s="65">
        <v>311200</v>
      </c>
      <c r="B91" s="65" t="s">
        <v>369</v>
      </c>
      <c r="C91" s="66">
        <v>1</v>
      </c>
    </row>
    <row r="92" spans="1:3" x14ac:dyDescent="0.2">
      <c r="A92" s="65">
        <v>321200</v>
      </c>
      <c r="B92" s="65" t="s">
        <v>369</v>
      </c>
      <c r="C92" s="66">
        <v>1</v>
      </c>
    </row>
    <row r="93" spans="1:3" x14ac:dyDescent="0.2">
      <c r="A93" s="65">
        <v>331200</v>
      </c>
      <c r="B93" s="65" t="s">
        <v>369</v>
      </c>
      <c r="C93" s="66">
        <v>1</v>
      </c>
    </row>
    <row r="94" spans="1:3" x14ac:dyDescent="0.2">
      <c r="A94" s="65">
        <v>310400</v>
      </c>
      <c r="B94" s="65" t="s">
        <v>369</v>
      </c>
      <c r="C94" s="66">
        <v>1</v>
      </c>
    </row>
    <row r="95" spans="1:3" x14ac:dyDescent="0.2">
      <c r="A95" s="65">
        <v>320400</v>
      </c>
      <c r="B95" s="65" t="s">
        <v>369</v>
      </c>
      <c r="C95" s="66">
        <v>1</v>
      </c>
    </row>
    <row r="96" spans="1:3" x14ac:dyDescent="0.2">
      <c r="A96" s="65">
        <v>330400</v>
      </c>
      <c r="B96" s="65" t="s">
        <v>369</v>
      </c>
      <c r="C96" s="66">
        <v>1</v>
      </c>
    </row>
    <row r="97" spans="1:3" x14ac:dyDescent="0.2">
      <c r="A97" s="65">
        <v>311400</v>
      </c>
      <c r="B97" s="65" t="s">
        <v>369</v>
      </c>
      <c r="C97" s="66">
        <v>1</v>
      </c>
    </row>
    <row r="98" spans="1:3" x14ac:dyDescent="0.2">
      <c r="A98" s="65">
        <v>321400</v>
      </c>
      <c r="B98" s="65" t="s">
        <v>369</v>
      </c>
      <c r="C98" s="66">
        <v>1</v>
      </c>
    </row>
    <row r="99" spans="1:3" x14ac:dyDescent="0.2">
      <c r="A99" s="65">
        <v>331400</v>
      </c>
      <c r="B99" s="65" t="s">
        <v>369</v>
      </c>
      <c r="C99" s="66">
        <v>1</v>
      </c>
    </row>
    <row r="100" spans="1:3" x14ac:dyDescent="0.2">
      <c r="A100" s="65">
        <v>323104</v>
      </c>
      <c r="B100" s="65" t="s">
        <v>369</v>
      </c>
      <c r="C100" s="66">
        <v>1</v>
      </c>
    </row>
    <row r="101" spans="1:3" x14ac:dyDescent="0.2">
      <c r="A101" s="65">
        <v>325125</v>
      </c>
      <c r="B101" s="65" t="s">
        <v>369</v>
      </c>
      <c r="C101" s="66">
        <v>1</v>
      </c>
    </row>
    <row r="102" spans="1:3" x14ac:dyDescent="0.2">
      <c r="A102" s="65">
        <v>325020</v>
      </c>
      <c r="B102" s="65" t="s">
        <v>369</v>
      </c>
      <c r="C102" s="66">
        <v>1</v>
      </c>
    </row>
    <row r="103" spans="1:3" x14ac:dyDescent="0.2">
      <c r="A103" s="65">
        <v>325010</v>
      </c>
      <c r="B103" s="65" t="s">
        <v>369</v>
      </c>
      <c r="C103" s="66">
        <v>1</v>
      </c>
    </row>
    <row r="104" spans="1:3" x14ac:dyDescent="0.2">
      <c r="A104" s="65">
        <v>325150</v>
      </c>
      <c r="B104" s="65" t="s">
        <v>369</v>
      </c>
      <c r="C104" s="66">
        <v>1</v>
      </c>
    </row>
    <row r="105" spans="1:3" x14ac:dyDescent="0.2">
      <c r="A105" s="65">
        <v>325200</v>
      </c>
      <c r="B105" s="65" t="s">
        <v>369</v>
      </c>
      <c r="C105" s="66">
        <v>1</v>
      </c>
    </row>
    <row r="106" spans="1:3" x14ac:dyDescent="0.2">
      <c r="A106" s="65">
        <v>325250</v>
      </c>
      <c r="B106" s="65" t="s">
        <v>369</v>
      </c>
      <c r="C106" s="66">
        <v>1</v>
      </c>
    </row>
    <row r="107" spans="1:3" x14ac:dyDescent="0.2">
      <c r="A107" s="65">
        <v>312520</v>
      </c>
      <c r="B107" s="65" t="s">
        <v>369</v>
      </c>
      <c r="C107" s="66">
        <v>0.5</v>
      </c>
    </row>
    <row r="108" spans="1:3" x14ac:dyDescent="0.2">
      <c r="A108" s="65">
        <v>322520</v>
      </c>
      <c r="B108" s="65" t="s">
        <v>369</v>
      </c>
      <c r="C108" s="66">
        <v>0.5</v>
      </c>
    </row>
    <row r="109" spans="1:3" x14ac:dyDescent="0.2">
      <c r="A109" s="65">
        <v>332520</v>
      </c>
      <c r="B109" s="65" t="s">
        <v>369</v>
      </c>
      <c r="C109" s="66">
        <v>0.5</v>
      </c>
    </row>
    <row r="110" spans="1:3" x14ac:dyDescent="0.2">
      <c r="A110" s="65">
        <v>340140</v>
      </c>
      <c r="B110" s="65" t="s">
        <v>369</v>
      </c>
      <c r="C110" s="66">
        <v>1</v>
      </c>
    </row>
    <row r="111" spans="1:3" x14ac:dyDescent="0.2">
      <c r="A111" s="65">
        <v>340150</v>
      </c>
      <c r="B111" s="65" t="s">
        <v>369</v>
      </c>
      <c r="C111" s="66">
        <v>0.5</v>
      </c>
    </row>
    <row r="112" spans="1:3" x14ac:dyDescent="0.2">
      <c r="A112" s="65">
        <v>345500</v>
      </c>
      <c r="B112" s="65" t="s">
        <v>369</v>
      </c>
      <c r="C112" s="66">
        <v>1</v>
      </c>
    </row>
    <row r="113" spans="1:3" x14ac:dyDescent="0.2">
      <c r="A113" s="65">
        <v>340210</v>
      </c>
      <c r="B113" s="65" t="s">
        <v>369</v>
      </c>
      <c r="C113" s="66">
        <v>1</v>
      </c>
    </row>
    <row r="114" spans="1:3" x14ac:dyDescent="0.2">
      <c r="A114" s="65">
        <v>340270</v>
      </c>
      <c r="B114" s="65" t="s">
        <v>369</v>
      </c>
      <c r="C114" s="66">
        <v>1</v>
      </c>
    </row>
    <row r="115" spans="1:3" x14ac:dyDescent="0.2">
      <c r="A115" s="65">
        <v>340110</v>
      </c>
      <c r="B115" s="65" t="s">
        <v>369</v>
      </c>
      <c r="C115" s="66">
        <v>0.1</v>
      </c>
    </row>
    <row r="116" spans="1:3" x14ac:dyDescent="0.2">
      <c r="A116" s="65">
        <v>340620</v>
      </c>
      <c r="B116" s="65" t="s">
        <v>369</v>
      </c>
      <c r="C116" s="66">
        <v>0.5</v>
      </c>
    </row>
    <row r="117" spans="1:3" x14ac:dyDescent="0.2">
      <c r="A117" s="65">
        <v>342220</v>
      </c>
      <c r="B117" s="65" t="s">
        <v>369</v>
      </c>
      <c r="C117" s="66">
        <v>0.1</v>
      </c>
    </row>
    <row r="118" spans="1:3" x14ac:dyDescent="0.2">
      <c r="A118" s="65">
        <v>340100</v>
      </c>
      <c r="B118" s="65" t="s">
        <v>369</v>
      </c>
      <c r="C118" s="66">
        <v>0.1</v>
      </c>
    </row>
    <row r="119" spans="1:3" x14ac:dyDescent="0.2">
      <c r="A119" s="65">
        <v>341840</v>
      </c>
      <c r="B119" s="65" t="s">
        <v>369</v>
      </c>
      <c r="C119" s="66">
        <v>0.5</v>
      </c>
    </row>
    <row r="120" spans="1:3" x14ac:dyDescent="0.2">
      <c r="A120" s="65">
        <v>340250</v>
      </c>
      <c r="B120" s="65" t="s">
        <v>369</v>
      </c>
      <c r="C120" s="66">
        <v>0.5</v>
      </c>
    </row>
    <row r="121" spans="1:3" x14ac:dyDescent="0.2">
      <c r="A121" s="65">
        <v>341150</v>
      </c>
      <c r="B121" s="65" t="s">
        <v>369</v>
      </c>
      <c r="C121" s="66">
        <v>0.5</v>
      </c>
    </row>
    <row r="122" spans="1:3" x14ac:dyDescent="0.2">
      <c r="A122" s="65">
        <v>341680</v>
      </c>
      <c r="B122" s="65" t="s">
        <v>369</v>
      </c>
      <c r="C122" s="66">
        <v>0.5</v>
      </c>
    </row>
    <row r="123" spans="1:3" x14ac:dyDescent="0.2">
      <c r="A123" s="65">
        <v>340840</v>
      </c>
      <c r="B123" s="65" t="s">
        <v>369</v>
      </c>
      <c r="C123" s="66">
        <v>0.5</v>
      </c>
    </row>
    <row r="124" spans="1:3" x14ac:dyDescent="0.2">
      <c r="A124" s="65">
        <v>300220</v>
      </c>
      <c r="B124" s="65" t="s">
        <v>369</v>
      </c>
      <c r="C124" s="66">
        <v>1</v>
      </c>
    </row>
    <row r="125" spans="1:3" x14ac:dyDescent="0.2">
      <c r="A125" s="65">
        <v>300100</v>
      </c>
      <c r="B125" s="65" t="s">
        <v>369</v>
      </c>
      <c r="C125" s="66">
        <v>1</v>
      </c>
    </row>
    <row r="126" spans="1:3" x14ac:dyDescent="0.2">
      <c r="A126" s="65">
        <v>300200</v>
      </c>
      <c r="B126" s="65" t="s">
        <v>369</v>
      </c>
      <c r="C126" s="66">
        <v>1</v>
      </c>
    </row>
    <row r="127" spans="1:3" x14ac:dyDescent="0.2">
      <c r="A127" s="65">
        <v>300210</v>
      </c>
      <c r="B127" s="65" t="s">
        <v>369</v>
      </c>
      <c r="C127" s="66">
        <v>1</v>
      </c>
    </row>
    <row r="128" spans="1:3" x14ac:dyDescent="0.2">
      <c r="A128" s="65">
        <v>341000</v>
      </c>
      <c r="B128" s="65" t="s">
        <v>369</v>
      </c>
      <c r="C128" s="66">
        <v>0.5</v>
      </c>
    </row>
    <row r="129" spans="1:3" x14ac:dyDescent="0.2">
      <c r="A129" s="65">
        <v>341100</v>
      </c>
      <c r="B129" s="65" t="s">
        <v>369</v>
      </c>
      <c r="C129" s="66">
        <v>0.5</v>
      </c>
    </row>
    <row r="130" spans="1:3" x14ac:dyDescent="0.2">
      <c r="A130" s="65">
        <v>341500</v>
      </c>
      <c r="B130" s="65" t="s">
        <v>369</v>
      </c>
      <c r="C130" s="66">
        <v>0.5</v>
      </c>
    </row>
    <row r="131" spans="1:3" x14ac:dyDescent="0.2">
      <c r="A131" s="65">
        <v>310650</v>
      </c>
      <c r="B131" s="65" t="s">
        <v>369</v>
      </c>
      <c r="C131" s="66">
        <v>1</v>
      </c>
    </row>
    <row r="132" spans="1:3" x14ac:dyDescent="0.2">
      <c r="A132" s="65">
        <v>320650</v>
      </c>
      <c r="B132" s="65" t="s">
        <v>369</v>
      </c>
      <c r="C132" s="66">
        <v>1</v>
      </c>
    </row>
    <row r="133" spans="1:3" x14ac:dyDescent="0.2">
      <c r="A133" s="65">
        <v>330650</v>
      </c>
      <c r="B133" s="65" t="s">
        <v>369</v>
      </c>
      <c r="C133" s="66">
        <v>1</v>
      </c>
    </row>
    <row r="134" spans="1:3" x14ac:dyDescent="0.2">
      <c r="A134" s="65">
        <v>310080</v>
      </c>
      <c r="B134" s="65" t="s">
        <v>369</v>
      </c>
      <c r="C134" s="66">
        <v>1</v>
      </c>
    </row>
    <row r="135" spans="1:3" x14ac:dyDescent="0.2">
      <c r="A135" s="65">
        <v>320080</v>
      </c>
      <c r="B135" s="65" t="s">
        <v>369</v>
      </c>
      <c r="C135" s="66">
        <v>1</v>
      </c>
    </row>
    <row r="136" spans="1:3" x14ac:dyDescent="0.2">
      <c r="A136" s="65">
        <v>330080</v>
      </c>
      <c r="B136" s="65" t="s">
        <v>369</v>
      </c>
      <c r="C136" s="66">
        <v>1</v>
      </c>
    </row>
    <row r="137" spans="1:3" x14ac:dyDescent="0.2">
      <c r="A137" s="65">
        <v>320700</v>
      </c>
      <c r="B137" s="65" t="s">
        <v>369</v>
      </c>
      <c r="C137" s="66">
        <v>0.5</v>
      </c>
    </row>
    <row r="138" spans="1:3" x14ac:dyDescent="0.2">
      <c r="A138" s="65">
        <v>320140</v>
      </c>
      <c r="B138" s="65" t="s">
        <v>369</v>
      </c>
      <c r="C138" s="66">
        <v>1</v>
      </c>
    </row>
    <row r="139" spans="1:3" x14ac:dyDescent="0.2">
      <c r="A139" s="65">
        <v>311650</v>
      </c>
      <c r="B139" s="65" t="s">
        <v>369</v>
      </c>
      <c r="C139" s="66">
        <v>0.5</v>
      </c>
    </row>
    <row r="140" spans="1:3" x14ac:dyDescent="0.2">
      <c r="A140" s="65">
        <v>321650</v>
      </c>
      <c r="B140" s="65" t="s">
        <v>369</v>
      </c>
      <c r="C140" s="66">
        <v>0.5</v>
      </c>
    </row>
    <row r="141" spans="1:3" x14ac:dyDescent="0.2">
      <c r="A141" s="65">
        <v>331650</v>
      </c>
      <c r="B141" s="65" t="s">
        <v>369</v>
      </c>
      <c r="C141" s="66">
        <v>0.5</v>
      </c>
    </row>
    <row r="142" spans="1:3" x14ac:dyDescent="0.2">
      <c r="A142" s="65">
        <v>310040</v>
      </c>
      <c r="B142" s="65" t="s">
        <v>369</v>
      </c>
      <c r="C142" s="66">
        <v>0.5</v>
      </c>
    </row>
    <row r="143" spans="1:3" x14ac:dyDescent="0.2">
      <c r="A143" s="65">
        <v>320040</v>
      </c>
      <c r="B143" s="65" t="s">
        <v>369</v>
      </c>
      <c r="C143" s="66">
        <v>0.5</v>
      </c>
    </row>
    <row r="144" spans="1:3" x14ac:dyDescent="0.2">
      <c r="A144" s="65">
        <v>330040</v>
      </c>
      <c r="B144" s="65" t="s">
        <v>369</v>
      </c>
      <c r="C144" s="66">
        <v>0.5</v>
      </c>
    </row>
    <row r="145" spans="1:3" x14ac:dyDescent="0.2">
      <c r="A145" s="65">
        <v>310060</v>
      </c>
      <c r="B145" s="65" t="s">
        <v>369</v>
      </c>
      <c r="C145" s="66">
        <v>0.5</v>
      </c>
    </row>
    <row r="146" spans="1:3" x14ac:dyDescent="0.2">
      <c r="A146" s="65">
        <v>320060</v>
      </c>
      <c r="B146" s="65" t="s">
        <v>369</v>
      </c>
      <c r="C146" s="66">
        <v>0.5</v>
      </c>
    </row>
    <row r="147" spans="1:3" x14ac:dyDescent="0.2">
      <c r="A147" s="65">
        <v>330060</v>
      </c>
      <c r="B147" s="65" t="s">
        <v>369</v>
      </c>
      <c r="C147" s="66">
        <v>0.5</v>
      </c>
    </row>
    <row r="148" spans="1:3" x14ac:dyDescent="0.2">
      <c r="A148" s="65">
        <v>310180</v>
      </c>
      <c r="B148" s="65" t="s">
        <v>369</v>
      </c>
      <c r="C148" s="66">
        <v>1</v>
      </c>
    </row>
    <row r="149" spans="1:3" x14ac:dyDescent="0.2">
      <c r="A149" s="65">
        <v>320180</v>
      </c>
      <c r="B149" s="65" t="s">
        <v>369</v>
      </c>
      <c r="C149" s="66">
        <v>1</v>
      </c>
    </row>
    <row r="150" spans="1:3" x14ac:dyDescent="0.2">
      <c r="A150" s="65">
        <v>330180</v>
      </c>
      <c r="B150" s="65" t="s">
        <v>369</v>
      </c>
      <c r="C150" s="66">
        <v>1</v>
      </c>
    </row>
    <row r="151" spans="1:3" x14ac:dyDescent="0.2">
      <c r="A151" s="65">
        <v>309100</v>
      </c>
      <c r="B151" s="65" t="s">
        <v>369</v>
      </c>
      <c r="C151" s="66">
        <v>4</v>
      </c>
    </row>
    <row r="152" spans="1:3" x14ac:dyDescent="0.2">
      <c r="A152" s="65">
        <v>309000</v>
      </c>
      <c r="B152" s="65" t="s">
        <v>369</v>
      </c>
      <c r="C152" s="66">
        <v>1</v>
      </c>
    </row>
    <row r="153" spans="1:3" x14ac:dyDescent="0.2">
      <c r="A153" s="65">
        <v>303500</v>
      </c>
      <c r="B153" s="65" t="s">
        <v>369</v>
      </c>
      <c r="C153" s="66">
        <v>2</v>
      </c>
    </row>
    <row r="154" spans="1:3" x14ac:dyDescent="0.2">
      <c r="A154" s="65">
        <v>303600</v>
      </c>
      <c r="B154" s="65" t="s">
        <v>369</v>
      </c>
      <c r="C154" s="66">
        <v>2</v>
      </c>
    </row>
    <row r="155" spans="1:3" x14ac:dyDescent="0.2">
      <c r="A155" s="65">
        <v>340410</v>
      </c>
      <c r="B155" s="65" t="s">
        <v>369</v>
      </c>
      <c r="C155" s="66">
        <v>0.5</v>
      </c>
    </row>
    <row r="156" spans="1:3" x14ac:dyDescent="0.2">
      <c r="A156" s="65">
        <v>370600</v>
      </c>
      <c r="B156" s="65" t="s">
        <v>369</v>
      </c>
      <c r="C156" s="66">
        <v>0.33</v>
      </c>
    </row>
    <row r="157" spans="1:3" x14ac:dyDescent="0.2">
      <c r="A157" s="65">
        <v>344500</v>
      </c>
      <c r="B157" s="65" t="s">
        <v>369</v>
      </c>
      <c r="C157" s="66">
        <v>0.33</v>
      </c>
    </row>
    <row r="158" spans="1:3" x14ac:dyDescent="0.2">
      <c r="A158" s="65">
        <v>300060</v>
      </c>
      <c r="B158" s="65" t="s">
        <v>369</v>
      </c>
      <c r="C158" s="66">
        <v>1</v>
      </c>
    </row>
    <row r="159" spans="1:3" x14ac:dyDescent="0.2">
      <c r="A159" s="65">
        <v>304000</v>
      </c>
      <c r="B159" s="65" t="s">
        <v>370</v>
      </c>
      <c r="C159" s="66">
        <v>1</v>
      </c>
    </row>
    <row r="160" spans="1:3" x14ac:dyDescent="0.2">
      <c r="A160" s="65">
        <v>399798</v>
      </c>
      <c r="B160" s="65" t="s">
        <v>459</v>
      </c>
      <c r="C160" s="66">
        <v>1</v>
      </c>
    </row>
    <row r="161" spans="1:3" x14ac:dyDescent="0.2">
      <c r="A161" s="65">
        <v>399516</v>
      </c>
      <c r="B161" s="65" t="s">
        <v>459</v>
      </c>
      <c r="C161" s="66">
        <v>1</v>
      </c>
    </row>
    <row r="162" spans="1:3" x14ac:dyDescent="0.2">
      <c r="A162" s="65">
        <v>399517</v>
      </c>
      <c r="B162" s="65" t="s">
        <v>459</v>
      </c>
      <c r="C162" s="66">
        <v>1</v>
      </c>
    </row>
    <row r="163" spans="1:3" x14ac:dyDescent="0.2">
      <c r="A163" s="65">
        <v>396920</v>
      </c>
      <c r="B163" s="65" t="s">
        <v>459</v>
      </c>
      <c r="C163" s="66">
        <v>1</v>
      </c>
    </row>
    <row r="164" spans="1:3" x14ac:dyDescent="0.2">
      <c r="A164" s="74">
        <v>370080</v>
      </c>
      <c r="B164" s="65">
        <f>A164</f>
        <v>370080</v>
      </c>
      <c r="C164" s="66">
        <v>1</v>
      </c>
    </row>
    <row r="165" spans="1:3" x14ac:dyDescent="0.2">
      <c r="A165" s="74">
        <v>370020</v>
      </c>
      <c r="B165" s="65">
        <f>A165</f>
        <v>370020</v>
      </c>
      <c r="C165" s="66">
        <v>1</v>
      </c>
    </row>
  </sheetData>
  <mergeCells count="2">
    <mergeCell ref="A1:A2"/>
    <mergeCell ref="B1:C1"/>
  </mergeCells>
  <pageMargins left="0.511811024" right="0.511811024" top="0.78740157499999996" bottom="0.78740157499999996" header="0.31496062000000002" footer="0.31496062000000002"/>
  <pageSetup paperSize="0" orientation="portrait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V215"/>
  <sheetViews>
    <sheetView zoomScale="90" zoomScaleNormal="90" workbookViewId="0">
      <pane xSplit="1" ySplit="12" topLeftCell="B186" activePane="bottomRight" state="frozen"/>
      <selection pane="topRight" activeCell="B1" sqref="B1"/>
      <selection pane="bottomLeft" activeCell="A13" sqref="A13"/>
      <selection pane="bottomRight" activeCell="C6" sqref="C6:C10"/>
    </sheetView>
  </sheetViews>
  <sheetFormatPr defaultRowHeight="14.25" x14ac:dyDescent="0.25"/>
  <cols>
    <col min="1" max="1" width="9" style="110" customWidth="1"/>
    <col min="2" max="2" width="76.42578125" style="110" customWidth="1"/>
    <col min="3" max="3" width="12.7109375" style="110" bestFit="1" customWidth="1"/>
    <col min="4" max="4" width="13.28515625" style="110" customWidth="1"/>
    <col min="5" max="5" width="9.140625" style="113"/>
    <col min="6" max="6" width="11.5703125" style="109" customWidth="1"/>
    <col min="7" max="7" width="55.7109375" style="109" customWidth="1"/>
    <col min="8" max="8" width="12" style="109" customWidth="1"/>
    <col min="9" max="11" width="9.140625" style="109"/>
    <col min="12" max="12" width="12.140625" style="109" customWidth="1"/>
    <col min="13" max="14" width="9.140625" style="109"/>
    <col min="15" max="15" width="13.140625" style="109" bestFit="1" customWidth="1"/>
    <col min="16" max="16" width="9.5703125" style="109" bestFit="1" customWidth="1"/>
    <col min="17" max="17" width="11.85546875" style="109" bestFit="1" customWidth="1"/>
    <col min="18" max="19" width="9.140625" style="109"/>
    <col min="20" max="21" width="11.7109375" style="109" bestFit="1" customWidth="1"/>
    <col min="22" max="16384" width="9.140625" style="113"/>
  </cols>
  <sheetData>
    <row r="1" spans="1:22" ht="15" x14ac:dyDescent="0.25">
      <c r="A1" s="428" t="s">
        <v>467</v>
      </c>
      <c r="B1" s="428"/>
      <c r="C1" s="113"/>
      <c r="D1" s="113"/>
    </row>
    <row r="2" spans="1:22" ht="15" x14ac:dyDescent="0.25">
      <c r="A2" s="93"/>
      <c r="B2" s="93"/>
      <c r="C2" s="113"/>
      <c r="D2" s="113"/>
    </row>
    <row r="3" spans="1:22" ht="15" customHeight="1" x14ac:dyDescent="0.25">
      <c r="A3" s="114"/>
      <c r="B3" s="114" t="s">
        <v>384</v>
      </c>
      <c r="C3" s="186">
        <v>1518</v>
      </c>
      <c r="D3" s="163"/>
    </row>
    <row r="4" spans="1:22" x14ac:dyDescent="0.25">
      <c r="A4" s="114"/>
      <c r="B4" s="114" t="s">
        <v>385</v>
      </c>
      <c r="C4" s="187">
        <v>1.4892000000000001</v>
      </c>
      <c r="D4" s="163"/>
    </row>
    <row r="5" spans="1:22" x14ac:dyDescent="0.25">
      <c r="A5" s="114"/>
      <c r="B5" s="114" t="s">
        <v>375</v>
      </c>
      <c r="C5" s="187">
        <v>0.06</v>
      </c>
      <c r="D5" s="163"/>
    </row>
    <row r="6" spans="1:22" x14ac:dyDescent="0.25">
      <c r="A6" s="114"/>
      <c r="B6" s="114" t="s">
        <v>379</v>
      </c>
      <c r="C6" s="188">
        <v>4.26</v>
      </c>
      <c r="D6" s="163">
        <v>0.28999999999999998</v>
      </c>
    </row>
    <row r="7" spans="1:22" x14ac:dyDescent="0.25">
      <c r="A7" s="114"/>
      <c r="B7" s="114" t="s">
        <v>380</v>
      </c>
      <c r="C7" s="188">
        <v>5.9989999999999997</v>
      </c>
      <c r="D7" s="163">
        <v>0.15</v>
      </c>
    </row>
    <row r="8" spans="1:22" x14ac:dyDescent="0.25">
      <c r="A8" s="114"/>
      <c r="B8" s="114" t="s">
        <v>381</v>
      </c>
      <c r="C8" s="188">
        <v>6.2519999999999998</v>
      </c>
      <c r="D8" s="163">
        <v>0.245</v>
      </c>
    </row>
    <row r="9" spans="1:22" x14ac:dyDescent="0.25">
      <c r="A9" s="114"/>
      <c r="B9" s="114" t="s">
        <v>382</v>
      </c>
      <c r="C9" s="188">
        <v>1.095</v>
      </c>
      <c r="D9" s="163">
        <v>2.4500000000000001E-2</v>
      </c>
    </row>
    <row r="10" spans="1:22" x14ac:dyDescent="0.25">
      <c r="A10" s="114"/>
      <c r="B10" s="114" t="s">
        <v>383</v>
      </c>
      <c r="C10" s="188">
        <v>5.37</v>
      </c>
      <c r="D10" s="163"/>
    </row>
    <row r="11" spans="1:22" ht="15" x14ac:dyDescent="0.25">
      <c r="A11" s="114"/>
      <c r="B11" s="93">
        <f>195+12</f>
        <v>207</v>
      </c>
      <c r="C11" s="113"/>
      <c r="D11" s="113"/>
    </row>
    <row r="12" spans="1:22" ht="15" x14ac:dyDescent="0.25">
      <c r="A12" s="160" t="s">
        <v>30</v>
      </c>
      <c r="B12" s="161" t="s">
        <v>31</v>
      </c>
      <c r="C12" s="122" t="s">
        <v>190</v>
      </c>
      <c r="D12" s="122" t="s">
        <v>191</v>
      </c>
      <c r="F12" s="108" t="s">
        <v>30</v>
      </c>
      <c r="G12" s="108" t="s">
        <v>31</v>
      </c>
      <c r="H12" s="108" t="s">
        <v>355</v>
      </c>
      <c r="I12" s="108" t="s">
        <v>356</v>
      </c>
      <c r="J12" s="108" t="s">
        <v>357</v>
      </c>
      <c r="K12" s="108" t="s">
        <v>358</v>
      </c>
      <c r="L12" s="108" t="s">
        <v>359</v>
      </c>
      <c r="M12" s="108" t="s">
        <v>360</v>
      </c>
      <c r="N12" s="108" t="s">
        <v>361</v>
      </c>
      <c r="O12" s="108" t="s">
        <v>362</v>
      </c>
      <c r="P12" s="108" t="s">
        <v>363</v>
      </c>
      <c r="Q12" s="108" t="s">
        <v>364</v>
      </c>
      <c r="R12" s="108" t="s">
        <v>365</v>
      </c>
      <c r="S12" s="108" t="s">
        <v>366</v>
      </c>
      <c r="T12" s="108" t="s">
        <v>367</v>
      </c>
      <c r="U12" s="108" t="s">
        <v>368</v>
      </c>
    </row>
    <row r="13" spans="1:22" x14ac:dyDescent="0.25">
      <c r="A13" s="195">
        <v>303280</v>
      </c>
      <c r="B13" s="196" t="s">
        <v>192</v>
      </c>
      <c r="C13" s="197">
        <v>5.34</v>
      </c>
      <c r="D13" s="197">
        <v>3.73</v>
      </c>
      <c r="F13" s="177" t="s">
        <v>369</v>
      </c>
      <c r="G13" s="178" t="s">
        <v>476</v>
      </c>
      <c r="H13" s="177"/>
      <c r="I13" s="177" t="s">
        <v>237</v>
      </c>
      <c r="J13" s="177" t="s">
        <v>237</v>
      </c>
      <c r="K13" s="177" t="s">
        <v>237</v>
      </c>
      <c r="L13" s="177" t="s">
        <v>237</v>
      </c>
      <c r="M13" s="177" t="s">
        <v>237</v>
      </c>
      <c r="N13" s="177" t="s">
        <v>237</v>
      </c>
      <c r="O13" s="177" t="s">
        <v>237</v>
      </c>
      <c r="P13" s="177" t="s">
        <v>237</v>
      </c>
      <c r="Q13" s="177" t="s">
        <v>237</v>
      </c>
      <c r="R13" s="177" t="s">
        <v>237</v>
      </c>
      <c r="S13" s="177" t="s">
        <v>237</v>
      </c>
      <c r="T13" s="180">
        <f>ROUND(T14+T15,2)</f>
        <v>430.57</v>
      </c>
      <c r="U13" s="180">
        <f>ROUND(U14+U15,2)</f>
        <v>108.12</v>
      </c>
      <c r="V13" s="214">
        <v>9665</v>
      </c>
    </row>
    <row r="14" spans="1:22" x14ac:dyDescent="0.25">
      <c r="A14" s="195">
        <v>370070</v>
      </c>
      <c r="B14" s="196" t="s">
        <v>401</v>
      </c>
      <c r="C14" s="198">
        <v>142.87</v>
      </c>
      <c r="D14" s="199">
        <v>35.72</v>
      </c>
      <c r="F14" s="109" t="s">
        <v>371</v>
      </c>
      <c r="G14" s="152" t="s">
        <v>477</v>
      </c>
      <c r="I14" s="109">
        <v>276</v>
      </c>
      <c r="J14" s="109">
        <v>7</v>
      </c>
      <c r="K14" s="112">
        <v>2000</v>
      </c>
      <c r="L14" s="111">
        <v>743044.99659999995</v>
      </c>
      <c r="M14" s="109">
        <v>0.9</v>
      </c>
      <c r="N14" s="109" t="s">
        <v>374</v>
      </c>
      <c r="O14" s="111">
        <f>(L14*(1-S14/100)*(1+$C$5)^J14)*($C$5/((1+$C$5)^J14-1))*(1/K14)</f>
        <v>39.931613665379558</v>
      </c>
      <c r="P14" s="119">
        <f>L14*M14/(K14*J14)</f>
        <v>47.767178352857144</v>
      </c>
      <c r="Q14" s="119">
        <f>$D$7*I14*$C$7</f>
        <v>248.35859999999997</v>
      </c>
      <c r="R14" s="109">
        <f>MO!E27</f>
        <v>34.69</v>
      </c>
      <c r="S14" s="112">
        <v>40</v>
      </c>
      <c r="T14" s="120">
        <f>O14+P14+Q14+R14</f>
        <v>370.74739201823667</v>
      </c>
      <c r="U14" s="120">
        <f>O14+R14</f>
        <v>74.621613665379556</v>
      </c>
    </row>
    <row r="15" spans="1:22" x14ac:dyDescent="0.25">
      <c r="A15" s="195">
        <v>370080</v>
      </c>
      <c r="B15" s="196" t="s">
        <v>402</v>
      </c>
      <c r="C15" s="198">
        <v>116.77</v>
      </c>
      <c r="D15" s="197">
        <v>9.6199999999999992</v>
      </c>
      <c r="F15" s="109" t="s">
        <v>372</v>
      </c>
      <c r="G15" s="152" t="s">
        <v>353</v>
      </c>
      <c r="I15" s="109">
        <v>0</v>
      </c>
      <c r="J15" s="109">
        <v>12</v>
      </c>
      <c r="K15" s="112">
        <v>1000</v>
      </c>
      <c r="L15" s="111">
        <v>351050</v>
      </c>
      <c r="M15" s="109">
        <v>0.9</v>
      </c>
      <c r="N15" s="109" t="s">
        <v>374</v>
      </c>
      <c r="O15" s="111">
        <f>(L15*(1-S15/100)*(1+$C$5)^J15)*($C$5/((1+$C$5)^J15-1))*(1/K15)</f>
        <v>33.497760931265553</v>
      </c>
      <c r="P15" s="119">
        <f>L15*M15/(K15*J15)</f>
        <v>26.328749999999999</v>
      </c>
      <c r="Q15" s="119">
        <f>$D$7*I15*$C$7</f>
        <v>0</v>
      </c>
      <c r="S15" s="112">
        <v>20</v>
      </c>
      <c r="T15" s="120">
        <f t="shared" ref="T15" si="0">O15+P15+Q15+R15</f>
        <v>59.826510931265553</v>
      </c>
      <c r="U15" s="120">
        <f>O15+R15</f>
        <v>33.497760931265553</v>
      </c>
    </row>
    <row r="16" spans="1:22" x14ac:dyDescent="0.25">
      <c r="A16" s="195">
        <v>304100</v>
      </c>
      <c r="B16" s="196" t="s">
        <v>137</v>
      </c>
      <c r="C16" s="199">
        <v>76.81</v>
      </c>
      <c r="D16" s="199">
        <v>48.48</v>
      </c>
      <c r="F16" s="177" t="s">
        <v>370</v>
      </c>
      <c r="G16" s="178" t="s">
        <v>478</v>
      </c>
      <c r="H16" s="177"/>
      <c r="I16" s="177" t="s">
        <v>237</v>
      </c>
      <c r="J16" s="177" t="s">
        <v>237</v>
      </c>
      <c r="K16" s="177" t="s">
        <v>237</v>
      </c>
      <c r="L16" s="177" t="s">
        <v>237</v>
      </c>
      <c r="M16" s="177" t="s">
        <v>237</v>
      </c>
      <c r="N16" s="177" t="s">
        <v>237</v>
      </c>
      <c r="O16" s="177" t="s">
        <v>237</v>
      </c>
      <c r="P16" s="179" t="s">
        <v>237</v>
      </c>
      <c r="Q16" s="179" t="s">
        <v>237</v>
      </c>
      <c r="R16" s="177" t="s">
        <v>237</v>
      </c>
      <c r="S16" s="177" t="s">
        <v>237</v>
      </c>
      <c r="T16" s="180">
        <f>ROUND(T17+T18,2)</f>
        <v>478.04</v>
      </c>
      <c r="U16" s="180">
        <f>ROUND(U17+U18,2)</f>
        <v>120.15</v>
      </c>
      <c r="V16" s="214">
        <v>9666</v>
      </c>
    </row>
    <row r="17" spans="1:22" x14ac:dyDescent="0.25">
      <c r="A17" s="195">
        <v>304000</v>
      </c>
      <c r="B17" s="196" t="s">
        <v>135</v>
      </c>
      <c r="C17" s="199">
        <v>36.950000000000003</v>
      </c>
      <c r="D17" s="199">
        <v>34.46</v>
      </c>
      <c r="F17" s="109" t="s">
        <v>373</v>
      </c>
      <c r="G17" s="152" t="s">
        <v>479</v>
      </c>
      <c r="I17" s="109">
        <v>302</v>
      </c>
      <c r="J17" s="109">
        <v>7</v>
      </c>
      <c r="K17" s="112">
        <v>2000</v>
      </c>
      <c r="L17" s="111">
        <v>860102.00490000006</v>
      </c>
      <c r="M17" s="109">
        <v>0.9</v>
      </c>
      <c r="N17" s="109" t="s">
        <v>374</v>
      </c>
      <c r="O17" s="111">
        <f>(L17*(1-S17/100)*(1+$C$5)^J17)*($C$5/((1+$C$5)^J17-1))*(1/K17)</f>
        <v>46.222316454105837</v>
      </c>
      <c r="P17" s="119">
        <f>L17*M17/(K17*J17)</f>
        <v>55.292271743571433</v>
      </c>
      <c r="Q17" s="119">
        <f>$D$7*I17*$C$7</f>
        <v>271.75469999999996</v>
      </c>
      <c r="R17" s="109">
        <f>MO!E27</f>
        <v>34.69</v>
      </c>
      <c r="S17" s="112">
        <v>40</v>
      </c>
      <c r="T17" s="120">
        <f>O17+P17+Q17+R17</f>
        <v>407.95928819767721</v>
      </c>
      <c r="U17" s="120">
        <f>O17+R17</f>
        <v>80.912316454105834</v>
      </c>
    </row>
    <row r="18" spans="1:22" x14ac:dyDescent="0.25">
      <c r="A18" s="168">
        <v>399502</v>
      </c>
      <c r="B18" s="169" t="s">
        <v>466</v>
      </c>
      <c r="C18" s="174"/>
      <c r="D18" s="173"/>
      <c r="F18" s="109" t="s">
        <v>373</v>
      </c>
      <c r="G18" s="152" t="s">
        <v>354</v>
      </c>
      <c r="I18" s="109">
        <v>0</v>
      </c>
      <c r="J18" s="109">
        <v>12</v>
      </c>
      <c r="K18" s="112">
        <v>1000</v>
      </c>
      <c r="L18" s="111">
        <v>411230</v>
      </c>
      <c r="M18" s="109">
        <v>0.9</v>
      </c>
      <c r="N18" s="109" t="s">
        <v>374</v>
      </c>
      <c r="O18" s="111">
        <f>(L18*(1-S18/100)*(1+$C$5)^J18)*($C$5/((1+$C$5)^J18-1))*(1/K18)</f>
        <v>39.24023423376822</v>
      </c>
      <c r="P18" s="119">
        <f>L18*M18/(K18*J18)</f>
        <v>30.84225</v>
      </c>
      <c r="Q18" s="119">
        <f>$D$7*I18*$C$7</f>
        <v>0</v>
      </c>
      <c r="S18" s="112">
        <v>20</v>
      </c>
      <c r="T18" s="120">
        <f>O18+P18+Q18+R18</f>
        <v>70.082484233768213</v>
      </c>
      <c r="U18" s="120">
        <f>O18+R18</f>
        <v>39.24023423376822</v>
      </c>
    </row>
    <row r="19" spans="1:22" x14ac:dyDescent="0.25">
      <c r="A19" s="195">
        <v>363200</v>
      </c>
      <c r="B19" s="196" t="s">
        <v>193</v>
      </c>
      <c r="C19" s="197">
        <v>9.48</v>
      </c>
      <c r="D19" s="197">
        <v>6.57</v>
      </c>
      <c r="F19" s="175" t="s">
        <v>459</v>
      </c>
      <c r="G19" s="176" t="s">
        <v>480</v>
      </c>
      <c r="H19" s="175"/>
      <c r="I19" s="175"/>
      <c r="J19" s="175"/>
      <c r="K19" s="175"/>
      <c r="L19" s="175"/>
      <c r="M19" s="175"/>
      <c r="N19" s="175"/>
      <c r="O19" s="175"/>
      <c r="P19" s="181"/>
      <c r="Q19" s="181"/>
      <c r="R19" s="175"/>
      <c r="S19" s="175"/>
      <c r="T19" s="182">
        <f>ROUND(T20+T21+T22,2)</f>
        <v>573.36</v>
      </c>
      <c r="U19" s="182">
        <f>ROUND(U20+U21+U22,2)</f>
        <v>142.36000000000001</v>
      </c>
      <c r="V19" s="214">
        <v>9018</v>
      </c>
    </row>
    <row r="20" spans="1:22" x14ac:dyDescent="0.25">
      <c r="A20" s="195">
        <v>373200</v>
      </c>
      <c r="B20" s="196" t="s">
        <v>194</v>
      </c>
      <c r="C20" s="199">
        <v>29.53</v>
      </c>
      <c r="D20" s="197">
        <v>6.67</v>
      </c>
      <c r="F20" s="109" t="s">
        <v>461</v>
      </c>
      <c r="G20" s="152" t="s">
        <v>481</v>
      </c>
      <c r="I20" s="109">
        <v>364</v>
      </c>
      <c r="J20" s="109">
        <v>7</v>
      </c>
      <c r="K20" s="112">
        <v>2000</v>
      </c>
      <c r="L20" s="111">
        <v>930566.68389999995</v>
      </c>
      <c r="M20" s="109">
        <v>0.9</v>
      </c>
      <c r="N20" s="109" t="s">
        <v>374</v>
      </c>
      <c r="O20" s="111">
        <f>(L20*(1-S20/100)*(1+$C$5)^J20)*($C$5/((1+$C$5)^J20-1))*(1/K20)</f>
        <v>50.009123917662045</v>
      </c>
      <c r="P20" s="119">
        <f>L20*M20/(K20*J20)</f>
        <v>59.822143964999995</v>
      </c>
      <c r="Q20" s="119">
        <f>$D$7*I20*$C$7</f>
        <v>327.54539999999997</v>
      </c>
      <c r="R20" s="109">
        <f>MO!E27</f>
        <v>34.69</v>
      </c>
      <c r="S20" s="112">
        <v>40</v>
      </c>
      <c r="T20" s="120">
        <f>O20+P20+Q20+R20</f>
        <v>472.06666788266199</v>
      </c>
      <c r="U20" s="120">
        <f>O20+R20</f>
        <v>84.699123917662035</v>
      </c>
    </row>
    <row r="21" spans="1:22" x14ac:dyDescent="0.25">
      <c r="A21" s="195">
        <v>340310</v>
      </c>
      <c r="B21" s="196" t="s">
        <v>195</v>
      </c>
      <c r="C21" s="199">
        <v>34.07</v>
      </c>
      <c r="D21" s="197">
        <v>6.78</v>
      </c>
      <c r="F21" s="109" t="s">
        <v>462</v>
      </c>
      <c r="G21" s="152" t="s">
        <v>463</v>
      </c>
      <c r="I21" s="109">
        <v>0</v>
      </c>
      <c r="J21" s="109">
        <v>12</v>
      </c>
      <c r="K21" s="112">
        <v>1000</v>
      </c>
      <c r="L21" s="111">
        <v>491470</v>
      </c>
      <c r="M21" s="109">
        <v>0.9</v>
      </c>
      <c r="N21" s="109" t="s">
        <v>374</v>
      </c>
      <c r="O21" s="111">
        <f>(L21*(1-S21/100)*(1+$C$5)^J21)*($C$5/((1+$C$5)^J21-1))*(1/K21)</f>
        <v>46.896865303771776</v>
      </c>
      <c r="P21" s="119">
        <f>L21*M21/(K21*J21)</f>
        <v>36.860250000000001</v>
      </c>
      <c r="Q21" s="119">
        <f>$D$7*I21*$C$7</f>
        <v>0</v>
      </c>
      <c r="S21" s="112">
        <v>20</v>
      </c>
      <c r="T21" s="120">
        <f t="shared" ref="T21:T22" si="1">O21+P21+Q21+R21</f>
        <v>83.757115303771769</v>
      </c>
      <c r="U21" s="120">
        <f t="shared" ref="U21:U22" si="2">O21+R21</f>
        <v>46.896865303771776</v>
      </c>
    </row>
    <row r="22" spans="1:22" x14ac:dyDescent="0.25">
      <c r="A22" s="195">
        <v>306000</v>
      </c>
      <c r="B22" s="196" t="s">
        <v>403</v>
      </c>
      <c r="C22" s="199">
        <v>54.32</v>
      </c>
      <c r="D22" s="199">
        <v>36.01</v>
      </c>
      <c r="F22" s="109" t="s">
        <v>464</v>
      </c>
      <c r="G22" s="152" t="s">
        <v>465</v>
      </c>
      <c r="I22" s="109">
        <v>0</v>
      </c>
      <c r="J22" s="109">
        <v>12</v>
      </c>
      <c r="K22" s="112">
        <v>1000</v>
      </c>
      <c r="L22" s="111">
        <v>90270</v>
      </c>
      <c r="M22" s="109">
        <v>0.9</v>
      </c>
      <c r="O22" s="111">
        <f>(L22*(1-S22/100)*(1+$C$5)^J22)*($C$5/((1+$C$5)^J22-1))*(1/K22)</f>
        <v>10.767137442192499</v>
      </c>
      <c r="P22" s="119">
        <f>L22*M22/(K22*J22)</f>
        <v>6.7702499999999999</v>
      </c>
      <c r="Q22" s="119">
        <f>$D$7*I22*$C$7</f>
        <v>0</v>
      </c>
      <c r="S22" s="112"/>
      <c r="T22" s="120">
        <f t="shared" si="1"/>
        <v>17.5373874421925</v>
      </c>
      <c r="U22" s="120">
        <f t="shared" si="2"/>
        <v>10.767137442192499</v>
      </c>
    </row>
    <row r="23" spans="1:22" x14ac:dyDescent="0.25">
      <c r="A23" s="195">
        <v>316060</v>
      </c>
      <c r="B23" s="196" t="s">
        <v>143</v>
      </c>
      <c r="C23" s="198">
        <v>256.64999999999998</v>
      </c>
      <c r="D23" s="199">
        <v>78.77</v>
      </c>
    </row>
    <row r="24" spans="1:22" x14ac:dyDescent="0.25">
      <c r="A24" s="195">
        <v>326060</v>
      </c>
      <c r="B24" s="196" t="s">
        <v>389</v>
      </c>
      <c r="C24" s="198">
        <v>275.95</v>
      </c>
      <c r="D24" s="199">
        <v>82.97</v>
      </c>
    </row>
    <row r="25" spans="1:22" x14ac:dyDescent="0.25">
      <c r="A25" s="195">
        <v>336060</v>
      </c>
      <c r="B25" s="196" t="s">
        <v>390</v>
      </c>
      <c r="C25" s="198">
        <v>300.79000000000002</v>
      </c>
      <c r="D25" s="199">
        <v>88.4</v>
      </c>
    </row>
    <row r="26" spans="1:22" x14ac:dyDescent="0.25">
      <c r="A26" s="195">
        <v>313180</v>
      </c>
      <c r="B26" s="196" t="s">
        <v>164</v>
      </c>
      <c r="C26" s="198">
        <v>383.7</v>
      </c>
      <c r="D26" s="199">
        <v>96.82</v>
      </c>
    </row>
    <row r="27" spans="1:22" x14ac:dyDescent="0.25">
      <c r="A27" s="195">
        <v>323180</v>
      </c>
      <c r="B27" s="196" t="s">
        <v>165</v>
      </c>
      <c r="C27" s="198">
        <v>410.9</v>
      </c>
      <c r="D27" s="198">
        <v>102.74</v>
      </c>
    </row>
    <row r="28" spans="1:22" ht="15" x14ac:dyDescent="0.25">
      <c r="A28" s="195">
        <v>333180</v>
      </c>
      <c r="B28" s="196" t="s">
        <v>166</v>
      </c>
      <c r="C28" s="198">
        <v>445.9</v>
      </c>
      <c r="D28" s="198">
        <v>110.39</v>
      </c>
      <c r="G28" s="115"/>
      <c r="H28"/>
    </row>
    <row r="29" spans="1:22" x14ac:dyDescent="0.2">
      <c r="A29" s="195"/>
      <c r="B29" s="196" t="s">
        <v>475</v>
      </c>
      <c r="C29" s="198"/>
      <c r="D29" s="198"/>
      <c r="G29" s="111"/>
      <c r="H29" s="116" t="s">
        <v>376</v>
      </c>
      <c r="M29" s="116" t="s">
        <v>387</v>
      </c>
    </row>
    <row r="30" spans="1:22" x14ac:dyDescent="0.25">
      <c r="A30" s="195">
        <v>313140</v>
      </c>
      <c r="B30" s="196" t="s">
        <v>144</v>
      </c>
      <c r="C30" s="198">
        <v>298.35000000000002</v>
      </c>
      <c r="D30" s="199">
        <v>83.18</v>
      </c>
    </row>
    <row r="31" spans="1:22" x14ac:dyDescent="0.25">
      <c r="A31" s="195">
        <v>323140</v>
      </c>
      <c r="B31" s="196" t="s">
        <v>145</v>
      </c>
      <c r="C31" s="198">
        <v>319.57</v>
      </c>
      <c r="D31" s="199">
        <v>87.8</v>
      </c>
      <c r="G31" s="118"/>
    </row>
    <row r="32" spans="1:22" x14ac:dyDescent="0.25">
      <c r="A32" s="195">
        <v>333140</v>
      </c>
      <c r="B32" s="196" t="s">
        <v>146</v>
      </c>
      <c r="C32" s="198">
        <v>346.9</v>
      </c>
      <c r="D32" s="199">
        <v>93.77</v>
      </c>
    </row>
    <row r="33" spans="1:13" ht="15" x14ac:dyDescent="0.25">
      <c r="A33" s="195">
        <v>321800</v>
      </c>
      <c r="B33" s="196" t="s">
        <v>152</v>
      </c>
      <c r="C33" s="198">
        <v>321.66000000000003</v>
      </c>
      <c r="D33" s="199">
        <v>88.72</v>
      </c>
      <c r="H33"/>
    </row>
    <row r="34" spans="1:13" x14ac:dyDescent="0.2">
      <c r="A34" s="195">
        <v>321820</v>
      </c>
      <c r="B34" s="196" t="s">
        <v>154</v>
      </c>
      <c r="C34" s="198">
        <v>322.3</v>
      </c>
      <c r="D34" s="199">
        <v>89.01</v>
      </c>
      <c r="H34" s="116" t="s">
        <v>377</v>
      </c>
      <c r="M34" s="116" t="s">
        <v>388</v>
      </c>
    </row>
    <row r="35" spans="1:13" x14ac:dyDescent="0.25">
      <c r="A35" s="195">
        <v>322140</v>
      </c>
      <c r="B35" s="196" t="s">
        <v>163</v>
      </c>
      <c r="C35" s="198">
        <v>345.26</v>
      </c>
      <c r="D35" s="199">
        <v>89.33</v>
      </c>
    </row>
    <row r="36" spans="1:13" x14ac:dyDescent="0.25">
      <c r="A36" s="195">
        <v>336090</v>
      </c>
      <c r="B36" s="196" t="s">
        <v>159</v>
      </c>
      <c r="C36" s="198">
        <v>358.9</v>
      </c>
      <c r="D36" s="198">
        <v>102.25</v>
      </c>
    </row>
    <row r="37" spans="1:13" x14ac:dyDescent="0.25">
      <c r="A37" s="195">
        <v>343800</v>
      </c>
      <c r="B37" s="196" t="s">
        <v>404</v>
      </c>
      <c r="C37" s="198">
        <v>369.34</v>
      </c>
      <c r="D37" s="199">
        <v>77.31</v>
      </c>
    </row>
    <row r="38" spans="1:13" x14ac:dyDescent="0.25">
      <c r="A38" s="195">
        <v>346050</v>
      </c>
      <c r="B38" s="196" t="s">
        <v>177</v>
      </c>
      <c r="C38" s="198">
        <v>238.99</v>
      </c>
      <c r="D38" s="199">
        <v>75.56</v>
      </c>
    </row>
    <row r="39" spans="1:13" x14ac:dyDescent="0.2">
      <c r="A39" s="195">
        <v>346010</v>
      </c>
      <c r="B39" s="196" t="s">
        <v>179</v>
      </c>
      <c r="C39" s="198">
        <v>280.02</v>
      </c>
      <c r="D39" s="199">
        <v>72.91</v>
      </c>
      <c r="H39" s="116" t="s">
        <v>378</v>
      </c>
    </row>
    <row r="40" spans="1:13" x14ac:dyDescent="0.25">
      <c r="A40" s="195">
        <v>341800</v>
      </c>
      <c r="B40" s="196" t="s">
        <v>180</v>
      </c>
      <c r="C40" s="198">
        <v>283.14</v>
      </c>
      <c r="D40" s="199">
        <v>76.03</v>
      </c>
    </row>
    <row r="41" spans="1:13" x14ac:dyDescent="0.25">
      <c r="A41" s="195">
        <v>342300</v>
      </c>
      <c r="B41" s="196" t="s">
        <v>405</v>
      </c>
      <c r="C41" s="198">
        <v>243.27</v>
      </c>
      <c r="D41" s="199">
        <v>72.209999999999994</v>
      </c>
    </row>
    <row r="42" spans="1:13" x14ac:dyDescent="0.25">
      <c r="A42" s="195">
        <v>326280</v>
      </c>
      <c r="B42" s="196" t="s">
        <v>406</v>
      </c>
      <c r="C42" s="198">
        <v>344.9</v>
      </c>
      <c r="D42" s="199">
        <v>97.72</v>
      </c>
      <c r="H42" s="113"/>
      <c r="I42" s="113"/>
    </row>
    <row r="43" spans="1:13" x14ac:dyDescent="0.25">
      <c r="A43" s="195">
        <v>346020</v>
      </c>
      <c r="B43" s="196" t="s">
        <v>170</v>
      </c>
      <c r="C43" s="198">
        <v>275.76</v>
      </c>
      <c r="D43" s="199">
        <v>93.34</v>
      </c>
    </row>
    <row r="44" spans="1:13" x14ac:dyDescent="0.25">
      <c r="A44" s="195">
        <v>346090</v>
      </c>
      <c r="B44" s="196" t="s">
        <v>182</v>
      </c>
      <c r="C44" s="198">
        <v>204.78</v>
      </c>
      <c r="D44" s="199">
        <v>65.02</v>
      </c>
    </row>
    <row r="45" spans="1:13" x14ac:dyDescent="0.25">
      <c r="A45" s="195">
        <v>346000</v>
      </c>
      <c r="B45" s="196" t="s">
        <v>157</v>
      </c>
      <c r="C45" s="198">
        <v>242.7</v>
      </c>
      <c r="D45" s="199">
        <v>77.38</v>
      </c>
    </row>
    <row r="46" spans="1:13" x14ac:dyDescent="0.25">
      <c r="A46" s="195">
        <v>346080</v>
      </c>
      <c r="B46" s="196" t="s">
        <v>171</v>
      </c>
      <c r="C46" s="198">
        <v>192.49</v>
      </c>
      <c r="D46" s="199">
        <v>58.99</v>
      </c>
    </row>
    <row r="47" spans="1:13" x14ac:dyDescent="0.25">
      <c r="A47" s="195">
        <v>346220</v>
      </c>
      <c r="B47" s="196" t="s">
        <v>407</v>
      </c>
      <c r="C47" s="198">
        <v>346.81</v>
      </c>
      <c r="D47" s="198">
        <v>105.81</v>
      </c>
    </row>
    <row r="48" spans="1:13" x14ac:dyDescent="0.25">
      <c r="A48" s="195">
        <v>346030</v>
      </c>
      <c r="B48" s="196" t="s">
        <v>183</v>
      </c>
      <c r="C48" s="198">
        <v>253.06</v>
      </c>
      <c r="D48" s="199">
        <v>79.400000000000006</v>
      </c>
    </row>
    <row r="49" spans="1:4" x14ac:dyDescent="0.25">
      <c r="A49" s="195">
        <v>346060</v>
      </c>
      <c r="B49" s="196" t="s">
        <v>184</v>
      </c>
      <c r="C49" s="198">
        <v>252.29</v>
      </c>
      <c r="D49" s="199">
        <v>76.790000000000006</v>
      </c>
    </row>
    <row r="50" spans="1:4" x14ac:dyDescent="0.25">
      <c r="A50" s="195">
        <v>346070</v>
      </c>
      <c r="B50" s="196" t="s">
        <v>160</v>
      </c>
      <c r="C50" s="198">
        <v>247.13</v>
      </c>
      <c r="D50" s="199">
        <v>76.489999999999995</v>
      </c>
    </row>
    <row r="51" spans="1:4" x14ac:dyDescent="0.25">
      <c r="A51" s="195">
        <v>340030</v>
      </c>
      <c r="B51" s="196" t="s">
        <v>449</v>
      </c>
      <c r="C51" s="198">
        <v>352.72</v>
      </c>
      <c r="D51" s="198">
        <v>119.18</v>
      </c>
    </row>
    <row r="52" spans="1:4" x14ac:dyDescent="0.25">
      <c r="A52" s="195"/>
      <c r="B52" s="196" t="s">
        <v>474</v>
      </c>
      <c r="C52" s="198"/>
      <c r="D52" s="198"/>
    </row>
    <row r="53" spans="1:4" x14ac:dyDescent="0.25">
      <c r="A53" s="195">
        <v>370100</v>
      </c>
      <c r="B53" s="196" t="s">
        <v>408</v>
      </c>
      <c r="C53" s="198">
        <v>164.63</v>
      </c>
      <c r="D53" s="199">
        <v>48.33</v>
      </c>
    </row>
    <row r="54" spans="1:4" x14ac:dyDescent="0.25">
      <c r="A54" s="195">
        <v>370140</v>
      </c>
      <c r="B54" s="196" t="s">
        <v>409</v>
      </c>
      <c r="C54" s="198">
        <v>138.53</v>
      </c>
      <c r="D54" s="199">
        <v>22.23</v>
      </c>
    </row>
    <row r="55" spans="1:4" x14ac:dyDescent="0.25">
      <c r="A55" s="195">
        <v>320550</v>
      </c>
      <c r="B55" s="196" t="s">
        <v>410</v>
      </c>
      <c r="C55" s="198">
        <v>315.58999999999997</v>
      </c>
      <c r="D55" s="198">
        <v>117.99</v>
      </c>
    </row>
    <row r="56" spans="1:4" x14ac:dyDescent="0.25">
      <c r="A56" s="195">
        <v>319300</v>
      </c>
      <c r="B56" s="196" t="s">
        <v>35</v>
      </c>
      <c r="C56" s="198">
        <v>299.63</v>
      </c>
      <c r="D56" s="198">
        <v>109.84</v>
      </c>
    </row>
    <row r="57" spans="1:4" x14ac:dyDescent="0.25">
      <c r="A57" s="195">
        <v>329300</v>
      </c>
      <c r="B57" s="196" t="s">
        <v>37</v>
      </c>
      <c r="C57" s="198">
        <v>334.11</v>
      </c>
      <c r="D57" s="198">
        <v>118.28</v>
      </c>
    </row>
    <row r="58" spans="1:4" x14ac:dyDescent="0.25">
      <c r="A58" s="195">
        <v>339300</v>
      </c>
      <c r="B58" s="196" t="s">
        <v>38</v>
      </c>
      <c r="C58" s="198">
        <v>394.73</v>
      </c>
      <c r="D58" s="198">
        <v>129.59</v>
      </c>
    </row>
    <row r="59" spans="1:4" x14ac:dyDescent="0.25">
      <c r="A59" s="195">
        <v>319660</v>
      </c>
      <c r="B59" s="196" t="s">
        <v>411</v>
      </c>
      <c r="C59" s="198">
        <v>511.14</v>
      </c>
      <c r="D59" s="198">
        <v>189.28</v>
      </c>
    </row>
    <row r="60" spans="1:4" x14ac:dyDescent="0.25">
      <c r="A60" s="195">
        <v>329660</v>
      </c>
      <c r="B60" s="196" t="s">
        <v>412</v>
      </c>
      <c r="C60" s="198">
        <v>563.86</v>
      </c>
      <c r="D60" s="198">
        <v>206.65</v>
      </c>
    </row>
    <row r="61" spans="1:4" x14ac:dyDescent="0.25">
      <c r="A61" s="195">
        <v>339660</v>
      </c>
      <c r="B61" s="196" t="s">
        <v>413</v>
      </c>
      <c r="C61" s="198">
        <v>674.27</v>
      </c>
      <c r="D61" s="198">
        <v>229.91</v>
      </c>
    </row>
    <row r="62" spans="1:4" x14ac:dyDescent="0.25">
      <c r="A62" s="195">
        <v>306010</v>
      </c>
      <c r="B62" s="196" t="s">
        <v>43</v>
      </c>
      <c r="C62" s="198">
        <v>438.3</v>
      </c>
      <c r="D62" s="198">
        <v>319.87</v>
      </c>
    </row>
    <row r="63" spans="1:4" x14ac:dyDescent="0.25">
      <c r="A63" s="195">
        <v>301800</v>
      </c>
      <c r="B63" s="196" t="s">
        <v>196</v>
      </c>
      <c r="C63" s="197">
        <v>0.36</v>
      </c>
      <c r="D63" s="197">
        <v>0.25</v>
      </c>
    </row>
    <row r="64" spans="1:4" x14ac:dyDescent="0.25">
      <c r="A64" s="195">
        <v>310030</v>
      </c>
      <c r="B64" s="196" t="s">
        <v>44</v>
      </c>
      <c r="C64" s="198">
        <v>102.58</v>
      </c>
      <c r="D64" s="199">
        <v>84.87</v>
      </c>
    </row>
    <row r="65" spans="1:4" x14ac:dyDescent="0.25">
      <c r="A65" s="195">
        <v>300125</v>
      </c>
      <c r="B65" s="196" t="s">
        <v>391</v>
      </c>
      <c r="C65" s="198">
        <v>766.87</v>
      </c>
      <c r="D65" s="198">
        <v>255.77</v>
      </c>
    </row>
    <row r="66" spans="1:4" x14ac:dyDescent="0.25">
      <c r="A66" s="195">
        <v>340200</v>
      </c>
      <c r="B66" s="196" t="s">
        <v>197</v>
      </c>
      <c r="C66" s="199">
        <v>36.65</v>
      </c>
      <c r="D66" s="199">
        <v>27.05</v>
      </c>
    </row>
    <row r="67" spans="1:4" x14ac:dyDescent="0.25">
      <c r="A67" s="195">
        <v>340800</v>
      </c>
      <c r="B67" s="196" t="s">
        <v>198</v>
      </c>
      <c r="C67" s="199">
        <v>54.43</v>
      </c>
      <c r="D67" s="197">
        <v>8.7799999999999994</v>
      </c>
    </row>
    <row r="68" spans="1:4" x14ac:dyDescent="0.25">
      <c r="A68" s="195">
        <v>341200</v>
      </c>
      <c r="B68" s="196" t="s">
        <v>199</v>
      </c>
      <c r="C68" s="198">
        <v>109.05</v>
      </c>
      <c r="D68" s="199">
        <v>20.87</v>
      </c>
    </row>
    <row r="69" spans="1:4" x14ac:dyDescent="0.25">
      <c r="A69" s="195">
        <v>347000</v>
      </c>
      <c r="B69" s="196" t="s">
        <v>200</v>
      </c>
      <c r="C69" s="198">
        <v>293.27</v>
      </c>
      <c r="D69" s="199">
        <v>59.06</v>
      </c>
    </row>
    <row r="70" spans="1:4" x14ac:dyDescent="0.25">
      <c r="A70" s="195">
        <v>300510</v>
      </c>
      <c r="B70" s="196" t="s">
        <v>45</v>
      </c>
      <c r="C70" s="198">
        <v>727.01</v>
      </c>
      <c r="D70" s="198">
        <v>457.01</v>
      </c>
    </row>
    <row r="71" spans="1:4" x14ac:dyDescent="0.25">
      <c r="A71" s="195">
        <v>300130</v>
      </c>
      <c r="B71" s="196" t="s">
        <v>414</v>
      </c>
      <c r="C71" s="199">
        <v>13.28</v>
      </c>
      <c r="D71" s="197">
        <v>9.2799999999999994</v>
      </c>
    </row>
    <row r="72" spans="1:4" x14ac:dyDescent="0.25">
      <c r="A72" s="195">
        <v>340320</v>
      </c>
      <c r="B72" s="196" t="s">
        <v>156</v>
      </c>
      <c r="C72" s="198">
        <v>175.86</v>
      </c>
      <c r="D72" s="198">
        <v>133.32</v>
      </c>
    </row>
    <row r="73" spans="1:4" x14ac:dyDescent="0.25">
      <c r="A73" s="195">
        <v>300800</v>
      </c>
      <c r="B73" s="196" t="s">
        <v>201</v>
      </c>
      <c r="C73" s="197">
        <v>6.43</v>
      </c>
      <c r="D73" s="197">
        <v>4.57</v>
      </c>
    </row>
    <row r="74" spans="1:4" x14ac:dyDescent="0.25">
      <c r="A74" s="195">
        <v>370400</v>
      </c>
      <c r="B74" s="196" t="s">
        <v>415</v>
      </c>
      <c r="C74" s="198">
        <v>180.09</v>
      </c>
      <c r="D74" s="198">
        <v>135.44999999999999</v>
      </c>
    </row>
    <row r="75" spans="1:4" x14ac:dyDescent="0.25">
      <c r="A75" s="195">
        <v>370700</v>
      </c>
      <c r="B75" s="196" t="s">
        <v>161</v>
      </c>
      <c r="C75" s="198">
        <v>127.24</v>
      </c>
      <c r="D75" s="199">
        <v>98.29</v>
      </c>
    </row>
    <row r="76" spans="1:4" x14ac:dyDescent="0.25">
      <c r="A76" s="195">
        <v>316000</v>
      </c>
      <c r="B76" s="196" t="s">
        <v>175</v>
      </c>
      <c r="C76" s="199">
        <v>52.96</v>
      </c>
      <c r="D76" s="199">
        <v>13.62</v>
      </c>
    </row>
    <row r="77" spans="1:4" x14ac:dyDescent="0.25">
      <c r="A77" s="195">
        <v>370150</v>
      </c>
      <c r="B77" s="196" t="s">
        <v>167</v>
      </c>
      <c r="C77" s="198">
        <v>267.83999999999997</v>
      </c>
      <c r="D77" s="199">
        <v>94.74</v>
      </c>
    </row>
    <row r="78" spans="1:4" x14ac:dyDescent="0.25">
      <c r="A78" s="195">
        <v>370600</v>
      </c>
      <c r="B78" s="196" t="s">
        <v>132</v>
      </c>
      <c r="C78" s="199">
        <v>84.45</v>
      </c>
      <c r="D78" s="199">
        <v>54.84</v>
      </c>
    </row>
    <row r="79" spans="1:4" x14ac:dyDescent="0.25">
      <c r="A79" s="195">
        <v>311500</v>
      </c>
      <c r="B79" s="196" t="s">
        <v>55</v>
      </c>
      <c r="C79" s="198">
        <v>204.85</v>
      </c>
      <c r="D79" s="199">
        <v>83.51</v>
      </c>
    </row>
    <row r="80" spans="1:4" x14ac:dyDescent="0.25">
      <c r="A80" s="195">
        <v>321500</v>
      </c>
      <c r="B80" s="196" t="s">
        <v>56</v>
      </c>
      <c r="C80" s="198">
        <v>220.49</v>
      </c>
      <c r="D80" s="199">
        <v>89</v>
      </c>
    </row>
    <row r="81" spans="1:4" x14ac:dyDescent="0.25">
      <c r="A81" s="195">
        <v>331500</v>
      </c>
      <c r="B81" s="196" t="s">
        <v>57</v>
      </c>
      <c r="C81" s="198">
        <v>254</v>
      </c>
      <c r="D81" s="199">
        <v>96.34</v>
      </c>
    </row>
    <row r="82" spans="1:4" x14ac:dyDescent="0.25">
      <c r="A82" s="195">
        <v>313200</v>
      </c>
      <c r="B82" s="196" t="s">
        <v>46</v>
      </c>
      <c r="C82" s="198">
        <v>290.56</v>
      </c>
      <c r="D82" s="198">
        <v>113.12</v>
      </c>
    </row>
    <row r="83" spans="1:4" x14ac:dyDescent="0.25">
      <c r="A83" s="195">
        <v>323200</v>
      </c>
      <c r="B83" s="196" t="s">
        <v>47</v>
      </c>
      <c r="C83" s="198">
        <v>315.67</v>
      </c>
      <c r="D83" s="198">
        <v>121.93</v>
      </c>
    </row>
    <row r="84" spans="1:4" x14ac:dyDescent="0.25">
      <c r="A84" s="195">
        <v>333200</v>
      </c>
      <c r="B84" s="196" t="s">
        <v>48</v>
      </c>
      <c r="C84" s="198">
        <v>369.51</v>
      </c>
      <c r="D84" s="198">
        <v>133.72999999999999</v>
      </c>
    </row>
    <row r="85" spans="1:4" x14ac:dyDescent="0.25">
      <c r="A85" s="195">
        <v>313300</v>
      </c>
      <c r="B85" s="196" t="s">
        <v>49</v>
      </c>
      <c r="C85" s="198">
        <v>478.33</v>
      </c>
      <c r="D85" s="198">
        <v>155.28</v>
      </c>
    </row>
    <row r="86" spans="1:4" x14ac:dyDescent="0.25">
      <c r="A86" s="195">
        <v>323300</v>
      </c>
      <c r="B86" s="196" t="s">
        <v>50</v>
      </c>
      <c r="C86" s="198">
        <v>516.97</v>
      </c>
      <c r="D86" s="198">
        <v>168.84</v>
      </c>
    </row>
    <row r="87" spans="1:4" x14ac:dyDescent="0.25">
      <c r="A87" s="195">
        <v>333300</v>
      </c>
      <c r="B87" s="196" t="s">
        <v>51</v>
      </c>
      <c r="C87" s="198">
        <v>599.74</v>
      </c>
      <c r="D87" s="198">
        <v>186.98</v>
      </c>
    </row>
    <row r="88" spans="1:4" x14ac:dyDescent="0.25">
      <c r="A88" s="195">
        <v>320800</v>
      </c>
      <c r="B88" s="196" t="s">
        <v>416</v>
      </c>
      <c r="C88" s="198">
        <v>230.7</v>
      </c>
      <c r="D88" s="198">
        <v>106.2</v>
      </c>
    </row>
    <row r="89" spans="1:4" x14ac:dyDescent="0.25">
      <c r="A89" s="195">
        <v>330800</v>
      </c>
      <c r="B89" s="196" t="s">
        <v>417</v>
      </c>
      <c r="C89" s="198">
        <v>274.83</v>
      </c>
      <c r="D89" s="198">
        <v>115.87</v>
      </c>
    </row>
    <row r="90" spans="1:4" x14ac:dyDescent="0.25">
      <c r="A90" s="195">
        <v>310800</v>
      </c>
      <c r="B90" s="196" t="s">
        <v>418</v>
      </c>
      <c r="C90" s="198">
        <v>210.11</v>
      </c>
      <c r="D90" s="199">
        <v>98.97</v>
      </c>
    </row>
    <row r="91" spans="1:4" x14ac:dyDescent="0.25">
      <c r="A91" s="195">
        <v>370060</v>
      </c>
      <c r="B91" s="196" t="s">
        <v>148</v>
      </c>
      <c r="C91" s="198">
        <v>127.91</v>
      </c>
      <c r="D91" s="199">
        <v>61.3</v>
      </c>
    </row>
    <row r="92" spans="1:4" x14ac:dyDescent="0.25">
      <c r="A92" s="195">
        <v>370040</v>
      </c>
      <c r="B92" s="196" t="s">
        <v>176</v>
      </c>
      <c r="C92" s="198">
        <v>142.74</v>
      </c>
      <c r="D92" s="199">
        <v>68.069999999999993</v>
      </c>
    </row>
    <row r="93" spans="1:4" x14ac:dyDescent="0.25">
      <c r="A93" s="195">
        <v>390200</v>
      </c>
      <c r="B93" s="196" t="s">
        <v>59</v>
      </c>
      <c r="C93" s="198">
        <v>259.10000000000002</v>
      </c>
      <c r="D93" s="198">
        <v>157.1</v>
      </c>
    </row>
    <row r="94" spans="1:4" x14ac:dyDescent="0.25">
      <c r="A94" s="195">
        <v>390100</v>
      </c>
      <c r="B94" s="196" t="s">
        <v>60</v>
      </c>
      <c r="C94" s="199">
        <v>43.86</v>
      </c>
      <c r="D94" s="199">
        <v>31.8</v>
      </c>
    </row>
    <row r="95" spans="1:4" x14ac:dyDescent="0.25">
      <c r="A95" s="195">
        <v>300010</v>
      </c>
      <c r="B95" s="196" t="s">
        <v>173</v>
      </c>
      <c r="C95" s="197">
        <v>3.89</v>
      </c>
      <c r="D95" s="197">
        <v>2.72</v>
      </c>
    </row>
    <row r="96" spans="1:4" x14ac:dyDescent="0.25">
      <c r="A96" s="195">
        <v>351500</v>
      </c>
      <c r="B96" s="196" t="s">
        <v>419</v>
      </c>
      <c r="C96" s="200">
        <v>1235.0899999999999</v>
      </c>
      <c r="D96" s="198">
        <v>559.36</v>
      </c>
    </row>
    <row r="97" spans="1:4" x14ac:dyDescent="0.25">
      <c r="A97" s="195">
        <v>351000</v>
      </c>
      <c r="B97" s="196" t="s">
        <v>450</v>
      </c>
      <c r="C97" s="198">
        <v>728.35</v>
      </c>
      <c r="D97" s="198">
        <v>315.33</v>
      </c>
    </row>
    <row r="98" spans="1:4" x14ac:dyDescent="0.25">
      <c r="A98" s="195">
        <v>352000</v>
      </c>
      <c r="B98" s="196" t="s">
        <v>63</v>
      </c>
      <c r="C98" s="200">
        <v>1900.6</v>
      </c>
      <c r="D98" s="198">
        <v>748.49</v>
      </c>
    </row>
    <row r="99" spans="1:4" x14ac:dyDescent="0.25">
      <c r="A99" s="195">
        <v>371200</v>
      </c>
      <c r="B99" s="196" t="s">
        <v>202</v>
      </c>
      <c r="C99" s="197">
        <v>0.26</v>
      </c>
      <c r="D99" s="197">
        <v>0.19</v>
      </c>
    </row>
    <row r="100" spans="1:4" x14ac:dyDescent="0.25">
      <c r="A100" s="195">
        <v>344000</v>
      </c>
      <c r="B100" s="196" t="s">
        <v>420</v>
      </c>
      <c r="C100" s="198">
        <v>106.25</v>
      </c>
      <c r="D100" s="199">
        <v>20.8</v>
      </c>
    </row>
    <row r="101" spans="1:4" x14ac:dyDescent="0.25">
      <c r="A101" s="195">
        <v>300240</v>
      </c>
      <c r="B101" s="196" t="s">
        <v>203</v>
      </c>
      <c r="C101" s="197">
        <v>6.52</v>
      </c>
      <c r="D101" s="197">
        <v>4.5599999999999996</v>
      </c>
    </row>
    <row r="102" spans="1:4" x14ac:dyDescent="0.25">
      <c r="A102" s="195">
        <v>340400</v>
      </c>
      <c r="B102" s="196" t="s">
        <v>204</v>
      </c>
      <c r="C102" s="199">
        <v>54.08</v>
      </c>
      <c r="D102" s="197">
        <v>8.08</v>
      </c>
    </row>
    <row r="103" spans="1:4" x14ac:dyDescent="0.25">
      <c r="A103" s="195">
        <v>340610</v>
      </c>
      <c r="B103" s="196" t="s">
        <v>205</v>
      </c>
      <c r="C103" s="199">
        <v>69.52</v>
      </c>
      <c r="D103" s="197">
        <v>8.7899999999999991</v>
      </c>
    </row>
    <row r="104" spans="1:4" x14ac:dyDescent="0.25">
      <c r="A104" s="195">
        <v>340300</v>
      </c>
      <c r="B104" s="196" t="s">
        <v>421</v>
      </c>
      <c r="C104" s="199">
        <v>20.53</v>
      </c>
      <c r="D104" s="197">
        <v>0.43</v>
      </c>
    </row>
    <row r="105" spans="1:4" x14ac:dyDescent="0.25">
      <c r="A105" s="195">
        <v>341810</v>
      </c>
      <c r="B105" s="196" t="s">
        <v>206</v>
      </c>
      <c r="C105" s="198">
        <v>172.27</v>
      </c>
      <c r="D105" s="199">
        <v>11.37</v>
      </c>
    </row>
    <row r="106" spans="1:4" x14ac:dyDescent="0.25">
      <c r="A106" s="195">
        <v>343600</v>
      </c>
      <c r="B106" s="196" t="s">
        <v>207</v>
      </c>
      <c r="C106" s="198">
        <v>450.85</v>
      </c>
      <c r="D106" s="199">
        <v>35.15</v>
      </c>
    </row>
    <row r="107" spans="1:4" x14ac:dyDescent="0.25">
      <c r="A107" s="183">
        <v>396920</v>
      </c>
      <c r="B107" s="184" t="s">
        <v>458</v>
      </c>
      <c r="C107" s="172"/>
      <c r="D107" s="173"/>
    </row>
    <row r="108" spans="1:4" x14ac:dyDescent="0.25">
      <c r="A108" s="195">
        <v>337000</v>
      </c>
      <c r="B108" s="196" t="s">
        <v>208</v>
      </c>
      <c r="C108" s="197">
        <v>6.64</v>
      </c>
      <c r="D108" s="197">
        <v>2.31</v>
      </c>
    </row>
    <row r="109" spans="1:4" x14ac:dyDescent="0.25">
      <c r="A109" s="195">
        <v>370440</v>
      </c>
      <c r="B109" s="196" t="s">
        <v>162</v>
      </c>
      <c r="C109" s="198">
        <v>220.87</v>
      </c>
      <c r="D109" s="199">
        <v>98.29</v>
      </c>
    </row>
    <row r="110" spans="1:4" x14ac:dyDescent="0.25">
      <c r="A110" s="195">
        <v>307050</v>
      </c>
      <c r="B110" s="196" t="s">
        <v>422</v>
      </c>
      <c r="C110" s="197">
        <v>0.97</v>
      </c>
      <c r="D110" s="197">
        <v>0.68</v>
      </c>
    </row>
    <row r="111" spans="1:4" x14ac:dyDescent="0.25">
      <c r="A111" s="195">
        <v>307000</v>
      </c>
      <c r="B111" s="196" t="s">
        <v>209</v>
      </c>
      <c r="C111" s="197">
        <v>6.73</v>
      </c>
      <c r="D111" s="197">
        <v>4.7</v>
      </c>
    </row>
    <row r="112" spans="1:4" x14ac:dyDescent="0.25">
      <c r="A112" s="195">
        <v>300050</v>
      </c>
      <c r="B112" s="196" t="s">
        <v>210</v>
      </c>
      <c r="C112" s="197">
        <v>3.09</v>
      </c>
      <c r="D112" s="197">
        <v>2.16</v>
      </c>
    </row>
    <row r="113" spans="1:4" x14ac:dyDescent="0.25">
      <c r="A113" s="195">
        <v>370020</v>
      </c>
      <c r="B113" s="196" t="s">
        <v>138</v>
      </c>
      <c r="C113" s="198">
        <v>226.94</v>
      </c>
      <c r="D113" s="199">
        <v>77.81</v>
      </c>
    </row>
    <row r="114" spans="1:4" x14ac:dyDescent="0.25">
      <c r="A114" s="195">
        <v>370030</v>
      </c>
      <c r="B114" s="196" t="s">
        <v>139</v>
      </c>
      <c r="C114" s="198">
        <v>230.02</v>
      </c>
      <c r="D114" s="199">
        <v>79.319999999999993</v>
      </c>
    </row>
    <row r="115" spans="1:4" x14ac:dyDescent="0.25">
      <c r="A115" s="195">
        <v>344500</v>
      </c>
      <c r="B115" s="196" t="s">
        <v>133</v>
      </c>
      <c r="C115" s="199">
        <v>56.1</v>
      </c>
      <c r="D115" s="199">
        <v>36.43</v>
      </c>
    </row>
    <row r="116" spans="1:4" x14ac:dyDescent="0.25">
      <c r="A116" s="195">
        <v>352500</v>
      </c>
      <c r="B116" s="196" t="s">
        <v>65</v>
      </c>
      <c r="C116" s="198">
        <v>251.49</v>
      </c>
      <c r="D116" s="198">
        <v>103.2</v>
      </c>
    </row>
    <row r="117" spans="1:4" x14ac:dyDescent="0.25">
      <c r="A117" s="195">
        <v>312000</v>
      </c>
      <c r="B117" s="196" t="s">
        <v>66</v>
      </c>
      <c r="C117" s="198">
        <v>251.49</v>
      </c>
      <c r="D117" s="198">
        <v>103.2</v>
      </c>
    </row>
    <row r="118" spans="1:4" x14ac:dyDescent="0.25">
      <c r="A118" s="195">
        <v>327530</v>
      </c>
      <c r="B118" s="196" t="s">
        <v>423</v>
      </c>
      <c r="C118" s="198">
        <v>142.86000000000001</v>
      </c>
      <c r="D118" s="199">
        <v>62.11</v>
      </c>
    </row>
    <row r="119" spans="1:4" x14ac:dyDescent="0.25">
      <c r="A119" s="195">
        <v>311400</v>
      </c>
      <c r="B119" s="196" t="s">
        <v>73</v>
      </c>
      <c r="C119" s="198">
        <v>387.86</v>
      </c>
      <c r="D119" s="198">
        <v>123.7</v>
      </c>
    </row>
    <row r="120" spans="1:4" x14ac:dyDescent="0.25">
      <c r="A120" s="195">
        <v>321400</v>
      </c>
      <c r="B120" s="196" t="s">
        <v>74</v>
      </c>
      <c r="C120" s="198">
        <v>436.08</v>
      </c>
      <c r="D120" s="198">
        <v>140.19</v>
      </c>
    </row>
    <row r="121" spans="1:4" x14ac:dyDescent="0.25">
      <c r="A121" s="195">
        <v>331400</v>
      </c>
      <c r="B121" s="196" t="s">
        <v>75</v>
      </c>
      <c r="C121" s="198">
        <v>509.88</v>
      </c>
      <c r="D121" s="198">
        <v>167.92</v>
      </c>
    </row>
    <row r="122" spans="1:4" x14ac:dyDescent="0.25">
      <c r="A122" s="195">
        <v>311200</v>
      </c>
      <c r="B122" s="196" t="s">
        <v>67</v>
      </c>
      <c r="C122" s="198">
        <v>317.51</v>
      </c>
      <c r="D122" s="198">
        <v>110.81</v>
      </c>
    </row>
    <row r="123" spans="1:4" x14ac:dyDescent="0.25">
      <c r="A123" s="195">
        <v>321200</v>
      </c>
      <c r="B123" s="196" t="s">
        <v>68</v>
      </c>
      <c r="C123" s="198">
        <v>358.75</v>
      </c>
      <c r="D123" s="198">
        <v>124.91</v>
      </c>
    </row>
    <row r="124" spans="1:4" x14ac:dyDescent="0.25">
      <c r="A124" s="195">
        <v>331200</v>
      </c>
      <c r="B124" s="196" t="s">
        <v>69</v>
      </c>
      <c r="C124" s="198">
        <v>421.87</v>
      </c>
      <c r="D124" s="198">
        <v>148.63</v>
      </c>
    </row>
    <row r="125" spans="1:4" x14ac:dyDescent="0.25">
      <c r="A125" s="195">
        <v>310400</v>
      </c>
      <c r="B125" s="196" t="s">
        <v>70</v>
      </c>
      <c r="C125" s="198">
        <v>387.86</v>
      </c>
      <c r="D125" s="198">
        <v>123.7</v>
      </c>
    </row>
    <row r="126" spans="1:4" x14ac:dyDescent="0.25">
      <c r="A126" s="195">
        <v>320400</v>
      </c>
      <c r="B126" s="196" t="s">
        <v>71</v>
      </c>
      <c r="C126" s="198">
        <v>436.08</v>
      </c>
      <c r="D126" s="198">
        <v>140.19</v>
      </c>
    </row>
    <row r="127" spans="1:4" x14ac:dyDescent="0.25">
      <c r="A127" s="195">
        <v>330400</v>
      </c>
      <c r="B127" s="196" t="s">
        <v>72</v>
      </c>
      <c r="C127" s="198">
        <v>509.88</v>
      </c>
      <c r="D127" s="198">
        <v>167.92</v>
      </c>
    </row>
    <row r="128" spans="1:4" x14ac:dyDescent="0.25">
      <c r="A128" s="195">
        <v>370250</v>
      </c>
      <c r="B128" s="196" t="s">
        <v>211</v>
      </c>
      <c r="C128" s="197">
        <v>3.61</v>
      </c>
      <c r="D128" s="197">
        <v>0.38</v>
      </c>
    </row>
    <row r="129" spans="1:4" x14ac:dyDescent="0.25">
      <c r="A129" s="195">
        <v>370200</v>
      </c>
      <c r="B129" s="196" t="s">
        <v>424</v>
      </c>
      <c r="C129" s="197">
        <v>4.8899999999999997</v>
      </c>
      <c r="D129" s="197">
        <v>0.21</v>
      </c>
    </row>
    <row r="130" spans="1:4" x14ac:dyDescent="0.25">
      <c r="A130" s="195">
        <v>323104</v>
      </c>
      <c r="B130" s="196" t="s">
        <v>392</v>
      </c>
      <c r="C130" s="200">
        <v>1065.73</v>
      </c>
      <c r="D130" s="198">
        <v>534.13</v>
      </c>
    </row>
    <row r="131" spans="1:4" x14ac:dyDescent="0.25">
      <c r="A131" s="195">
        <v>325125</v>
      </c>
      <c r="B131" s="196" t="s">
        <v>76</v>
      </c>
      <c r="C131" s="200">
        <v>1243.73</v>
      </c>
      <c r="D131" s="198">
        <v>636.02</v>
      </c>
    </row>
    <row r="132" spans="1:4" x14ac:dyDescent="0.25">
      <c r="A132" s="195">
        <v>307100</v>
      </c>
      <c r="B132" s="196" t="s">
        <v>212</v>
      </c>
      <c r="C132" s="197">
        <v>6.72</v>
      </c>
      <c r="D132" s="197">
        <v>4.7300000000000004</v>
      </c>
    </row>
    <row r="133" spans="1:4" x14ac:dyDescent="0.25">
      <c r="A133" s="195">
        <v>305710</v>
      </c>
      <c r="B133" s="196" t="s">
        <v>213</v>
      </c>
      <c r="C133" s="197">
        <v>6.28</v>
      </c>
      <c r="D133" s="197">
        <v>4.42</v>
      </c>
    </row>
    <row r="134" spans="1:4" x14ac:dyDescent="0.25">
      <c r="A134" s="195">
        <v>306580</v>
      </c>
      <c r="B134" s="196" t="s">
        <v>214</v>
      </c>
      <c r="C134" s="197">
        <v>7.3</v>
      </c>
      <c r="D134" s="197">
        <v>5.14</v>
      </c>
    </row>
    <row r="135" spans="1:4" x14ac:dyDescent="0.25">
      <c r="A135" s="168">
        <v>399798</v>
      </c>
      <c r="B135" s="169" t="s">
        <v>456</v>
      </c>
      <c r="C135" s="170"/>
      <c r="D135" s="171"/>
    </row>
    <row r="136" spans="1:4" x14ac:dyDescent="0.25">
      <c r="A136" s="168">
        <v>399516</v>
      </c>
      <c r="B136" s="169" t="s">
        <v>460</v>
      </c>
      <c r="C136" s="170"/>
      <c r="D136" s="171"/>
    </row>
    <row r="137" spans="1:4" x14ac:dyDescent="0.25">
      <c r="A137" s="168">
        <v>399517</v>
      </c>
      <c r="B137" s="185" t="s">
        <v>457</v>
      </c>
      <c r="C137" s="170"/>
      <c r="D137" s="171"/>
    </row>
    <row r="138" spans="1:4" x14ac:dyDescent="0.25">
      <c r="A138" s="195">
        <v>300030</v>
      </c>
      <c r="B138" s="196" t="s">
        <v>187</v>
      </c>
      <c r="C138" s="199">
        <v>31.18</v>
      </c>
      <c r="D138" s="199">
        <v>22.13</v>
      </c>
    </row>
    <row r="139" spans="1:4" x14ac:dyDescent="0.25">
      <c r="A139" s="195">
        <v>325020</v>
      </c>
      <c r="B139" s="196" t="s">
        <v>77</v>
      </c>
      <c r="C139" s="200">
        <v>1950.82</v>
      </c>
      <c r="D139" s="198">
        <v>746.05</v>
      </c>
    </row>
    <row r="140" spans="1:4" x14ac:dyDescent="0.25">
      <c r="A140" s="195">
        <v>325010</v>
      </c>
      <c r="B140" s="196" t="s">
        <v>78</v>
      </c>
      <c r="C140" s="200">
        <v>2235.2399999999998</v>
      </c>
      <c r="D140" s="198">
        <v>894.91</v>
      </c>
    </row>
    <row r="141" spans="1:4" x14ac:dyDescent="0.25">
      <c r="A141" s="195">
        <v>325200</v>
      </c>
      <c r="B141" s="196" t="s">
        <v>425</v>
      </c>
      <c r="C141" s="200">
        <v>2426.79</v>
      </c>
      <c r="D141" s="200">
        <v>1094.07</v>
      </c>
    </row>
    <row r="142" spans="1:4" x14ac:dyDescent="0.25">
      <c r="A142" s="195">
        <v>325250</v>
      </c>
      <c r="B142" s="196" t="s">
        <v>81</v>
      </c>
      <c r="C142" s="200">
        <v>2482.0500000000002</v>
      </c>
      <c r="D142" s="200">
        <v>1061.3</v>
      </c>
    </row>
    <row r="143" spans="1:4" x14ac:dyDescent="0.25">
      <c r="A143" s="195">
        <v>325150</v>
      </c>
      <c r="B143" s="196" t="s">
        <v>426</v>
      </c>
      <c r="C143" s="200">
        <v>1541.1</v>
      </c>
      <c r="D143" s="198">
        <v>681.84</v>
      </c>
    </row>
    <row r="144" spans="1:4" x14ac:dyDescent="0.25">
      <c r="A144" s="195">
        <v>371150</v>
      </c>
      <c r="B144" s="196" t="s">
        <v>82</v>
      </c>
      <c r="C144" s="199">
        <v>19.91</v>
      </c>
      <c r="D144" s="197">
        <v>3.59</v>
      </c>
    </row>
    <row r="145" spans="1:4" x14ac:dyDescent="0.25">
      <c r="A145" s="195">
        <v>312520</v>
      </c>
      <c r="B145" s="196" t="s">
        <v>83</v>
      </c>
      <c r="C145" s="198">
        <v>145.66999999999999</v>
      </c>
      <c r="D145" s="199">
        <v>56.32</v>
      </c>
    </row>
    <row r="146" spans="1:4" x14ac:dyDescent="0.25">
      <c r="A146" s="195">
        <v>322520</v>
      </c>
      <c r="B146" s="196" t="s">
        <v>84</v>
      </c>
      <c r="C146" s="198">
        <v>159.4</v>
      </c>
      <c r="D146" s="199">
        <v>58.95</v>
      </c>
    </row>
    <row r="147" spans="1:4" x14ac:dyDescent="0.25">
      <c r="A147" s="195">
        <v>332520</v>
      </c>
      <c r="B147" s="196" t="s">
        <v>85</v>
      </c>
      <c r="C147" s="198">
        <v>177.07</v>
      </c>
      <c r="D147" s="199">
        <v>62.35</v>
      </c>
    </row>
    <row r="148" spans="1:4" x14ac:dyDescent="0.25">
      <c r="A148" s="195">
        <v>342200</v>
      </c>
      <c r="B148" s="196" t="s">
        <v>215</v>
      </c>
      <c r="C148" s="197">
        <v>3.44</v>
      </c>
      <c r="D148" s="197">
        <v>0.26</v>
      </c>
    </row>
    <row r="149" spans="1:4" x14ac:dyDescent="0.25">
      <c r="A149" s="195">
        <v>340140</v>
      </c>
      <c r="B149" s="196" t="s">
        <v>86</v>
      </c>
      <c r="C149" s="198">
        <v>179.59</v>
      </c>
      <c r="D149" s="199">
        <v>71.599999999999994</v>
      </c>
    </row>
    <row r="150" spans="1:4" x14ac:dyDescent="0.25">
      <c r="A150" s="195">
        <v>340150</v>
      </c>
      <c r="B150" s="196" t="s">
        <v>87</v>
      </c>
      <c r="C150" s="198">
        <v>215.46</v>
      </c>
      <c r="D150" s="199">
        <v>83.18</v>
      </c>
    </row>
    <row r="151" spans="1:4" x14ac:dyDescent="0.25">
      <c r="A151" s="195">
        <v>345500</v>
      </c>
      <c r="B151" s="196" t="s">
        <v>88</v>
      </c>
      <c r="C151" s="198">
        <v>286.70999999999998</v>
      </c>
      <c r="D151" s="198">
        <v>106.07</v>
      </c>
    </row>
    <row r="152" spans="1:4" x14ac:dyDescent="0.25">
      <c r="A152" s="195">
        <v>340210</v>
      </c>
      <c r="B152" s="196" t="s">
        <v>89</v>
      </c>
      <c r="C152" s="198">
        <v>240.75</v>
      </c>
      <c r="D152" s="199">
        <v>91.84</v>
      </c>
    </row>
    <row r="153" spans="1:4" x14ac:dyDescent="0.25">
      <c r="A153" s="195">
        <v>340270</v>
      </c>
      <c r="B153" s="196" t="s">
        <v>90</v>
      </c>
      <c r="C153" s="198">
        <v>270.93</v>
      </c>
      <c r="D153" s="198">
        <v>104.27</v>
      </c>
    </row>
    <row r="154" spans="1:4" x14ac:dyDescent="0.25">
      <c r="A154" s="195">
        <v>340110</v>
      </c>
      <c r="B154" s="196" t="s">
        <v>91</v>
      </c>
      <c r="C154" s="199">
        <v>77.14</v>
      </c>
      <c r="D154" s="199">
        <v>49.38</v>
      </c>
    </row>
    <row r="155" spans="1:4" x14ac:dyDescent="0.25">
      <c r="A155" s="195">
        <v>342220</v>
      </c>
      <c r="B155" s="196" t="s">
        <v>427</v>
      </c>
      <c r="C155" s="198">
        <v>235.03</v>
      </c>
      <c r="D155" s="199">
        <v>89.13</v>
      </c>
    </row>
    <row r="156" spans="1:4" x14ac:dyDescent="0.25">
      <c r="A156" s="195">
        <v>340100</v>
      </c>
      <c r="B156" s="196" t="s">
        <v>94</v>
      </c>
      <c r="C156" s="198">
        <v>143.08000000000001</v>
      </c>
      <c r="D156" s="199">
        <v>69.28</v>
      </c>
    </row>
    <row r="157" spans="1:4" x14ac:dyDescent="0.25">
      <c r="A157" s="195">
        <v>340620</v>
      </c>
      <c r="B157" s="196" t="s">
        <v>92</v>
      </c>
      <c r="C157" s="198">
        <v>199.04</v>
      </c>
      <c r="D157" s="199">
        <v>95.21</v>
      </c>
    </row>
    <row r="158" spans="1:4" x14ac:dyDescent="0.25">
      <c r="A158" s="195">
        <v>341840</v>
      </c>
      <c r="B158" s="196" t="s">
        <v>95</v>
      </c>
      <c r="C158" s="198">
        <v>251.23</v>
      </c>
      <c r="D158" s="199">
        <v>88.12</v>
      </c>
    </row>
    <row r="159" spans="1:4" x14ac:dyDescent="0.25">
      <c r="A159" s="195">
        <v>341150</v>
      </c>
      <c r="B159" s="196" t="s">
        <v>428</v>
      </c>
      <c r="C159" s="198">
        <v>175.67</v>
      </c>
      <c r="D159" s="199">
        <v>70.91</v>
      </c>
    </row>
    <row r="160" spans="1:4" x14ac:dyDescent="0.25">
      <c r="A160" s="195">
        <v>340250</v>
      </c>
      <c r="B160" s="196" t="s">
        <v>429</v>
      </c>
      <c r="C160" s="198">
        <v>269.43</v>
      </c>
      <c r="D160" s="199">
        <v>96.34</v>
      </c>
    </row>
    <row r="161" spans="1:4" x14ac:dyDescent="0.25">
      <c r="A161" s="195">
        <v>341680</v>
      </c>
      <c r="B161" s="196" t="s">
        <v>98</v>
      </c>
      <c r="C161" s="198">
        <v>212.25</v>
      </c>
      <c r="D161" s="199">
        <v>81.37</v>
      </c>
    </row>
    <row r="162" spans="1:4" x14ac:dyDescent="0.25">
      <c r="A162" s="195">
        <v>340840</v>
      </c>
      <c r="B162" s="196" t="s">
        <v>99</v>
      </c>
      <c r="C162" s="198">
        <v>249.78</v>
      </c>
      <c r="D162" s="199">
        <v>87.3</v>
      </c>
    </row>
    <row r="163" spans="1:4" x14ac:dyDescent="0.25">
      <c r="A163" s="195">
        <v>300310</v>
      </c>
      <c r="B163" s="196" t="s">
        <v>430</v>
      </c>
      <c r="C163" s="197">
        <v>4.28</v>
      </c>
      <c r="D163" s="197">
        <v>2.99</v>
      </c>
    </row>
    <row r="164" spans="1:4" x14ac:dyDescent="0.25">
      <c r="A164" s="195">
        <v>370130</v>
      </c>
      <c r="B164" s="196" t="s">
        <v>216</v>
      </c>
      <c r="C164" s="197">
        <v>0.56000000000000005</v>
      </c>
      <c r="D164" s="197">
        <v>0.4</v>
      </c>
    </row>
    <row r="165" spans="1:4" x14ac:dyDescent="0.25">
      <c r="A165" s="195">
        <v>370120</v>
      </c>
      <c r="B165" s="196" t="s">
        <v>217</v>
      </c>
      <c r="C165" s="199">
        <v>20.48</v>
      </c>
      <c r="D165" s="197">
        <v>0.4</v>
      </c>
    </row>
    <row r="166" spans="1:4" x14ac:dyDescent="0.25">
      <c r="A166" s="195">
        <v>371000</v>
      </c>
      <c r="B166" s="196" t="s">
        <v>431</v>
      </c>
      <c r="C166" s="199">
        <v>46.84</v>
      </c>
      <c r="D166" s="199">
        <v>28.76</v>
      </c>
    </row>
    <row r="167" spans="1:4" x14ac:dyDescent="0.25">
      <c r="A167" s="195">
        <v>371050</v>
      </c>
      <c r="B167" s="196" t="s">
        <v>432</v>
      </c>
      <c r="C167" s="199">
        <v>47.74</v>
      </c>
      <c r="D167" s="199">
        <v>27.28</v>
      </c>
    </row>
    <row r="168" spans="1:4" x14ac:dyDescent="0.25">
      <c r="A168" s="195">
        <v>371100</v>
      </c>
      <c r="B168" s="196" t="s">
        <v>218</v>
      </c>
      <c r="C168" s="197">
        <v>7.0000000000000007E-2</v>
      </c>
      <c r="D168" s="197">
        <v>0.05</v>
      </c>
    </row>
    <row r="169" spans="1:4" x14ac:dyDescent="0.25">
      <c r="A169" s="195">
        <v>337050</v>
      </c>
      <c r="B169" s="196" t="s">
        <v>219</v>
      </c>
      <c r="C169" s="197">
        <v>5.48</v>
      </c>
      <c r="D169" s="197">
        <v>0.62</v>
      </c>
    </row>
    <row r="170" spans="1:4" x14ac:dyDescent="0.25">
      <c r="A170" s="195">
        <v>381000</v>
      </c>
      <c r="B170" s="196" t="s">
        <v>220</v>
      </c>
      <c r="C170" s="197">
        <v>0.11</v>
      </c>
      <c r="D170" s="197">
        <v>0.08</v>
      </c>
    </row>
    <row r="171" spans="1:4" x14ac:dyDescent="0.25">
      <c r="A171" s="195">
        <v>300060</v>
      </c>
      <c r="B171" s="196" t="s">
        <v>134</v>
      </c>
      <c r="C171" s="199">
        <v>16.25</v>
      </c>
      <c r="D171" s="197">
        <v>9.51</v>
      </c>
    </row>
    <row r="172" spans="1:4" x14ac:dyDescent="0.25">
      <c r="A172" s="195">
        <v>300220</v>
      </c>
      <c r="B172" s="196" t="s">
        <v>100</v>
      </c>
      <c r="C172" s="198">
        <v>149.91</v>
      </c>
      <c r="D172" s="199">
        <v>42.55</v>
      </c>
    </row>
    <row r="173" spans="1:4" x14ac:dyDescent="0.25">
      <c r="A173" s="195">
        <v>300100</v>
      </c>
      <c r="B173" s="196" t="s">
        <v>101</v>
      </c>
      <c r="C173" s="199">
        <v>31.86</v>
      </c>
      <c r="D173" s="199">
        <v>22.62</v>
      </c>
    </row>
    <row r="174" spans="1:4" x14ac:dyDescent="0.25">
      <c r="A174" s="195">
        <v>300200</v>
      </c>
      <c r="B174" s="196" t="s">
        <v>102</v>
      </c>
      <c r="C174" s="199">
        <v>36.93</v>
      </c>
      <c r="D174" s="199">
        <v>26.22</v>
      </c>
    </row>
    <row r="175" spans="1:4" x14ac:dyDescent="0.25">
      <c r="A175" s="195">
        <v>300210</v>
      </c>
      <c r="B175" s="196" t="s">
        <v>103</v>
      </c>
      <c r="C175" s="198">
        <v>128.07</v>
      </c>
      <c r="D175" s="199">
        <v>27.04</v>
      </c>
    </row>
    <row r="176" spans="1:4" x14ac:dyDescent="0.25">
      <c r="A176" s="195">
        <v>341000</v>
      </c>
      <c r="B176" s="196" t="s">
        <v>104</v>
      </c>
      <c r="C176" s="198">
        <v>206.1</v>
      </c>
      <c r="D176" s="199">
        <v>48.65</v>
      </c>
    </row>
    <row r="177" spans="1:4" x14ac:dyDescent="0.25">
      <c r="A177" s="195">
        <v>341100</v>
      </c>
      <c r="B177" s="196" t="s">
        <v>105</v>
      </c>
      <c r="C177" s="198">
        <v>234.51</v>
      </c>
      <c r="D177" s="199">
        <v>75.459999999999994</v>
      </c>
    </row>
    <row r="178" spans="1:4" x14ac:dyDescent="0.25">
      <c r="A178" s="195">
        <v>341500</v>
      </c>
      <c r="B178" s="196" t="s">
        <v>106</v>
      </c>
      <c r="C178" s="198">
        <v>145.31</v>
      </c>
      <c r="D178" s="199">
        <v>49.87</v>
      </c>
    </row>
    <row r="179" spans="1:4" x14ac:dyDescent="0.25">
      <c r="A179" s="195">
        <v>310650</v>
      </c>
      <c r="B179" s="196" t="s">
        <v>107</v>
      </c>
      <c r="C179" s="198">
        <v>392.8</v>
      </c>
      <c r="D179" s="198">
        <v>127.67</v>
      </c>
    </row>
    <row r="180" spans="1:4" x14ac:dyDescent="0.25">
      <c r="A180" s="195">
        <v>320650</v>
      </c>
      <c r="B180" s="196" t="s">
        <v>108</v>
      </c>
      <c r="C180" s="198">
        <v>443.74</v>
      </c>
      <c r="D180" s="198">
        <v>142.5</v>
      </c>
    </row>
    <row r="181" spans="1:4" x14ac:dyDescent="0.25">
      <c r="A181" s="195">
        <v>330650</v>
      </c>
      <c r="B181" s="196" t="s">
        <v>109</v>
      </c>
      <c r="C181" s="198">
        <v>524.04</v>
      </c>
      <c r="D181" s="198">
        <v>166.05</v>
      </c>
    </row>
    <row r="182" spans="1:4" x14ac:dyDescent="0.25">
      <c r="A182" s="195">
        <v>310080</v>
      </c>
      <c r="B182" s="196" t="s">
        <v>110</v>
      </c>
      <c r="C182" s="198">
        <v>904.17</v>
      </c>
      <c r="D182" s="198">
        <v>296.60000000000002</v>
      </c>
    </row>
    <row r="183" spans="1:4" x14ac:dyDescent="0.25">
      <c r="A183" s="195">
        <v>320080</v>
      </c>
      <c r="B183" s="196" t="s">
        <v>111</v>
      </c>
      <c r="C183" s="200">
        <v>1047.67</v>
      </c>
      <c r="D183" s="198">
        <v>338.38</v>
      </c>
    </row>
    <row r="184" spans="1:4" x14ac:dyDescent="0.25">
      <c r="A184" s="195">
        <v>330080</v>
      </c>
      <c r="B184" s="196" t="s">
        <v>112</v>
      </c>
      <c r="C184" s="200">
        <v>1273.8499999999999</v>
      </c>
      <c r="D184" s="198">
        <v>404.72</v>
      </c>
    </row>
    <row r="185" spans="1:4" x14ac:dyDescent="0.25">
      <c r="A185" s="195">
        <v>320140</v>
      </c>
      <c r="B185" s="196" t="s">
        <v>114</v>
      </c>
      <c r="C185" s="198">
        <v>382.28</v>
      </c>
      <c r="D185" s="198">
        <v>125.26</v>
      </c>
    </row>
    <row r="186" spans="1:4" x14ac:dyDescent="0.25">
      <c r="A186" s="195">
        <v>310040</v>
      </c>
      <c r="B186" s="196" t="s">
        <v>433</v>
      </c>
      <c r="C186" s="198">
        <v>315.02999999999997</v>
      </c>
      <c r="D186" s="198">
        <v>107.94</v>
      </c>
    </row>
    <row r="187" spans="1:4" x14ac:dyDescent="0.25">
      <c r="A187" s="195">
        <v>320040</v>
      </c>
      <c r="B187" s="196" t="s">
        <v>434</v>
      </c>
      <c r="C187" s="198">
        <v>355.18</v>
      </c>
      <c r="D187" s="198">
        <v>119.63</v>
      </c>
    </row>
    <row r="188" spans="1:4" x14ac:dyDescent="0.25">
      <c r="A188" s="195">
        <v>330040</v>
      </c>
      <c r="B188" s="196" t="s">
        <v>435</v>
      </c>
      <c r="C188" s="198">
        <v>418.44</v>
      </c>
      <c r="D188" s="198">
        <v>138.19</v>
      </c>
    </row>
    <row r="189" spans="1:4" x14ac:dyDescent="0.25">
      <c r="A189" s="195">
        <v>310060</v>
      </c>
      <c r="B189" s="196" t="s">
        <v>436</v>
      </c>
      <c r="C189" s="198">
        <v>388.9</v>
      </c>
      <c r="D189" s="198">
        <v>123.94</v>
      </c>
    </row>
    <row r="190" spans="1:4" x14ac:dyDescent="0.25">
      <c r="A190" s="195">
        <v>320060</v>
      </c>
      <c r="B190" s="196" t="s">
        <v>437</v>
      </c>
      <c r="C190" s="198">
        <v>437.8</v>
      </c>
      <c r="D190" s="198">
        <v>138.18</v>
      </c>
    </row>
    <row r="191" spans="1:4" x14ac:dyDescent="0.25">
      <c r="A191" s="195">
        <v>330060</v>
      </c>
      <c r="B191" s="196" t="s">
        <v>438</v>
      </c>
      <c r="C191" s="198">
        <v>514.89</v>
      </c>
      <c r="D191" s="198">
        <v>160.79</v>
      </c>
    </row>
    <row r="192" spans="1:4" x14ac:dyDescent="0.25">
      <c r="A192" s="195">
        <v>311650</v>
      </c>
      <c r="B192" s="196" t="s">
        <v>115</v>
      </c>
      <c r="C192" s="198">
        <v>373.74</v>
      </c>
      <c r="D192" s="198">
        <v>119.21</v>
      </c>
    </row>
    <row r="193" spans="1:4" x14ac:dyDescent="0.25">
      <c r="A193" s="195">
        <v>321650</v>
      </c>
      <c r="B193" s="196" t="s">
        <v>116</v>
      </c>
      <c r="C193" s="198">
        <v>420.05</v>
      </c>
      <c r="D193" s="198">
        <v>132.69999999999999</v>
      </c>
    </row>
    <row r="194" spans="1:4" x14ac:dyDescent="0.25">
      <c r="A194" s="195">
        <v>331650</v>
      </c>
      <c r="B194" s="196" t="s">
        <v>117</v>
      </c>
      <c r="C194" s="198">
        <v>493.05</v>
      </c>
      <c r="D194" s="198">
        <v>154.11000000000001</v>
      </c>
    </row>
    <row r="195" spans="1:4" x14ac:dyDescent="0.25">
      <c r="A195" s="195">
        <v>310180</v>
      </c>
      <c r="B195" s="196" t="s">
        <v>124</v>
      </c>
      <c r="C195" s="198">
        <v>904.17</v>
      </c>
      <c r="D195" s="198">
        <v>296.60000000000002</v>
      </c>
    </row>
    <row r="196" spans="1:4" x14ac:dyDescent="0.25">
      <c r="A196" s="195">
        <v>320180</v>
      </c>
      <c r="B196" s="196" t="s">
        <v>125</v>
      </c>
      <c r="C196" s="200">
        <v>1047.67</v>
      </c>
      <c r="D196" s="198">
        <v>338.38</v>
      </c>
    </row>
    <row r="197" spans="1:4" x14ac:dyDescent="0.25">
      <c r="A197" s="195">
        <v>330180</v>
      </c>
      <c r="B197" s="196" t="s">
        <v>126</v>
      </c>
      <c r="C197" s="200">
        <v>1273.8499999999999</v>
      </c>
      <c r="D197" s="198">
        <v>404.72</v>
      </c>
    </row>
    <row r="198" spans="1:4" x14ac:dyDescent="0.25">
      <c r="A198" s="195">
        <v>320700</v>
      </c>
      <c r="B198" s="196" t="s">
        <v>113</v>
      </c>
      <c r="C198" s="198">
        <v>308.47000000000003</v>
      </c>
      <c r="D198" s="198">
        <v>115.2</v>
      </c>
    </row>
    <row r="199" spans="1:4" x14ac:dyDescent="0.25">
      <c r="A199" s="195">
        <v>300140</v>
      </c>
      <c r="B199" s="196" t="s">
        <v>168</v>
      </c>
      <c r="C199" s="198">
        <v>693.87</v>
      </c>
      <c r="D199" s="198">
        <v>450.24</v>
      </c>
    </row>
    <row r="200" spans="1:4" x14ac:dyDescent="0.25">
      <c r="A200" s="195">
        <v>300170</v>
      </c>
      <c r="B200" s="196" t="s">
        <v>169</v>
      </c>
      <c r="C200" s="198">
        <v>832.43</v>
      </c>
      <c r="D200" s="198">
        <v>528.25</v>
      </c>
    </row>
    <row r="201" spans="1:4" x14ac:dyDescent="0.25">
      <c r="A201" s="195">
        <v>309100</v>
      </c>
      <c r="B201" s="196" t="s">
        <v>439</v>
      </c>
      <c r="C201" s="198">
        <v>127.82</v>
      </c>
      <c r="D201" s="198">
        <v>109.34</v>
      </c>
    </row>
    <row r="202" spans="1:4" x14ac:dyDescent="0.25">
      <c r="A202" s="195">
        <v>309000</v>
      </c>
      <c r="B202" s="196" t="s">
        <v>128</v>
      </c>
      <c r="C202" s="198">
        <v>254.51</v>
      </c>
      <c r="D202" s="199">
        <v>96.68</v>
      </c>
    </row>
    <row r="203" spans="1:4" x14ac:dyDescent="0.25">
      <c r="A203" s="195">
        <v>303500</v>
      </c>
      <c r="B203" s="196" t="s">
        <v>129</v>
      </c>
      <c r="C203" s="198">
        <v>519.25</v>
      </c>
      <c r="D203" s="198">
        <v>329.71</v>
      </c>
    </row>
    <row r="204" spans="1:4" x14ac:dyDescent="0.25">
      <c r="A204" s="195">
        <v>303600</v>
      </c>
      <c r="B204" s="196" t="s">
        <v>130</v>
      </c>
      <c r="C204" s="198">
        <v>402.72</v>
      </c>
      <c r="D204" s="198">
        <v>264.11</v>
      </c>
    </row>
    <row r="205" spans="1:4" x14ac:dyDescent="0.25">
      <c r="A205" s="195">
        <v>300090</v>
      </c>
      <c r="B205" s="196" t="s">
        <v>221</v>
      </c>
      <c r="C205" s="199">
        <v>15.15</v>
      </c>
      <c r="D205" s="199">
        <v>10.76</v>
      </c>
    </row>
    <row r="206" spans="1:4" x14ac:dyDescent="0.25">
      <c r="A206" s="195">
        <v>370000</v>
      </c>
      <c r="B206" s="196" t="s">
        <v>140</v>
      </c>
      <c r="C206" s="198">
        <v>391.07</v>
      </c>
      <c r="D206" s="198">
        <v>136.06</v>
      </c>
    </row>
    <row r="207" spans="1:4" x14ac:dyDescent="0.25">
      <c r="A207" s="195">
        <v>370110</v>
      </c>
      <c r="B207" s="196" t="s">
        <v>440</v>
      </c>
      <c r="C207" s="198">
        <v>217.05</v>
      </c>
      <c r="D207" s="199">
        <v>36.9</v>
      </c>
    </row>
    <row r="208" spans="1:4" x14ac:dyDescent="0.25">
      <c r="A208" s="195">
        <v>370160</v>
      </c>
      <c r="B208" s="196" t="s">
        <v>441</v>
      </c>
      <c r="C208" s="198">
        <v>190.95</v>
      </c>
      <c r="D208" s="199">
        <v>10.8</v>
      </c>
    </row>
    <row r="209" spans="1:4" x14ac:dyDescent="0.25">
      <c r="A209" s="195">
        <v>341450</v>
      </c>
      <c r="B209" s="196" t="s">
        <v>222</v>
      </c>
      <c r="C209" s="197">
        <v>0.56999999999999995</v>
      </c>
      <c r="D209" s="197">
        <v>0.41</v>
      </c>
    </row>
    <row r="210" spans="1:4" x14ac:dyDescent="0.25">
      <c r="A210" s="195">
        <v>370450</v>
      </c>
      <c r="B210" s="196" t="s">
        <v>223</v>
      </c>
      <c r="C210" s="197">
        <v>7.38</v>
      </c>
      <c r="D210" s="197">
        <v>0.88</v>
      </c>
    </row>
    <row r="211" spans="1:4" x14ac:dyDescent="0.25">
      <c r="A211" s="195">
        <v>340410</v>
      </c>
      <c r="B211" s="196" t="s">
        <v>131</v>
      </c>
      <c r="C211" s="198">
        <v>429.5</v>
      </c>
      <c r="D211" s="198">
        <v>203.77</v>
      </c>
    </row>
    <row r="212" spans="1:4" x14ac:dyDescent="0.25">
      <c r="A212" s="72" t="s">
        <v>369</v>
      </c>
      <c r="B212" s="73" t="s">
        <v>36</v>
      </c>
      <c r="C212" s="153">
        <f>T13</f>
        <v>430.57</v>
      </c>
      <c r="D212" s="153">
        <f>U13</f>
        <v>108.12</v>
      </c>
    </row>
    <row r="213" spans="1:4" x14ac:dyDescent="0.25">
      <c r="A213" s="72" t="s">
        <v>370</v>
      </c>
      <c r="B213" s="73" t="s">
        <v>136</v>
      </c>
      <c r="C213" s="153">
        <f>T16</f>
        <v>478.04</v>
      </c>
      <c r="D213" s="153">
        <f>U16</f>
        <v>120.15</v>
      </c>
    </row>
    <row r="214" spans="1:4" x14ac:dyDescent="0.25">
      <c r="C214" s="113"/>
      <c r="D214" s="113"/>
    </row>
    <row r="215" spans="1:4" x14ac:dyDescent="0.25">
      <c r="C215" s="113"/>
      <c r="D215" s="113"/>
    </row>
  </sheetData>
  <mergeCells count="1">
    <mergeCell ref="A1:B1"/>
  </mergeCells>
  <phoneticPr fontId="37" type="noConversion"/>
  <pageMargins left="0.511811024" right="0.511811024" top="0.78740157499999996" bottom="0.78740157499999996" header="0.31496062000000002" footer="0.31496062000000002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Equation.3" shapeId="1026" r:id="rId4">
          <objectPr defaultSize="0" autoPict="0" r:id="rId5">
            <anchor moveWithCells="1" sizeWithCells="1">
              <from>
                <xdr:col>7</xdr:col>
                <xdr:colOff>0</xdr:colOff>
                <xdr:row>29</xdr:row>
                <xdr:rowOff>0</xdr:rowOff>
              </from>
              <to>
                <xdr:col>10</xdr:col>
                <xdr:colOff>428625</xdr:colOff>
                <xdr:row>31</xdr:row>
                <xdr:rowOff>66675</xdr:rowOff>
              </to>
            </anchor>
          </objectPr>
        </oleObject>
      </mc:Choice>
      <mc:Fallback>
        <oleObject progId="Equation.3" shapeId="1026" r:id="rId4"/>
      </mc:Fallback>
    </mc:AlternateContent>
    <mc:AlternateContent xmlns:mc="http://schemas.openxmlformats.org/markup-compatibility/2006">
      <mc:Choice Requires="x14">
        <oleObject progId="Equation.3" shapeId="1030" r:id="rId6">
          <objectPr defaultSize="0" autoPict="0" r:id="rId7">
            <anchor moveWithCells="1" sizeWithCells="1">
              <from>
                <xdr:col>7</xdr:col>
                <xdr:colOff>0</xdr:colOff>
                <xdr:row>34</xdr:row>
                <xdr:rowOff>0</xdr:rowOff>
              </from>
              <to>
                <xdr:col>9</xdr:col>
                <xdr:colOff>95250</xdr:colOff>
                <xdr:row>37</xdr:row>
                <xdr:rowOff>123825</xdr:rowOff>
              </to>
            </anchor>
          </objectPr>
        </oleObject>
      </mc:Choice>
      <mc:Fallback>
        <oleObject progId="Equation.3" shapeId="1030" r:id="rId6"/>
      </mc:Fallback>
    </mc:AlternateContent>
    <mc:AlternateContent xmlns:mc="http://schemas.openxmlformats.org/markup-compatibility/2006">
      <mc:Choice Requires="x14">
        <oleObject progId="Equation.3" shapeId="1034" r:id="rId8">
          <objectPr defaultSize="0" autoPict="0" r:id="rId9">
            <anchor moveWithCells="1" sizeWithCells="1">
              <from>
                <xdr:col>7</xdr:col>
                <xdr:colOff>114300</xdr:colOff>
                <xdr:row>39</xdr:row>
                <xdr:rowOff>142875</xdr:rowOff>
              </from>
              <to>
                <xdr:col>8</xdr:col>
                <xdr:colOff>457200</xdr:colOff>
                <xdr:row>40</xdr:row>
                <xdr:rowOff>161925</xdr:rowOff>
              </to>
            </anchor>
          </objectPr>
        </oleObject>
      </mc:Choice>
      <mc:Fallback>
        <oleObject progId="Equation.3" shapeId="1034" r:id="rId8"/>
      </mc:Fallback>
    </mc:AlternateContent>
    <mc:AlternateContent xmlns:mc="http://schemas.openxmlformats.org/markup-compatibility/2006">
      <mc:Choice Requires="x14">
        <oleObject progId="Equation.3" shapeId="1035" r:id="rId10">
          <objectPr defaultSize="0" autoPict="0" r:id="rId11">
            <anchor moveWithCells="1" sizeWithCells="1">
              <from>
                <xdr:col>12</xdr:col>
                <xdr:colOff>9525</xdr:colOff>
                <xdr:row>29</xdr:row>
                <xdr:rowOff>161925</xdr:rowOff>
              </from>
              <to>
                <xdr:col>15</xdr:col>
                <xdr:colOff>57150</xdr:colOff>
                <xdr:row>30</xdr:row>
                <xdr:rowOff>161925</xdr:rowOff>
              </to>
            </anchor>
          </objectPr>
        </oleObject>
      </mc:Choice>
      <mc:Fallback>
        <oleObject progId="Equation.3" shapeId="1035" r:id="rId10"/>
      </mc:Fallback>
    </mc:AlternateContent>
    <mc:AlternateContent xmlns:mc="http://schemas.openxmlformats.org/markup-compatibility/2006">
      <mc:Choice Requires="x14">
        <oleObject progId="Equation.3" shapeId="1036" r:id="rId12">
          <objectPr defaultSize="0" autoPict="0" r:id="rId13">
            <anchor moveWithCells="1" sizeWithCells="1">
              <from>
                <xdr:col>12</xdr:col>
                <xdr:colOff>57150</xdr:colOff>
                <xdr:row>35</xdr:row>
                <xdr:rowOff>0</xdr:rowOff>
              </from>
              <to>
                <xdr:col>14</xdr:col>
                <xdr:colOff>104775</xdr:colOff>
                <xdr:row>36</xdr:row>
                <xdr:rowOff>0</xdr:rowOff>
              </to>
            </anchor>
          </objectPr>
        </oleObject>
      </mc:Choice>
      <mc:Fallback>
        <oleObject progId="Equation.3" shapeId="1036" r:id="rId12"/>
      </mc:Fallback>
    </mc:AlternateContent>
  </oleObjec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1"/>
    <pageSetUpPr fitToPage="1"/>
  </sheetPr>
  <dimension ref="A1:AMK167"/>
  <sheetViews>
    <sheetView showGridLines="0" tabSelected="1" topLeftCell="A130" zoomScale="82" zoomScaleNormal="82" zoomScaleSheetLayoutView="90" workbookViewId="0">
      <selection activeCell="M160" sqref="M160"/>
    </sheetView>
  </sheetViews>
  <sheetFormatPr defaultColWidth="9.140625" defaultRowHeight="15" x14ac:dyDescent="0.25"/>
  <cols>
    <col min="1" max="1" width="10.28515625" style="75" customWidth="1"/>
    <col min="2" max="2" width="66.5703125" style="75" customWidth="1"/>
    <col min="3" max="4" width="12.42578125" style="75" customWidth="1"/>
    <col min="5" max="5" width="16.28515625" style="75" customWidth="1"/>
    <col min="6" max="6" width="15.85546875" style="75" customWidth="1"/>
    <col min="7" max="8" width="6.7109375" style="75" customWidth="1"/>
    <col min="9" max="9" width="19.140625" style="75" customWidth="1"/>
    <col min="10" max="10" width="17.42578125" style="75" customWidth="1"/>
    <col min="11" max="11" width="10.42578125" style="75" customWidth="1"/>
    <col min="12" max="12" width="11.5703125" style="75" customWidth="1"/>
    <col min="13" max="13" width="22.140625" style="75" customWidth="1"/>
    <col min="14" max="14" width="12.42578125" style="75" customWidth="1"/>
    <col min="15" max="15" width="20.140625" style="75" customWidth="1"/>
    <col min="16" max="1025" width="9.140625" style="75"/>
    <col min="1026" max="16384" width="9.140625" style="88"/>
  </cols>
  <sheetData>
    <row r="1" spans="1:15" ht="27.75" x14ac:dyDescent="0.25">
      <c r="A1" s="431" t="s">
        <v>554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O1" s="76"/>
    </row>
    <row r="2" spans="1:15" ht="23.25" x14ac:dyDescent="0.25">
      <c r="A2" s="432" t="s">
        <v>555</v>
      </c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</row>
    <row r="3" spans="1:15" ht="15" customHeight="1" x14ac:dyDescent="0.25">
      <c r="A3" s="433" t="s">
        <v>468</v>
      </c>
      <c r="B3" s="434"/>
      <c r="C3" s="434"/>
      <c r="D3" s="434"/>
      <c r="E3" s="434"/>
      <c r="F3" s="434"/>
      <c r="G3" s="434"/>
      <c r="H3" s="434"/>
      <c r="I3" s="434"/>
      <c r="J3" s="434"/>
      <c r="K3" s="434"/>
      <c r="L3" s="434"/>
      <c r="M3" s="435"/>
    </row>
    <row r="4" spans="1:15" ht="15" customHeight="1" x14ac:dyDescent="0.25">
      <c r="A4" s="90" t="s">
        <v>240</v>
      </c>
      <c r="B4" s="91"/>
      <c r="C4" s="91"/>
      <c r="D4" s="91"/>
      <c r="E4" s="91"/>
      <c r="F4" s="91"/>
      <c r="G4" s="91"/>
      <c r="H4" s="91"/>
      <c r="I4" s="91"/>
      <c r="J4" s="91"/>
      <c r="K4" s="440" t="s">
        <v>241</v>
      </c>
      <c r="L4" s="441"/>
      <c r="M4" s="77">
        <f>VLOOKUP(K4,DMT!$B$26:$F$30,4,0)</f>
        <v>521.5</v>
      </c>
      <c r="N4" s="67"/>
    </row>
    <row r="5" spans="1:15" ht="15" customHeight="1" x14ac:dyDescent="0.25">
      <c r="A5" s="90" t="s">
        <v>242</v>
      </c>
      <c r="B5" s="91"/>
      <c r="C5" s="91"/>
      <c r="D5" s="91"/>
      <c r="E5" s="91"/>
      <c r="F5" s="91"/>
      <c r="G5" s="91"/>
      <c r="H5" s="91"/>
      <c r="I5" s="91"/>
      <c r="J5" s="91"/>
      <c r="K5" s="440" t="s">
        <v>241</v>
      </c>
      <c r="L5" s="441"/>
      <c r="M5" s="77">
        <f>VLOOKUP(K5,DMT!$B$26:$F$30,5,0)</f>
        <v>31.5</v>
      </c>
      <c r="N5" s="67"/>
    </row>
    <row r="6" spans="1:15" x14ac:dyDescent="0.25">
      <c r="A6" s="437" t="s">
        <v>225</v>
      </c>
      <c r="B6" s="437"/>
      <c r="C6" s="437"/>
      <c r="D6" s="437"/>
      <c r="E6" s="437"/>
      <c r="F6" s="437"/>
      <c r="G6" s="437"/>
      <c r="H6" s="437"/>
      <c r="I6" s="437"/>
      <c r="J6" s="437"/>
      <c r="K6" s="437"/>
      <c r="L6" s="437"/>
      <c r="M6" s="77">
        <v>60</v>
      </c>
    </row>
    <row r="7" spans="1:15" x14ac:dyDescent="0.25">
      <c r="A7" s="437" t="s">
        <v>243</v>
      </c>
      <c r="B7" s="437"/>
      <c r="C7" s="437"/>
      <c r="D7" s="437"/>
      <c r="E7" s="437"/>
      <c r="F7" s="437"/>
      <c r="G7" s="437"/>
      <c r="H7" s="437"/>
      <c r="I7" s="437"/>
      <c r="J7" s="437"/>
      <c r="K7" s="437"/>
      <c r="L7" s="437"/>
      <c r="M7" s="77">
        <v>40</v>
      </c>
    </row>
    <row r="8" spans="1:15" x14ac:dyDescent="0.25">
      <c r="A8" s="437" t="s">
        <v>226</v>
      </c>
      <c r="B8" s="437"/>
      <c r="C8" s="437"/>
      <c r="D8" s="437"/>
      <c r="E8" s="437"/>
      <c r="F8" s="437"/>
      <c r="G8" s="437"/>
      <c r="H8" s="437"/>
      <c r="I8" s="437"/>
      <c r="J8" s="437"/>
      <c r="K8" s="437"/>
      <c r="L8" s="437"/>
      <c r="M8" s="137">
        <v>10</v>
      </c>
    </row>
    <row r="9" spans="1:15" x14ac:dyDescent="0.25">
      <c r="A9" s="437" t="s">
        <v>227</v>
      </c>
      <c r="B9" s="437"/>
      <c r="C9" s="437"/>
      <c r="D9" s="437"/>
      <c r="E9" s="437"/>
      <c r="F9" s="437"/>
      <c r="G9" s="437"/>
      <c r="H9" s="437"/>
      <c r="I9" s="437"/>
      <c r="J9" s="437"/>
      <c r="K9" s="437"/>
      <c r="L9" s="437"/>
      <c r="M9" s="77">
        <v>182.49</v>
      </c>
    </row>
    <row r="10" spans="1:15" ht="20.100000000000001" customHeight="1" x14ac:dyDescent="0.25">
      <c r="A10" s="438" t="s">
        <v>228</v>
      </c>
      <c r="B10" s="438"/>
      <c r="C10" s="438"/>
      <c r="D10" s="438"/>
      <c r="E10" s="438"/>
      <c r="F10" s="438"/>
      <c r="G10" s="438"/>
      <c r="H10" s="438"/>
      <c r="I10" s="438"/>
      <c r="J10" s="438"/>
      <c r="K10" s="438"/>
      <c r="L10" s="438"/>
      <c r="M10" s="438"/>
    </row>
    <row r="11" spans="1:15" ht="44.25" customHeight="1" x14ac:dyDescent="0.25">
      <c r="A11" s="78" t="s">
        <v>229</v>
      </c>
      <c r="B11" s="78" t="s">
        <v>230</v>
      </c>
      <c r="C11" s="78" t="s">
        <v>244</v>
      </c>
      <c r="D11" s="78" t="s">
        <v>245</v>
      </c>
      <c r="E11" s="89" t="s">
        <v>239</v>
      </c>
      <c r="F11" s="78" t="s">
        <v>231</v>
      </c>
      <c r="G11" s="78" t="s">
        <v>34</v>
      </c>
      <c r="H11" s="78" t="s">
        <v>33</v>
      </c>
      <c r="I11" s="78" t="s">
        <v>232</v>
      </c>
      <c r="J11" s="79" t="s">
        <v>233</v>
      </c>
      <c r="K11" s="79" t="s">
        <v>234</v>
      </c>
      <c r="L11" s="89" t="s">
        <v>235</v>
      </c>
      <c r="M11" s="79" t="s">
        <v>236</v>
      </c>
    </row>
    <row r="12" spans="1:15" x14ac:dyDescent="0.2">
      <c r="A12" s="74">
        <v>304000</v>
      </c>
      <c r="B12" s="69" t="str">
        <f>VLOOKUP(A12,CHP!$A$13:D$211,2,0)</f>
        <v>Bate estacas leve</v>
      </c>
      <c r="C12" s="80">
        <f t="shared" ref="C12:C155" si="0">$M$4</f>
        <v>521.5</v>
      </c>
      <c r="D12" s="80">
        <f>$M$5</f>
        <v>31.5</v>
      </c>
      <c r="E12" s="397">
        <f>IFERROR(VLOOKUP($A12,'hora.Equip.obra'!$A$2:$C$68,3,0),0)</f>
        <v>0</v>
      </c>
      <c r="F12" s="80">
        <f t="shared" ref="F12:F47" si="1">ROUNDUP(E12/($M$9*$M$8),0)</f>
        <v>0</v>
      </c>
      <c r="G12" s="81">
        <f t="shared" ref="G12:G47" si="2">IF(A12=I12,1,2)</f>
        <v>2</v>
      </c>
      <c r="H12" s="82">
        <f>VLOOKUP(A12,'Transporte - FU'!$A$3:$C$168,3,0)</f>
        <v>1</v>
      </c>
      <c r="I12" s="81" t="str">
        <f>VLOOKUP(A12,'Transporte - FU'!$A$3:$C$166,2,0)</f>
        <v>EQ002</v>
      </c>
      <c r="J12" s="83">
        <f>VLOOKUP(I12,CHP!$A$13:$D$215,3,0)</f>
        <v>478.04</v>
      </c>
      <c r="K12" s="81" t="s">
        <v>237</v>
      </c>
      <c r="L12" s="138">
        <f>IF(E12&lt;&gt;0,VLOOKUP(A12,Pedagios!$A$11:$AM$206,6,0),0)</f>
        <v>0</v>
      </c>
      <c r="M12" s="84">
        <f>IFERROR(((C12*G12*H12)/$M$6+(D12*G12*H12)/$M$7)*J12*F12,0)+(F12*L12)</f>
        <v>0</v>
      </c>
    </row>
    <row r="13" spans="1:15" x14ac:dyDescent="0.2">
      <c r="A13" s="154">
        <v>316060</v>
      </c>
      <c r="B13" s="69" t="str">
        <f>VLOOKUP(A13,CHP!$A$13:D$211,2,0)</f>
        <v>Cam. bascul. 1419 6m3 leve</v>
      </c>
      <c r="C13" s="80">
        <f t="shared" si="0"/>
        <v>521.5</v>
      </c>
      <c r="D13" s="80">
        <f t="shared" ref="D13:D155" si="3">$M$5</f>
        <v>31.5</v>
      </c>
      <c r="E13" s="397">
        <f>IFERROR(VLOOKUP($A13,'hora.Equip.obra'!$A$2:$C$68,3,0),0)</f>
        <v>0</v>
      </c>
      <c r="F13" s="80">
        <f t="shared" ref="F13" si="4">ROUNDUP(E13/($M$9*$M$8),0)</f>
        <v>0</v>
      </c>
      <c r="G13" s="81">
        <f t="shared" si="2"/>
        <v>1</v>
      </c>
      <c r="H13" s="82">
        <f>VLOOKUP(A13,'Transporte - FU'!$A$3:$C$168,3,0)</f>
        <v>1</v>
      </c>
      <c r="I13" s="81">
        <f>VLOOKUP(A13,'Transporte - FU'!$A$3:$C$166,2,0)</f>
        <v>316060</v>
      </c>
      <c r="J13" s="83">
        <f>VLOOKUP(I13,CHP!$A$13:$D$215,3,0)</f>
        <v>256.64999999999998</v>
      </c>
      <c r="K13" s="81" t="s">
        <v>237</v>
      </c>
      <c r="L13" s="138">
        <f>IF(E13&lt;&gt;0,VLOOKUP(A13,Pedagios!$A$11:$AM$206,6,0),0)</f>
        <v>0</v>
      </c>
      <c r="M13" s="84">
        <f>IFERROR(((C13*G13*H13)/$M$6+(D13*G13*H13)/$M$7)*J13*F13,0)+(F13*L13)</f>
        <v>0</v>
      </c>
    </row>
    <row r="14" spans="1:15" x14ac:dyDescent="0.2">
      <c r="A14" s="154">
        <v>326060</v>
      </c>
      <c r="B14" s="69" t="str">
        <f>VLOOKUP(A14,CHP!$A$13:D$211,2,0)</f>
        <v>Cam. bascul. 1419-C 6m3 média</v>
      </c>
      <c r="C14" s="80">
        <f t="shared" si="0"/>
        <v>521.5</v>
      </c>
      <c r="D14" s="80">
        <f t="shared" si="3"/>
        <v>31.5</v>
      </c>
      <c r="E14" s="397">
        <f>IFERROR(VLOOKUP($A14,'hora.Equip.obra'!$A$2:$C$68,3,0),0)</f>
        <v>0</v>
      </c>
      <c r="F14" s="80">
        <f t="shared" si="1"/>
        <v>0</v>
      </c>
      <c r="G14" s="81">
        <f t="shared" si="2"/>
        <v>1</v>
      </c>
      <c r="H14" s="82">
        <f>VLOOKUP(A14,'Transporte - FU'!$A$3:$C$168,3,0)</f>
        <v>1</v>
      </c>
      <c r="I14" s="81">
        <f>VLOOKUP(A14,'Transporte - FU'!$A$3:$C$166,2,0)</f>
        <v>326060</v>
      </c>
      <c r="J14" s="83">
        <f>VLOOKUP(I14,CHP!$A$13:$D$215,3,0)</f>
        <v>275.95</v>
      </c>
      <c r="K14" s="81" t="s">
        <v>237</v>
      </c>
      <c r="L14" s="138">
        <f>IF(E14&lt;&gt;0,VLOOKUP(A14,Pedagios!$A$11:$AM$206,6,0),0)</f>
        <v>0</v>
      </c>
      <c r="M14" s="84">
        <f>IFERROR(((C14*G14*H14)/$M$6+(D14*G14*H14)/$M$7)*J14*F14,0)+(F14*L14)</f>
        <v>0</v>
      </c>
    </row>
    <row r="15" spans="1:15" x14ac:dyDescent="0.2">
      <c r="A15" s="154">
        <v>336060</v>
      </c>
      <c r="B15" s="69" t="str">
        <f>VLOOKUP(A15,CHP!$A$13:D$211,2,0)</f>
        <v>Cam. bascul. 1419-C 6m3 severa</v>
      </c>
      <c r="C15" s="80">
        <f t="shared" si="0"/>
        <v>521.5</v>
      </c>
      <c r="D15" s="80">
        <f t="shared" si="3"/>
        <v>31.5</v>
      </c>
      <c r="E15" s="397">
        <f>IFERROR(VLOOKUP($A15,'hora.Equip.obra'!$A$2:$C$68,3,0),0)</f>
        <v>0</v>
      </c>
      <c r="F15" s="80">
        <f t="shared" si="1"/>
        <v>0</v>
      </c>
      <c r="G15" s="81">
        <f t="shared" si="2"/>
        <v>1</v>
      </c>
      <c r="H15" s="82">
        <f>VLOOKUP(A15,'Transporte - FU'!$A$3:$C$168,3,0)</f>
        <v>1</v>
      </c>
      <c r="I15" s="81">
        <f>VLOOKUP(A15,'Transporte - FU'!$A$3:$C$166,2,0)</f>
        <v>336060</v>
      </c>
      <c r="J15" s="83">
        <f>VLOOKUP(I15,CHP!$A$13:$D$215,3,0)</f>
        <v>300.79000000000002</v>
      </c>
      <c r="K15" s="81" t="s">
        <v>237</v>
      </c>
      <c r="L15" s="138">
        <f>IF(E15&lt;&gt;0,VLOOKUP(A15,Pedagios!$A$11:$AM$206,6,0),0)</f>
        <v>0</v>
      </c>
      <c r="M15" s="84">
        <f>IFERROR(((C15*G15*H15)/$M$6+(D15*G15*H15)/$M$7)*J15*F15,0)+(F15*L15)</f>
        <v>0</v>
      </c>
    </row>
    <row r="16" spans="1:15" x14ac:dyDescent="0.2">
      <c r="A16" s="154">
        <v>313180</v>
      </c>
      <c r="B16" s="69" t="str">
        <f>VLOOKUP(A16,CHP!$A$13:D$211,2,0)</f>
        <v>Cam. bascul. 1635/45 12m3 leve</v>
      </c>
      <c r="C16" s="80">
        <f t="shared" si="0"/>
        <v>521.5</v>
      </c>
      <c r="D16" s="80">
        <f t="shared" si="3"/>
        <v>31.5</v>
      </c>
      <c r="E16" s="397">
        <f>IFERROR(VLOOKUP($A16,'hora.Equip.obra'!$A$2:$C$68,3,0),0)</f>
        <v>372.32929999999999</v>
      </c>
      <c r="F16" s="80">
        <f t="shared" si="1"/>
        <v>1</v>
      </c>
      <c r="G16" s="81">
        <f t="shared" si="2"/>
        <v>1</v>
      </c>
      <c r="H16" s="82">
        <f>VLOOKUP(A16,'Transporte - FU'!$A$3:$C$168,3,0)</f>
        <v>1</v>
      </c>
      <c r="I16" s="81">
        <f>VLOOKUP(A16,'Transporte - FU'!$A$3:$C$166,2,0)</f>
        <v>313180</v>
      </c>
      <c r="J16" s="83">
        <f>VLOOKUP(I16,CHP!$A$13:$D$215,3,0)</f>
        <v>383.7</v>
      </c>
      <c r="K16" s="81" t="s">
        <v>237</v>
      </c>
      <c r="L16" s="138">
        <f>IF(E16&lt;&gt;0,VLOOKUP(A16,Pedagios!$A$11:$AM$206,6,0),0)</f>
        <v>102.30000000000001</v>
      </c>
      <c r="M16" s="84">
        <f t="shared" ref="M16:M47" si="5">IFERROR(((C16*G16*H16)/$M$6+(D16*G16*H16)/$M$7)*J16*F16,0)+(F16*L16)</f>
        <v>3739.4562499999997</v>
      </c>
    </row>
    <row r="17" spans="1:13" x14ac:dyDescent="0.2">
      <c r="A17" s="154">
        <v>323180</v>
      </c>
      <c r="B17" s="69" t="str">
        <f>VLOOKUP(A17,CHP!$A$13:D$211,2,0)</f>
        <v>Cam. bascul. 1635/45 12m3 média</v>
      </c>
      <c r="C17" s="80">
        <f t="shared" si="0"/>
        <v>521.5</v>
      </c>
      <c r="D17" s="80">
        <f t="shared" si="3"/>
        <v>31.5</v>
      </c>
      <c r="E17" s="397">
        <f>IFERROR(VLOOKUP($A17,'hora.Equip.obra'!$A$2:$C$68,3,0),0)</f>
        <v>0</v>
      </c>
      <c r="F17" s="80">
        <f t="shared" si="1"/>
        <v>0</v>
      </c>
      <c r="G17" s="81">
        <f t="shared" si="2"/>
        <v>1</v>
      </c>
      <c r="H17" s="82">
        <f>VLOOKUP(A17,'Transporte - FU'!$A$3:$C$168,3,0)</f>
        <v>1</v>
      </c>
      <c r="I17" s="81">
        <f>VLOOKUP(A17,'Transporte - FU'!$A$3:$C$166,2,0)</f>
        <v>323180</v>
      </c>
      <c r="J17" s="83">
        <f>VLOOKUP(I17,CHP!$A$13:$D$215,3,0)</f>
        <v>410.9</v>
      </c>
      <c r="K17" s="81" t="s">
        <v>237</v>
      </c>
      <c r="L17" s="138">
        <f>IF(E17&lt;&gt;0,VLOOKUP(A17,Pedagios!$A$11:$AM$206,6,0),0)</f>
        <v>0</v>
      </c>
      <c r="M17" s="84">
        <f t="shared" si="5"/>
        <v>0</v>
      </c>
    </row>
    <row r="18" spans="1:13" x14ac:dyDescent="0.2">
      <c r="A18" s="154">
        <v>333180</v>
      </c>
      <c r="B18" s="69" t="str">
        <f>VLOOKUP(A18,CHP!$A$13:D$211,2,0)</f>
        <v>Cam. bascul. 1635/45 12m3 severa</v>
      </c>
      <c r="C18" s="80">
        <f t="shared" si="0"/>
        <v>521.5</v>
      </c>
      <c r="D18" s="80">
        <f t="shared" si="3"/>
        <v>31.5</v>
      </c>
      <c r="E18" s="397">
        <f>IFERROR(VLOOKUP($A18,'hora.Equip.obra'!$A$2:$C$68,3,0),0)</f>
        <v>0</v>
      </c>
      <c r="F18" s="80">
        <f t="shared" si="1"/>
        <v>0</v>
      </c>
      <c r="G18" s="81">
        <f t="shared" si="2"/>
        <v>1</v>
      </c>
      <c r="H18" s="82">
        <f>VLOOKUP(A18,'Transporte - FU'!$A$3:$C$168,3,0)</f>
        <v>1</v>
      </c>
      <c r="I18" s="81">
        <f>VLOOKUP(A18,'Transporte - FU'!$A$3:$C$166,2,0)</f>
        <v>333180</v>
      </c>
      <c r="J18" s="83">
        <f>VLOOKUP(I18,CHP!$A$13:$D$215,3,0)</f>
        <v>445.9</v>
      </c>
      <c r="K18" s="81" t="s">
        <v>237</v>
      </c>
      <c r="L18" s="138">
        <f>IF(E18&lt;&gt;0,VLOOKUP(A18,Pedagios!$A$11:$AM$206,6,0),0)</f>
        <v>0</v>
      </c>
      <c r="M18" s="84">
        <f t="shared" si="5"/>
        <v>0</v>
      </c>
    </row>
    <row r="19" spans="1:13" x14ac:dyDescent="0.2">
      <c r="A19" s="154">
        <v>313140</v>
      </c>
      <c r="B19" s="69" t="str">
        <f>VLOOKUP(A19,CHP!$A$13:D$211,2,0)</f>
        <v>Cam. bascul. 2426/48  6m3 leve</v>
      </c>
      <c r="C19" s="80">
        <f t="shared" si="0"/>
        <v>521.5</v>
      </c>
      <c r="D19" s="80">
        <f t="shared" si="3"/>
        <v>31.5</v>
      </c>
      <c r="E19" s="397">
        <f>IFERROR(VLOOKUP($A19,'hora.Equip.obra'!$A$2:$C$68,3,0),0)</f>
        <v>0</v>
      </c>
      <c r="F19" s="80">
        <f t="shared" si="1"/>
        <v>0</v>
      </c>
      <c r="G19" s="81">
        <f t="shared" si="2"/>
        <v>1</v>
      </c>
      <c r="H19" s="82">
        <f>VLOOKUP(A19,'Transporte - FU'!$A$3:$C$168,3,0)</f>
        <v>1</v>
      </c>
      <c r="I19" s="81">
        <f>VLOOKUP(A19,'Transporte - FU'!$A$3:$C$166,2,0)</f>
        <v>313140</v>
      </c>
      <c r="J19" s="83">
        <f>VLOOKUP(I19,CHP!$A$13:$D$215,3,0)</f>
        <v>298.35000000000002</v>
      </c>
      <c r="K19" s="81" t="s">
        <v>237</v>
      </c>
      <c r="L19" s="138">
        <f>IF(E19&lt;&gt;0,VLOOKUP(A19,Pedagios!$A$11:$AM$206,6,0),0)</f>
        <v>0</v>
      </c>
      <c r="M19" s="84">
        <f t="shared" si="5"/>
        <v>0</v>
      </c>
    </row>
    <row r="20" spans="1:13" x14ac:dyDescent="0.2">
      <c r="A20" s="154">
        <v>323140</v>
      </c>
      <c r="B20" s="69" t="str">
        <f>VLOOKUP(A20,CHP!$A$13:D$211,2,0)</f>
        <v>Cam. bascul. 2426/48  6m3 média</v>
      </c>
      <c r="C20" s="80">
        <f t="shared" si="0"/>
        <v>521.5</v>
      </c>
      <c r="D20" s="80">
        <f t="shared" si="3"/>
        <v>31.5</v>
      </c>
      <c r="E20" s="397">
        <f>IFERROR(VLOOKUP($A20,'hora.Equip.obra'!$A$2:$C$68,3,0),0)</f>
        <v>0</v>
      </c>
      <c r="F20" s="80">
        <f t="shared" si="1"/>
        <v>0</v>
      </c>
      <c r="G20" s="81">
        <f t="shared" si="2"/>
        <v>1</v>
      </c>
      <c r="H20" s="82">
        <f>VLOOKUP(A20,'Transporte - FU'!$A$3:$C$168,3,0)</f>
        <v>1</v>
      </c>
      <c r="I20" s="81">
        <f>VLOOKUP(A20,'Transporte - FU'!$A$3:$C$166,2,0)</f>
        <v>323140</v>
      </c>
      <c r="J20" s="83">
        <f>VLOOKUP(I20,CHP!$A$13:$D$215,3,0)</f>
        <v>319.57</v>
      </c>
      <c r="K20" s="81" t="s">
        <v>237</v>
      </c>
      <c r="L20" s="138">
        <f>IF(E20&lt;&gt;0,VLOOKUP(A20,Pedagios!$A$11:$AM$206,6,0),0)</f>
        <v>0</v>
      </c>
      <c r="M20" s="84">
        <f t="shared" si="5"/>
        <v>0</v>
      </c>
    </row>
    <row r="21" spans="1:13" x14ac:dyDescent="0.2">
      <c r="A21" s="154">
        <v>333140</v>
      </c>
      <c r="B21" s="69" t="str">
        <f>VLOOKUP(A21,CHP!$A$13:D$211,2,0)</f>
        <v>Cam. bascul. 2426/48  6m3 severa</v>
      </c>
      <c r="C21" s="80">
        <f t="shared" si="0"/>
        <v>521.5</v>
      </c>
      <c r="D21" s="80">
        <f t="shared" si="3"/>
        <v>31.5</v>
      </c>
      <c r="E21" s="397">
        <f>IFERROR(VLOOKUP($A21,'hora.Equip.obra'!$A$2:$C$68,3,0),0)</f>
        <v>0</v>
      </c>
      <c r="F21" s="80">
        <f t="shared" si="1"/>
        <v>0</v>
      </c>
      <c r="G21" s="81">
        <f t="shared" si="2"/>
        <v>1</v>
      </c>
      <c r="H21" s="82">
        <f>VLOOKUP(A21,'Transporte - FU'!$A$3:$C$168,3,0)</f>
        <v>1</v>
      </c>
      <c r="I21" s="81">
        <f>VLOOKUP(A21,'Transporte - FU'!$A$3:$C$166,2,0)</f>
        <v>333140</v>
      </c>
      <c r="J21" s="83">
        <f>VLOOKUP(I21,CHP!$A$13:$D$215,3,0)</f>
        <v>346.9</v>
      </c>
      <c r="K21" s="81" t="s">
        <v>237</v>
      </c>
      <c r="L21" s="138">
        <f>IF(E21&lt;&gt;0,VLOOKUP(A21,Pedagios!$A$11:$AM$206,6,0),0)</f>
        <v>0</v>
      </c>
      <c r="M21" s="84">
        <f t="shared" si="5"/>
        <v>0</v>
      </c>
    </row>
    <row r="22" spans="1:13" x14ac:dyDescent="0.2">
      <c r="A22" s="154">
        <v>321800</v>
      </c>
      <c r="B22" s="69" t="str">
        <f>VLOOKUP(A22,CHP!$A$13:D$211,2,0)</f>
        <v>Cam. bascul. 2426/48  8m3 média</v>
      </c>
      <c r="C22" s="80">
        <f t="shared" si="0"/>
        <v>521.5</v>
      </c>
      <c r="D22" s="80">
        <f t="shared" si="3"/>
        <v>31.5</v>
      </c>
      <c r="E22" s="397">
        <f>IFERROR(VLOOKUP($A22,'hora.Equip.obra'!$A$2:$C$68,3,0),0)</f>
        <v>0</v>
      </c>
      <c r="F22" s="80">
        <f t="shared" si="1"/>
        <v>0</v>
      </c>
      <c r="G22" s="81">
        <f t="shared" si="2"/>
        <v>1</v>
      </c>
      <c r="H22" s="82">
        <f>VLOOKUP(A22,'Transporte - FU'!$A$3:$C$168,3,0)</f>
        <v>1</v>
      </c>
      <c r="I22" s="81">
        <f>VLOOKUP(A22,'Transporte - FU'!$A$3:$C$166,2,0)</f>
        <v>321800</v>
      </c>
      <c r="J22" s="83">
        <f>VLOOKUP(I22,CHP!$A$13:$D$215,3,0)</f>
        <v>321.66000000000003</v>
      </c>
      <c r="K22" s="81" t="s">
        <v>237</v>
      </c>
      <c r="L22" s="138">
        <f>IF(E22&lt;&gt;0,VLOOKUP(A22,Pedagios!$A$11:$AM$206,6,0),0)</f>
        <v>0</v>
      </c>
      <c r="M22" s="84">
        <f t="shared" si="5"/>
        <v>0</v>
      </c>
    </row>
    <row r="23" spans="1:13" x14ac:dyDescent="0.2">
      <c r="A23" s="154">
        <v>321820</v>
      </c>
      <c r="B23" s="69" t="str">
        <f>VLOOKUP(A23,CHP!$A$13:D$211,2,0)</f>
        <v>Cam. bascul. 2426/48 10m3 média</v>
      </c>
      <c r="C23" s="80">
        <f t="shared" si="0"/>
        <v>521.5</v>
      </c>
      <c r="D23" s="80">
        <f t="shared" si="3"/>
        <v>31.5</v>
      </c>
      <c r="E23" s="397">
        <f>IFERROR(VLOOKUP($A23,'hora.Equip.obra'!$A$2:$C$68,3,0),0)</f>
        <v>205.13470000000001</v>
      </c>
      <c r="F23" s="80">
        <f t="shared" si="1"/>
        <v>1</v>
      </c>
      <c r="G23" s="81">
        <f t="shared" si="2"/>
        <v>1</v>
      </c>
      <c r="H23" s="82">
        <f>VLOOKUP(A23,'Transporte - FU'!$A$3:$C$168,3,0)</f>
        <v>1</v>
      </c>
      <c r="I23" s="81">
        <f>VLOOKUP(A23,'Transporte - FU'!$A$3:$C$166,2,0)</f>
        <v>321820</v>
      </c>
      <c r="J23" s="83">
        <f>VLOOKUP(I23,CHP!$A$13:$D$215,3,0)</f>
        <v>322.3</v>
      </c>
      <c r="K23" s="81" t="s">
        <v>237</v>
      </c>
      <c r="L23" s="138">
        <f>IF(E23&lt;&gt;0,VLOOKUP(A23,Pedagios!$A$11:$AM$206,6,0),0)</f>
        <v>102.30000000000001</v>
      </c>
      <c r="M23" s="84">
        <f t="shared" si="5"/>
        <v>3157.4354166666667</v>
      </c>
    </row>
    <row r="24" spans="1:13" x14ac:dyDescent="0.2">
      <c r="A24" s="154">
        <v>322140</v>
      </c>
      <c r="B24" s="69" t="str">
        <f>VLOOKUP(A24,CHP!$A$13:D$211,2,0)</f>
        <v>Cam. bascul. 2730/36  5m3 média</v>
      </c>
      <c r="C24" s="80">
        <f t="shared" si="0"/>
        <v>521.5</v>
      </c>
      <c r="D24" s="80">
        <f t="shared" si="3"/>
        <v>31.5</v>
      </c>
      <c r="E24" s="397">
        <f>IFERROR(VLOOKUP($A24,'hora.Equip.obra'!$A$2:$C$68,3,0),0)</f>
        <v>0</v>
      </c>
      <c r="F24" s="80">
        <f t="shared" si="1"/>
        <v>0</v>
      </c>
      <c r="G24" s="81">
        <f t="shared" si="2"/>
        <v>1</v>
      </c>
      <c r="H24" s="82">
        <f>VLOOKUP(A24,'Transporte - FU'!$A$3:$C$168,3,0)</f>
        <v>1</v>
      </c>
      <c r="I24" s="81">
        <f>VLOOKUP(A24,'Transporte - FU'!$A$3:$C$166,2,0)</f>
        <v>322140</v>
      </c>
      <c r="J24" s="83">
        <f>VLOOKUP(I24,CHP!$A$13:$D$215,3,0)</f>
        <v>345.26</v>
      </c>
      <c r="K24" s="81" t="s">
        <v>237</v>
      </c>
      <c r="L24" s="138">
        <f>IF(E24&lt;&gt;0,VLOOKUP(A24,Pedagios!$A$11:$AM$206,6,0),0)</f>
        <v>0</v>
      </c>
      <c r="M24" s="84">
        <f t="shared" si="5"/>
        <v>0</v>
      </c>
    </row>
    <row r="25" spans="1:13" x14ac:dyDescent="0.2">
      <c r="A25" s="154">
        <v>336090</v>
      </c>
      <c r="B25" s="69" t="str">
        <f>VLOOKUP(A25,CHP!$A$13:D$211,2,0)</f>
        <v>Cam. caçamba minério 10m3 severa</v>
      </c>
      <c r="C25" s="80">
        <f t="shared" si="0"/>
        <v>521.5</v>
      </c>
      <c r="D25" s="80">
        <f t="shared" si="3"/>
        <v>31.5</v>
      </c>
      <c r="E25" s="397">
        <f>IFERROR(VLOOKUP($A25,'hora.Equip.obra'!$A$2:$C$68,3,0),0)</f>
        <v>0</v>
      </c>
      <c r="F25" s="80">
        <f t="shared" si="1"/>
        <v>0</v>
      </c>
      <c r="G25" s="81">
        <f t="shared" si="2"/>
        <v>1</v>
      </c>
      <c r="H25" s="82">
        <f>VLOOKUP(A25,'Transporte - FU'!$A$3:$C$168,3,0)</f>
        <v>1</v>
      </c>
      <c r="I25" s="81">
        <f>VLOOKUP(A25,'Transporte - FU'!$A$3:$C$166,2,0)</f>
        <v>336090</v>
      </c>
      <c r="J25" s="83">
        <f>VLOOKUP(I25,CHP!$A$13:$D$215,3,0)</f>
        <v>358.9</v>
      </c>
      <c r="K25" s="81" t="s">
        <v>237</v>
      </c>
      <c r="L25" s="138">
        <f>IF(E25&lt;&gt;0,VLOOKUP(A25,Pedagios!$A$11:$AM$206,6,0),0)</f>
        <v>0</v>
      </c>
      <c r="M25" s="84">
        <f t="shared" ref="M25:M39" si="6">IFERROR(((C25*G25*H25)/$M$6+(D25*G25*H25)/$M$7)*J25*F25,0)+(F25*L25)</f>
        <v>0</v>
      </c>
    </row>
    <row r="26" spans="1:13" x14ac:dyDescent="0.2">
      <c r="A26" s="154">
        <v>343800</v>
      </c>
      <c r="B26" s="69" t="str">
        <f>VLOOKUP(A26,CHP!$A$13:D$211,2,0)</f>
        <v>Cam. chassi VM-390 p/ microrevestimento</v>
      </c>
      <c r="C26" s="80">
        <f t="shared" si="0"/>
        <v>521.5</v>
      </c>
      <c r="D26" s="80">
        <f t="shared" si="3"/>
        <v>31.5</v>
      </c>
      <c r="E26" s="397">
        <f>IFERROR(VLOOKUP($A26,'hora.Equip.obra'!$A$2:$C$68,3,0),0)</f>
        <v>0</v>
      </c>
      <c r="F26" s="80">
        <f t="shared" ref="F26" si="7">ROUNDUP(E26/($M$9*$M$8),0)</f>
        <v>0</v>
      </c>
      <c r="G26" s="81">
        <f t="shared" ref="G26" si="8">IF(A26=I26,1,2)</f>
        <v>1</v>
      </c>
      <c r="H26" s="82">
        <f>VLOOKUP(A26,'Transporte - FU'!$A$3:$C$168,3,0)</f>
        <v>1</v>
      </c>
      <c r="I26" s="81">
        <f>VLOOKUP(A26,'Transporte - FU'!$A$3:$C$166,2,0)</f>
        <v>343800</v>
      </c>
      <c r="J26" s="83">
        <f>VLOOKUP(I26,CHP!$A$13:$D$215,3,0)</f>
        <v>369.34</v>
      </c>
      <c r="K26" s="81" t="s">
        <v>237</v>
      </c>
      <c r="L26" s="138">
        <f>IF(E26&lt;&gt;0,VLOOKUP(A26,Pedagios!$A$11:$AM$206,6,0),0)</f>
        <v>0</v>
      </c>
      <c r="M26" s="84">
        <f t="shared" si="6"/>
        <v>0</v>
      </c>
    </row>
    <row r="27" spans="1:13" x14ac:dyDescent="0.2">
      <c r="A27" s="154">
        <v>346050</v>
      </c>
      <c r="B27" s="69" t="str">
        <f>VLOOKUP(A27,CHP!$A$13:D$211,2,0)</f>
        <v>Cam. chassi 1419</v>
      </c>
      <c r="C27" s="80">
        <f t="shared" si="0"/>
        <v>521.5</v>
      </c>
      <c r="D27" s="80">
        <f t="shared" si="3"/>
        <v>31.5</v>
      </c>
      <c r="E27" s="397">
        <f>IFERROR(VLOOKUP($A27,'hora.Equip.obra'!$A$2:$C$68,3,0),0)</f>
        <v>38.238</v>
      </c>
      <c r="F27" s="80">
        <f t="shared" ref="F27:F39" si="9">ROUNDUP(E27/($M$9*$M$8),0)</f>
        <v>1</v>
      </c>
      <c r="G27" s="81">
        <f t="shared" ref="G27:G39" si="10">IF(A27=I27,1,2)</f>
        <v>1</v>
      </c>
      <c r="H27" s="82">
        <f>VLOOKUP(A27,'Transporte - FU'!$A$3:$C$168,3,0)</f>
        <v>1</v>
      </c>
      <c r="I27" s="81">
        <f>VLOOKUP(A27,'Transporte - FU'!$A$3:$C$166,2,0)</f>
        <v>346050</v>
      </c>
      <c r="J27" s="83">
        <f>VLOOKUP(I27,CHP!$A$13:$D$215,3,0)</f>
        <v>238.99</v>
      </c>
      <c r="K27" s="81" t="s">
        <v>237</v>
      </c>
      <c r="L27" s="138">
        <f>IF(E27&lt;&gt;0,VLOOKUP(A27,Pedagios!$A$11:$AM$206,6,0),0)</f>
        <v>68.2</v>
      </c>
      <c r="M27" s="84">
        <f t="shared" si="6"/>
        <v>2333.6260416666664</v>
      </c>
    </row>
    <row r="28" spans="1:13" x14ac:dyDescent="0.2">
      <c r="A28" s="154">
        <v>342300</v>
      </c>
      <c r="B28" s="69" t="str">
        <f>VLOOKUP(A28,CHP!$A$13:D$211,2,0)</f>
        <v>Cam. chassi 18.210</v>
      </c>
      <c r="C28" s="80">
        <f t="shared" si="0"/>
        <v>521.5</v>
      </c>
      <c r="D28" s="80">
        <f t="shared" si="3"/>
        <v>31.5</v>
      </c>
      <c r="E28" s="397">
        <f>IFERROR(VLOOKUP($A28,'hora.Equip.obra'!$A$2:$C$68,3,0),0)</f>
        <v>0</v>
      </c>
      <c r="F28" s="80">
        <f t="shared" si="9"/>
        <v>0</v>
      </c>
      <c r="G28" s="81">
        <f t="shared" si="10"/>
        <v>1</v>
      </c>
      <c r="H28" s="82">
        <f>VLOOKUP(A28,'Transporte - FU'!$A$3:$C$168,3,0)</f>
        <v>1</v>
      </c>
      <c r="I28" s="81">
        <f>VLOOKUP(A28,'Transporte - FU'!$A$3:$C$166,2,0)</f>
        <v>342300</v>
      </c>
      <c r="J28" s="83">
        <f>VLOOKUP(I28,CHP!$A$13:$D$215,3,0)</f>
        <v>243.27</v>
      </c>
      <c r="K28" s="81" t="s">
        <v>237</v>
      </c>
      <c r="L28" s="138">
        <f>IF(E28&lt;&gt;0,VLOOKUP(A28,Pedagios!$A$11:$AM$206,6,0),0)</f>
        <v>0</v>
      </c>
      <c r="M28" s="84">
        <f t="shared" si="6"/>
        <v>0</v>
      </c>
    </row>
    <row r="29" spans="1:13" x14ac:dyDescent="0.2">
      <c r="A29" s="154">
        <v>346010</v>
      </c>
      <c r="B29" s="69" t="str">
        <f>VLOOKUP(A29,CHP!$A$13:D$211,2,0)</f>
        <v>Cam. chassi 1726 p/ carroceria</v>
      </c>
      <c r="C29" s="80">
        <f t="shared" si="0"/>
        <v>521.5</v>
      </c>
      <c r="D29" s="80">
        <f t="shared" si="3"/>
        <v>31.5</v>
      </c>
      <c r="E29" s="397">
        <f>IFERROR(VLOOKUP($A29,'hora.Equip.obra'!$A$2:$C$68,3,0),0)</f>
        <v>0</v>
      </c>
      <c r="F29" s="80">
        <f t="shared" si="9"/>
        <v>0</v>
      </c>
      <c r="G29" s="81">
        <f t="shared" si="10"/>
        <v>1</v>
      </c>
      <c r="H29" s="82">
        <f>VLOOKUP(A29,'Transporte - FU'!$A$3:$C$168,3,0)</f>
        <v>1</v>
      </c>
      <c r="I29" s="81">
        <f>VLOOKUP(A29,'Transporte - FU'!$A$3:$C$166,2,0)</f>
        <v>346010</v>
      </c>
      <c r="J29" s="83">
        <f>VLOOKUP(I29,CHP!$A$13:$D$215,3,0)</f>
        <v>280.02</v>
      </c>
      <c r="K29" s="81" t="s">
        <v>237</v>
      </c>
      <c r="L29" s="138">
        <f>IF(E29&lt;&gt;0,VLOOKUP(A29,Pedagios!$A$11:$AM$206,6,0),0)</f>
        <v>0</v>
      </c>
      <c r="M29" s="84">
        <f t="shared" si="6"/>
        <v>0</v>
      </c>
    </row>
    <row r="30" spans="1:13" x14ac:dyDescent="0.2">
      <c r="A30" s="154">
        <v>341800</v>
      </c>
      <c r="B30" s="69" t="str">
        <f>VLOOKUP(A30,CHP!$A$13:D$211,2,0)</f>
        <v>Cam. chassi 1726 p/ lama asfáltica</v>
      </c>
      <c r="C30" s="80">
        <f t="shared" si="0"/>
        <v>521.5</v>
      </c>
      <c r="D30" s="80">
        <f t="shared" si="3"/>
        <v>31.5</v>
      </c>
      <c r="E30" s="397">
        <f>IFERROR(VLOOKUP($A30,'hora.Equip.obra'!$A$2:$C$68,3,0),0)</f>
        <v>0</v>
      </c>
      <c r="F30" s="80">
        <f t="shared" si="9"/>
        <v>0</v>
      </c>
      <c r="G30" s="81">
        <f t="shared" si="10"/>
        <v>1</v>
      </c>
      <c r="H30" s="82">
        <f>VLOOKUP(A30,'Transporte - FU'!$A$3:$C$168,3,0)</f>
        <v>1</v>
      </c>
      <c r="I30" s="81">
        <f>VLOOKUP(A30,'Transporte - FU'!$A$3:$C$166,2,0)</f>
        <v>341800</v>
      </c>
      <c r="J30" s="83">
        <f>VLOOKUP(I30,CHP!$A$13:$D$215,3,0)</f>
        <v>283.14</v>
      </c>
      <c r="K30" s="81" t="s">
        <v>237</v>
      </c>
      <c r="L30" s="138">
        <f>IF(E30&lt;&gt;0,VLOOKUP(A30,Pedagios!$A$11:$AM$206,6,0),0)</f>
        <v>0</v>
      </c>
      <c r="M30" s="84">
        <f t="shared" si="6"/>
        <v>0</v>
      </c>
    </row>
    <row r="31" spans="1:13" x14ac:dyDescent="0.2">
      <c r="A31" s="154">
        <v>326280</v>
      </c>
      <c r="B31" s="69" t="str">
        <f>VLOOKUP(A31,CHP!$A$13:D$211,2,0)</f>
        <v xml:space="preserve">Caminhão betoneira 8 m³  </v>
      </c>
      <c r="C31" s="80">
        <f t="shared" si="0"/>
        <v>521.5</v>
      </c>
      <c r="D31" s="80">
        <f t="shared" si="3"/>
        <v>31.5</v>
      </c>
      <c r="E31" s="397">
        <f>IFERROR(VLOOKUP($A31,'hora.Equip.obra'!$A$2:$C$68,3,0),0)</f>
        <v>0</v>
      </c>
      <c r="F31" s="80">
        <f t="shared" si="9"/>
        <v>0</v>
      </c>
      <c r="G31" s="81">
        <f>IF(A31=I31,1,2)</f>
        <v>1</v>
      </c>
      <c r="H31" s="82">
        <f>VLOOKUP(A31,'Transporte - FU'!$A$3:$C$168,3,0)</f>
        <v>1</v>
      </c>
      <c r="I31" s="81">
        <f>VLOOKUP(A31,'Transporte - FU'!$A$3:$C$166,2,0)</f>
        <v>326280</v>
      </c>
      <c r="J31" s="83">
        <f>VLOOKUP(I31,CHP!$A$13:$D$215,3,0)</f>
        <v>344.9</v>
      </c>
      <c r="K31" s="81" t="s">
        <v>237</v>
      </c>
      <c r="L31" s="138">
        <f>IF(E31&lt;&gt;0,VLOOKUP(A31,Pedagios!$A$11:$AM$206,6,0),0)</f>
        <v>0</v>
      </c>
      <c r="M31" s="84">
        <f t="shared" si="6"/>
        <v>0</v>
      </c>
    </row>
    <row r="32" spans="1:13" x14ac:dyDescent="0.2">
      <c r="A32" s="154">
        <v>346020</v>
      </c>
      <c r="B32" s="69" t="str">
        <f>VLOOKUP(A32,CHP!$A$13:D$211,2,0)</f>
        <v>Caminhão c/ guindauto</v>
      </c>
      <c r="C32" s="80">
        <f t="shared" si="0"/>
        <v>521.5</v>
      </c>
      <c r="D32" s="80">
        <f t="shared" si="3"/>
        <v>31.5</v>
      </c>
      <c r="E32" s="397">
        <f>IFERROR(VLOOKUP($A32,'hora.Equip.obra'!$A$2:$C$68,3,0),0)</f>
        <v>0</v>
      </c>
      <c r="F32" s="80">
        <f t="shared" si="9"/>
        <v>0</v>
      </c>
      <c r="G32" s="81">
        <f t="shared" si="10"/>
        <v>1</v>
      </c>
      <c r="H32" s="82">
        <f>VLOOKUP(A32,'Transporte - FU'!$A$3:$C$168,3,0)</f>
        <v>1</v>
      </c>
      <c r="I32" s="81">
        <f>VLOOKUP(A32,'Transporte - FU'!$A$3:$C$166,2,0)</f>
        <v>346020</v>
      </c>
      <c r="J32" s="83">
        <f>VLOOKUP(I32,CHP!$A$13:$D$215,3,0)</f>
        <v>275.76</v>
      </c>
      <c r="K32" s="81" t="s">
        <v>237</v>
      </c>
      <c r="L32" s="138">
        <f>IF(E32&lt;&gt;0,VLOOKUP(A32,Pedagios!$A$11:$AM$206,6,0),0)</f>
        <v>0</v>
      </c>
      <c r="M32" s="84">
        <f t="shared" si="6"/>
        <v>0</v>
      </c>
    </row>
    <row r="33" spans="1:13" x14ac:dyDescent="0.2">
      <c r="A33" s="154">
        <v>346090</v>
      </c>
      <c r="B33" s="69" t="str">
        <f>VLOOKUP(A33,CHP!$A$13:D$211,2,0)</f>
        <v>Caminhão carroceria cabine dupla</v>
      </c>
      <c r="C33" s="80">
        <f t="shared" si="0"/>
        <v>521.5</v>
      </c>
      <c r="D33" s="80">
        <f t="shared" si="3"/>
        <v>31.5</v>
      </c>
      <c r="E33" s="397">
        <f>IFERROR(VLOOKUP($A33,'hora.Equip.obra'!$A$2:$C$68,3,0),0)</f>
        <v>0</v>
      </c>
      <c r="F33" s="80">
        <f t="shared" ref="F33" si="11">ROUNDUP(E33/($M$9*$M$8),0)</f>
        <v>0</v>
      </c>
      <c r="G33" s="81">
        <f t="shared" ref="G33" si="12">IF(A33=I33,1,2)</f>
        <v>1</v>
      </c>
      <c r="H33" s="82">
        <f>VLOOKUP(A33,'Transporte - FU'!$A$3:$C$168,3,0)</f>
        <v>1</v>
      </c>
      <c r="I33" s="81">
        <f>VLOOKUP(A33,'Transporte - FU'!$A$3:$C$166,2,0)</f>
        <v>346090</v>
      </c>
      <c r="J33" s="83">
        <f>VLOOKUP(I33,CHP!$A$13:$D$215,3,0)</f>
        <v>204.78</v>
      </c>
      <c r="K33" s="81" t="s">
        <v>237</v>
      </c>
      <c r="L33" s="138">
        <f>IF(E33&lt;&gt;0,VLOOKUP(A33,Pedagios!$A$11:$AM$206,6,0),0)</f>
        <v>0</v>
      </c>
      <c r="M33" s="84">
        <f t="shared" ref="M33" si="13">IFERROR(((C33*G33*H33)/$M$6+(D33*G33*H33)/$M$7)*J33*F33,0)+(F33*L33)</f>
        <v>0</v>
      </c>
    </row>
    <row r="34" spans="1:13" x14ac:dyDescent="0.2">
      <c r="A34" s="154">
        <v>346000</v>
      </c>
      <c r="B34" s="69" t="str">
        <f>VLOOKUP(A34,CHP!$A$13:D$211,2,0)</f>
        <v>Caminhão carroceria 1419 14 t</v>
      </c>
      <c r="C34" s="80">
        <f t="shared" si="0"/>
        <v>521.5</v>
      </c>
      <c r="D34" s="80">
        <f t="shared" si="3"/>
        <v>31.5</v>
      </c>
      <c r="E34" s="397">
        <f>IFERROR(VLOOKUP($A34,'hora.Equip.obra'!$A$2:$C$68,3,0),0)</f>
        <v>1215.3185000000001</v>
      </c>
      <c r="F34" s="80">
        <f t="shared" si="9"/>
        <v>1</v>
      </c>
      <c r="G34" s="81">
        <f t="shared" si="10"/>
        <v>1</v>
      </c>
      <c r="H34" s="82">
        <f>VLOOKUP(A34,'Transporte - FU'!$A$3:$C$168,3,0)</f>
        <v>1</v>
      </c>
      <c r="I34" s="81">
        <f>VLOOKUP(A34,'Transporte - FU'!$A$3:$C$166,2,0)</f>
        <v>346000</v>
      </c>
      <c r="J34" s="83">
        <f>VLOOKUP(I34,CHP!$A$13:$D$215,3,0)</f>
        <v>242.7</v>
      </c>
      <c r="K34" s="81" t="s">
        <v>237</v>
      </c>
      <c r="L34" s="138">
        <f>IF(E34&lt;&gt;0,VLOOKUP(A34,Pedagios!$A$11:$AM$206,6,0),0)</f>
        <v>68.2</v>
      </c>
      <c r="M34" s="84">
        <f t="shared" si="6"/>
        <v>2368.7937499999994</v>
      </c>
    </row>
    <row r="35" spans="1:13" x14ac:dyDescent="0.2">
      <c r="A35" s="154">
        <v>346080</v>
      </c>
      <c r="B35" s="69" t="str">
        <f>VLOOKUP(A35,CHP!$A$13:D$211,2,0)</f>
        <v>Caminhão carroceria 815/37 6 t</v>
      </c>
      <c r="C35" s="80">
        <f t="shared" si="0"/>
        <v>521.5</v>
      </c>
      <c r="D35" s="80">
        <f t="shared" si="3"/>
        <v>31.5</v>
      </c>
      <c r="E35" s="397">
        <f>IFERROR(VLOOKUP($A35,'hora.Equip.obra'!$A$2:$C$68,3,0),0)</f>
        <v>7.8121</v>
      </c>
      <c r="F35" s="80">
        <f t="shared" si="9"/>
        <v>1</v>
      </c>
      <c r="G35" s="81">
        <f t="shared" si="10"/>
        <v>1</v>
      </c>
      <c r="H35" s="82">
        <f>VLOOKUP(A35,'Transporte - FU'!$A$3:$C$168,3,0)</f>
        <v>1</v>
      </c>
      <c r="I35" s="81">
        <f>VLOOKUP(A35,'Transporte - FU'!$A$3:$C$166,2,0)</f>
        <v>346080</v>
      </c>
      <c r="J35" s="83">
        <f>VLOOKUP(I35,CHP!$A$13:$D$215,3,0)</f>
        <v>192.49</v>
      </c>
      <c r="K35" s="81" t="s">
        <v>237</v>
      </c>
      <c r="L35" s="138">
        <f>IF(E35&lt;&gt;0,VLOOKUP(A35,Pedagios!$A$11:$AM$206,6,0),0)</f>
        <v>68.2</v>
      </c>
      <c r="M35" s="84">
        <f t="shared" si="6"/>
        <v>1892.8447916666667</v>
      </c>
    </row>
    <row r="36" spans="1:13" x14ac:dyDescent="0.2">
      <c r="A36" s="154">
        <v>346220</v>
      </c>
      <c r="B36" s="69" t="str">
        <f>VLOOKUP(A36,CHP!$A$13:D$211,2,0)</f>
        <v xml:space="preserve">Caminhão com guindaste com cesto </v>
      </c>
      <c r="C36" s="80">
        <f t="shared" si="0"/>
        <v>521.5</v>
      </c>
      <c r="D36" s="80">
        <f t="shared" si="3"/>
        <v>31.5</v>
      </c>
      <c r="E36" s="397">
        <f>IFERROR(VLOOKUP($A36,'hora.Equip.obra'!$A$2:$C$68,3,0),0)</f>
        <v>0</v>
      </c>
      <c r="F36" s="80">
        <f t="shared" si="9"/>
        <v>0</v>
      </c>
      <c r="G36" s="81">
        <f t="shared" si="10"/>
        <v>1</v>
      </c>
      <c r="H36" s="82">
        <f>VLOOKUP(A36,'Transporte - FU'!$A$3:$C$168,3,0)</f>
        <v>1</v>
      </c>
      <c r="I36" s="81">
        <f>VLOOKUP(A36,'Transporte - FU'!$A$3:$C$166,2,0)</f>
        <v>346220</v>
      </c>
      <c r="J36" s="83">
        <f>VLOOKUP(I36,CHP!$A$13:$D$215,3,0)</f>
        <v>346.81</v>
      </c>
      <c r="K36" s="81" t="s">
        <v>237</v>
      </c>
      <c r="L36" s="138">
        <f>IF(E36&lt;&gt;0,VLOOKUP(A36,Pedagios!$A$11:$AM$206,6,0),0)</f>
        <v>0</v>
      </c>
      <c r="M36" s="84">
        <f t="shared" si="6"/>
        <v>0</v>
      </c>
    </row>
    <row r="37" spans="1:13" x14ac:dyDescent="0.2">
      <c r="A37" s="154">
        <v>346030</v>
      </c>
      <c r="B37" s="69" t="str">
        <f>VLOOKUP(A37,CHP!$A$13:D$211,2,0)</f>
        <v>Caminhão comboio abastecedor</v>
      </c>
      <c r="C37" s="80">
        <f t="shared" si="0"/>
        <v>521.5</v>
      </c>
      <c r="D37" s="80">
        <f t="shared" si="3"/>
        <v>31.5</v>
      </c>
      <c r="E37" s="397">
        <f>IFERROR(VLOOKUP($A37,'hora.Equip.obra'!$A$2:$C$68,3,0),0)</f>
        <v>0</v>
      </c>
      <c r="F37" s="80">
        <f t="shared" si="9"/>
        <v>0</v>
      </c>
      <c r="G37" s="81">
        <f t="shared" si="10"/>
        <v>1</v>
      </c>
      <c r="H37" s="82">
        <f>VLOOKUP(A37,'Transporte - FU'!$A$3:$C$168,3,0)</f>
        <v>1</v>
      </c>
      <c r="I37" s="81">
        <f>VLOOKUP(A37,'Transporte - FU'!$A$3:$C$166,2,0)</f>
        <v>346030</v>
      </c>
      <c r="J37" s="83">
        <f>VLOOKUP(I37,CHP!$A$13:$D$215,3,0)</f>
        <v>253.06</v>
      </c>
      <c r="K37" s="81" t="s">
        <v>237</v>
      </c>
      <c r="L37" s="138">
        <f>IF(E37&lt;&gt;0,VLOOKUP(A37,Pedagios!$A$11:$AM$206,6,0),0)</f>
        <v>0</v>
      </c>
      <c r="M37" s="84">
        <f t="shared" si="6"/>
        <v>0</v>
      </c>
    </row>
    <row r="38" spans="1:13" x14ac:dyDescent="0.2">
      <c r="A38" s="154">
        <v>346060</v>
      </c>
      <c r="B38" s="69" t="str">
        <f>VLOOKUP(A38,CHP!$A$13:D$211,2,0)</f>
        <v>Caminhão irrigador 6000 l</v>
      </c>
      <c r="C38" s="80">
        <f t="shared" si="0"/>
        <v>521.5</v>
      </c>
      <c r="D38" s="80">
        <f t="shared" si="3"/>
        <v>31.5</v>
      </c>
      <c r="E38" s="397">
        <f>IFERROR(VLOOKUP($A38,'hora.Equip.obra'!$A$2:$C$68,3,0),0)</f>
        <v>378.44920000000002</v>
      </c>
      <c r="F38" s="80">
        <f t="shared" si="9"/>
        <v>1</v>
      </c>
      <c r="G38" s="81">
        <f t="shared" si="10"/>
        <v>1</v>
      </c>
      <c r="H38" s="82">
        <f>VLOOKUP(A38,'Transporte - FU'!$A$3:$C$168,3,0)</f>
        <v>1</v>
      </c>
      <c r="I38" s="81">
        <f>VLOOKUP(A38,'Transporte - FU'!$A$3:$C$166,2,0)</f>
        <v>346060</v>
      </c>
      <c r="J38" s="83">
        <f>VLOOKUP(I38,CHP!$A$13:$D$215,3,0)</f>
        <v>252.29</v>
      </c>
      <c r="K38" s="81" t="s">
        <v>237</v>
      </c>
      <c r="L38" s="138">
        <f>IF(E38&lt;&gt;0,VLOOKUP(A38,Pedagios!$A$11:$AM$206,6,0),0)</f>
        <v>68.2</v>
      </c>
      <c r="M38" s="84">
        <f t="shared" si="6"/>
        <v>2459.6989583333329</v>
      </c>
    </row>
    <row r="39" spans="1:13" x14ac:dyDescent="0.2">
      <c r="A39" s="154">
        <v>346070</v>
      </c>
      <c r="B39" s="69" t="str">
        <f>VLOOKUP(A39,CHP!$A$13:D$211,2,0)</f>
        <v>Caminhão pipa 6000 l</v>
      </c>
      <c r="C39" s="80">
        <f t="shared" si="0"/>
        <v>521.5</v>
      </c>
      <c r="D39" s="80">
        <f t="shared" si="3"/>
        <v>31.5</v>
      </c>
      <c r="E39" s="397">
        <f>IFERROR(VLOOKUP($A39,'hora.Equip.obra'!$A$2:$C$68,3,0),0)</f>
        <v>0</v>
      </c>
      <c r="F39" s="80">
        <f t="shared" si="9"/>
        <v>0</v>
      </c>
      <c r="G39" s="81">
        <f t="shared" si="10"/>
        <v>1</v>
      </c>
      <c r="H39" s="82">
        <f>VLOOKUP(A39,'Transporte - FU'!$A$3:$C$168,3,0)</f>
        <v>1</v>
      </c>
      <c r="I39" s="81">
        <f>VLOOKUP(A39,'Transporte - FU'!$A$3:$C$166,2,0)</f>
        <v>346070</v>
      </c>
      <c r="J39" s="83">
        <f>VLOOKUP(I39,CHP!$A$13:$D$215,3,0)</f>
        <v>247.13</v>
      </c>
      <c r="K39" s="81" t="s">
        <v>237</v>
      </c>
      <c r="L39" s="138">
        <f>IF(E39&lt;&gt;0,VLOOKUP(A39,Pedagios!$A$11:$AM$206,6,0),0)</f>
        <v>0</v>
      </c>
      <c r="M39" s="84">
        <f t="shared" si="6"/>
        <v>0</v>
      </c>
    </row>
    <row r="40" spans="1:13" x14ac:dyDescent="0.2">
      <c r="A40" s="154">
        <v>340030</v>
      </c>
      <c r="B40" s="69" t="str">
        <f>VLOOKUP(A40,CHP!$A$13:D$211,2,0)</f>
        <v>Caminhão silo 30m³</v>
      </c>
      <c r="C40" s="80">
        <f t="shared" si="0"/>
        <v>521.5</v>
      </c>
      <c r="D40" s="80">
        <f t="shared" si="3"/>
        <v>31.5</v>
      </c>
      <c r="E40" s="397">
        <f>IFERROR(VLOOKUP($A40,'hora.Equip.obra'!$A$2:$C$68,3,0),0)</f>
        <v>32.628700000000002</v>
      </c>
      <c r="F40" s="80">
        <f t="shared" ref="F40" si="14">ROUNDUP(E40/($M$9*$M$8),0)</f>
        <v>1</v>
      </c>
      <c r="G40" s="81">
        <f t="shared" ref="G40" si="15">IF(A40=I40,1,2)</f>
        <v>1</v>
      </c>
      <c r="H40" s="82">
        <f>VLOOKUP(A40,'Transporte - FU'!$A$3:$C$168,3,0)</f>
        <v>1</v>
      </c>
      <c r="I40" s="81">
        <f>VLOOKUP(A40,'Transporte - FU'!$A$3:$C$166,2,0)</f>
        <v>340030</v>
      </c>
      <c r="J40" s="83">
        <f>VLOOKUP(I40,CHP!$A$13:$D$215,3,0)</f>
        <v>352.72</v>
      </c>
      <c r="K40" s="81" t="s">
        <v>237</v>
      </c>
      <c r="L40" s="138">
        <f>IF(E40&lt;&gt;0,VLOOKUP(A40,Pedagios!$A$11:$AM$206,6,0),0)</f>
        <v>170.5</v>
      </c>
      <c r="M40" s="84">
        <f t="shared" ref="M40" si="16">IFERROR(((C40*G40*H40)/$M$6+(D40*G40*H40)/$M$7)*J40*F40,0)+(F40*L40)</f>
        <v>3513.9916666666668</v>
      </c>
    </row>
    <row r="41" spans="1:13" x14ac:dyDescent="0.2">
      <c r="A41" s="154">
        <v>320550</v>
      </c>
      <c r="B41" s="69" t="str">
        <f>VLOOKUP(A41,CHP!$A$13:D$211,2,0)</f>
        <v>Carreg. frontal pneus L 60-H média</v>
      </c>
      <c r="C41" s="80">
        <f t="shared" si="0"/>
        <v>521.5</v>
      </c>
      <c r="D41" s="80">
        <f t="shared" si="3"/>
        <v>31.5</v>
      </c>
      <c r="E41" s="397">
        <f>IFERROR(VLOOKUP($A41,'hora.Equip.obra'!$A$2:$C$68,3,0),0)</f>
        <v>0</v>
      </c>
      <c r="F41" s="80">
        <f t="shared" ref="F41:F44" si="17">ROUNDUP(E41/($M$9*$M$8),0)</f>
        <v>0</v>
      </c>
      <c r="G41" s="81">
        <f t="shared" ref="G41:G44" si="18">IF(A41=I41,1,2)</f>
        <v>2</v>
      </c>
      <c r="H41" s="82">
        <f>VLOOKUP(A41,'Transporte - FU'!$A$3:$C$168,3,0)</f>
        <v>0.5</v>
      </c>
      <c r="I41" s="81" t="str">
        <f>VLOOKUP(A41,'Transporte - FU'!$A$3:$C$166,2,0)</f>
        <v>EQ001</v>
      </c>
      <c r="J41" s="83">
        <f>VLOOKUP(I41,CHP!$A$13:$D$215,3,0)</f>
        <v>430.57</v>
      </c>
      <c r="K41" s="81" t="s">
        <v>237</v>
      </c>
      <c r="L41" s="138">
        <f>IF(E41&lt;&gt;0,VLOOKUP(A41,Pedagios!$A$11:$AM$206,6,0),0)</f>
        <v>0</v>
      </c>
      <c r="M41" s="84">
        <f t="shared" ref="M41:M44" si="19">IFERROR(((C41*G41*H41)/$M$6+(D41*G41*H41)/$M$7)*J41*F41,0)+(F41*L41)</f>
        <v>0</v>
      </c>
    </row>
    <row r="42" spans="1:13" x14ac:dyDescent="0.2">
      <c r="A42" s="154">
        <v>319300</v>
      </c>
      <c r="B42" s="69" t="str">
        <f>VLOOKUP(A42,CHP!$A$13:D$211,2,0)</f>
        <v>Carreg. frontal pneus 924-K leve</v>
      </c>
      <c r="C42" s="80">
        <f t="shared" si="0"/>
        <v>521.5</v>
      </c>
      <c r="D42" s="80">
        <f t="shared" si="3"/>
        <v>31.5</v>
      </c>
      <c r="E42" s="397">
        <f>IFERROR(VLOOKUP($A42,'hora.Equip.obra'!$A$2:$C$68,3,0),0)</f>
        <v>0</v>
      </c>
      <c r="F42" s="80">
        <f t="shared" si="17"/>
        <v>0</v>
      </c>
      <c r="G42" s="81">
        <f t="shared" si="18"/>
        <v>2</v>
      </c>
      <c r="H42" s="82">
        <f>VLOOKUP(A42,'Transporte - FU'!$A$3:$C$168,3,0)</f>
        <v>0.5</v>
      </c>
      <c r="I42" s="81" t="str">
        <f>VLOOKUP(A42,'Transporte - FU'!$A$3:$C$166,2,0)</f>
        <v>EQ001</v>
      </c>
      <c r="J42" s="83">
        <f>VLOOKUP(I42,CHP!$A$13:$D$215,3,0)</f>
        <v>430.57</v>
      </c>
      <c r="K42" s="81" t="s">
        <v>237</v>
      </c>
      <c r="L42" s="138">
        <f>IF(E42&lt;&gt;0,VLOOKUP(A42,Pedagios!$A$11:$AM$206,6,0),0)</f>
        <v>0</v>
      </c>
      <c r="M42" s="84">
        <f t="shared" si="19"/>
        <v>0</v>
      </c>
    </row>
    <row r="43" spans="1:13" x14ac:dyDescent="0.2">
      <c r="A43" s="154">
        <v>329300</v>
      </c>
      <c r="B43" s="69" t="str">
        <f>VLOOKUP(A43,CHP!$A$13:D$211,2,0)</f>
        <v>Carreg. frontal pneus 924-K média</v>
      </c>
      <c r="C43" s="80">
        <f t="shared" si="0"/>
        <v>521.5</v>
      </c>
      <c r="D43" s="80">
        <f t="shared" si="3"/>
        <v>31.5</v>
      </c>
      <c r="E43" s="397">
        <f>IFERROR(VLOOKUP($A43,'hora.Equip.obra'!$A$2:$C$68,3,0),0)</f>
        <v>128.49279999999999</v>
      </c>
      <c r="F43" s="80">
        <f t="shared" si="17"/>
        <v>1</v>
      </c>
      <c r="G43" s="81">
        <f t="shared" si="18"/>
        <v>2</v>
      </c>
      <c r="H43" s="82">
        <f>VLOOKUP(A43,'Transporte - FU'!$A$3:$C$168,3,0)</f>
        <v>0.5</v>
      </c>
      <c r="I43" s="81" t="str">
        <f>VLOOKUP(A43,'Transporte - FU'!$A$3:$C$166,2,0)</f>
        <v>EQ001</v>
      </c>
      <c r="J43" s="83">
        <f>VLOOKUP(I43,CHP!$A$13:$D$215,3,0)</f>
        <v>430.57</v>
      </c>
      <c r="K43" s="81" t="s">
        <v>237</v>
      </c>
      <c r="L43" s="138">
        <f>IF(E43&lt;&gt;0,VLOOKUP(A43,Pedagios!$A$11:$AM$206,6,0),0)</f>
        <v>136.4</v>
      </c>
      <c r="M43" s="84">
        <f t="shared" si="19"/>
        <v>4217.8447916666664</v>
      </c>
    </row>
    <row r="44" spans="1:13" x14ac:dyDescent="0.2">
      <c r="A44" s="154">
        <v>339300</v>
      </c>
      <c r="B44" s="69" t="str">
        <f>VLOOKUP(A44,CHP!$A$13:D$211,2,0)</f>
        <v>Carreg. frontal pneus 924-K severa</v>
      </c>
      <c r="C44" s="80">
        <f t="shared" si="0"/>
        <v>521.5</v>
      </c>
      <c r="D44" s="80">
        <f t="shared" si="3"/>
        <v>31.5</v>
      </c>
      <c r="E44" s="397">
        <f>IFERROR(VLOOKUP($A44,'hora.Equip.obra'!$A$2:$C$68,3,0),0)</f>
        <v>0</v>
      </c>
      <c r="F44" s="80">
        <f t="shared" si="17"/>
        <v>0</v>
      </c>
      <c r="G44" s="81">
        <f t="shared" si="18"/>
        <v>2</v>
      </c>
      <c r="H44" s="82">
        <f>VLOOKUP(A44,'Transporte - FU'!$A$3:$C$168,3,0)</f>
        <v>0.5</v>
      </c>
      <c r="I44" s="81" t="str">
        <f>VLOOKUP(A44,'Transporte - FU'!$A$3:$C$166,2,0)</f>
        <v>EQ001</v>
      </c>
      <c r="J44" s="83">
        <f>VLOOKUP(I44,CHP!$A$13:$D$215,3,0)</f>
        <v>430.57</v>
      </c>
      <c r="K44" s="81" t="s">
        <v>237</v>
      </c>
      <c r="L44" s="138">
        <f>IF(E44&lt;&gt;0,VLOOKUP(A44,Pedagios!$A$11:$AM$206,6,0),0)</f>
        <v>0</v>
      </c>
      <c r="M44" s="84">
        <f t="shared" si="19"/>
        <v>0</v>
      </c>
    </row>
    <row r="45" spans="1:13" x14ac:dyDescent="0.2">
      <c r="A45" s="154">
        <v>319660</v>
      </c>
      <c r="B45" s="69" t="str">
        <f>VLOOKUP(A45,CHP!$A$13:D$211,2,0)</f>
        <v>Carreg. frontal pneus 950-L leve</v>
      </c>
      <c r="C45" s="80">
        <f t="shared" si="0"/>
        <v>521.5</v>
      </c>
      <c r="D45" s="80">
        <f t="shared" si="3"/>
        <v>31.5</v>
      </c>
      <c r="E45" s="397">
        <f>IFERROR(VLOOKUP($A45,'hora.Equip.obra'!$A$2:$C$68,3,0),0)</f>
        <v>0</v>
      </c>
      <c r="F45" s="80">
        <f t="shared" si="1"/>
        <v>0</v>
      </c>
      <c r="G45" s="81">
        <f t="shared" si="2"/>
        <v>2</v>
      </c>
      <c r="H45" s="82">
        <f>VLOOKUP(A45,'Transporte - FU'!$A$3:$C$168,3,0)</f>
        <v>0.5</v>
      </c>
      <c r="I45" s="81" t="str">
        <f>VLOOKUP(A45,'Transporte - FU'!$A$3:$C$166,2,0)</f>
        <v>EQ001</v>
      </c>
      <c r="J45" s="83">
        <f>VLOOKUP(I45,CHP!$A$13:$D$215,3,0)</f>
        <v>430.57</v>
      </c>
      <c r="K45" s="81" t="s">
        <v>237</v>
      </c>
      <c r="L45" s="138">
        <f>IF(E45&lt;&gt;0,VLOOKUP(A45,Pedagios!$A$11:$AM$206,6,0),0)</f>
        <v>0</v>
      </c>
      <c r="M45" s="84">
        <f>IFERROR(((C45*G45*H45)/$M$6+(D45*G45*H45)/$M$7)*J45*F45,0)+(F45*L45)</f>
        <v>0</v>
      </c>
    </row>
    <row r="46" spans="1:13" x14ac:dyDescent="0.2">
      <c r="A46" s="154">
        <v>329660</v>
      </c>
      <c r="B46" s="69" t="str">
        <f>VLOOKUP(A46,CHP!$A$13:D$211,2,0)</f>
        <v>Carreg. frontal pneus 950-L média</v>
      </c>
      <c r="C46" s="80">
        <f t="shared" si="0"/>
        <v>521.5</v>
      </c>
      <c r="D46" s="80">
        <f t="shared" si="3"/>
        <v>31.5</v>
      </c>
      <c r="E46" s="397">
        <f>IFERROR(VLOOKUP($A46,'hora.Equip.obra'!$A$2:$C$68,3,0),0)</f>
        <v>0</v>
      </c>
      <c r="F46" s="80">
        <f t="shared" si="1"/>
        <v>0</v>
      </c>
      <c r="G46" s="81">
        <f t="shared" si="2"/>
        <v>2</v>
      </c>
      <c r="H46" s="82">
        <f>VLOOKUP(A46,'Transporte - FU'!$A$3:$C$168,3,0)</f>
        <v>0.5</v>
      </c>
      <c r="I46" s="81" t="str">
        <f>VLOOKUP(A46,'Transporte - FU'!$A$3:$C$166,2,0)</f>
        <v>EQ001</v>
      </c>
      <c r="J46" s="83">
        <f>VLOOKUP(I46,CHP!$A$13:$D$215,3,0)</f>
        <v>430.57</v>
      </c>
      <c r="K46" s="81" t="s">
        <v>237</v>
      </c>
      <c r="L46" s="138">
        <f>IF(E46&lt;&gt;0,VLOOKUP(A46,Pedagios!$A$11:$AM$206,6,0),0)</f>
        <v>0</v>
      </c>
      <c r="M46" s="84">
        <f t="shared" si="5"/>
        <v>0</v>
      </c>
    </row>
    <row r="47" spans="1:13" s="75" customFormat="1" ht="14.25" x14ac:dyDescent="0.2">
      <c r="A47" s="154">
        <v>339660</v>
      </c>
      <c r="B47" s="69" t="str">
        <f>VLOOKUP(A47,CHP!$A$13:D$211,2,0)</f>
        <v>Carreg. frontal pneus 950-L severa</v>
      </c>
      <c r="C47" s="80">
        <f t="shared" si="0"/>
        <v>521.5</v>
      </c>
      <c r="D47" s="80">
        <f t="shared" si="3"/>
        <v>31.5</v>
      </c>
      <c r="E47" s="397">
        <f>IFERROR(VLOOKUP($A47,'hora.Equip.obra'!$A$2:$C$68,3,0),0)</f>
        <v>0</v>
      </c>
      <c r="F47" s="80">
        <f t="shared" si="1"/>
        <v>0</v>
      </c>
      <c r="G47" s="81">
        <f t="shared" si="2"/>
        <v>2</v>
      </c>
      <c r="H47" s="82">
        <f>VLOOKUP(A47,'Transporte - FU'!$A$3:$C$168,3,0)</f>
        <v>0.5</v>
      </c>
      <c r="I47" s="81" t="str">
        <f>VLOOKUP(A47,'Transporte - FU'!$A$3:$C$166,2,0)</f>
        <v>EQ001</v>
      </c>
      <c r="J47" s="83">
        <f>VLOOKUP(I47,CHP!$A$13:$D$215,3,0)</f>
        <v>430.57</v>
      </c>
      <c r="K47" s="81" t="s">
        <v>237</v>
      </c>
      <c r="L47" s="138">
        <f>IF(E47&lt;&gt;0,VLOOKUP(A47,Pedagios!$A$11:$AM$206,6,0),0)</f>
        <v>0</v>
      </c>
      <c r="M47" s="84">
        <f t="shared" si="5"/>
        <v>0</v>
      </c>
    </row>
    <row r="48" spans="1:13" s="75" customFormat="1" ht="14.25" x14ac:dyDescent="0.2">
      <c r="A48" s="154">
        <v>306010</v>
      </c>
      <c r="B48" s="69" t="str">
        <f>VLOOKUP(A48,CHP!$A$13:D$211,2,0)</f>
        <v>Carreta de perfuração</v>
      </c>
      <c r="C48" s="80">
        <f t="shared" si="0"/>
        <v>521.5</v>
      </c>
      <c r="D48" s="80">
        <f t="shared" si="3"/>
        <v>31.5</v>
      </c>
      <c r="E48" s="397">
        <f>IFERROR(VLOOKUP($A48,'hora.Equip.obra'!$A$2:$C$68,3,0),0)</f>
        <v>0</v>
      </c>
      <c r="F48" s="80">
        <f t="shared" ref="F48:F58" si="20">ROUNDUP(E48/($M$9*$M$8),0)</f>
        <v>0</v>
      </c>
      <c r="G48" s="81">
        <f t="shared" ref="G48:G155" si="21">IF(A48=I48,1,2)</f>
        <v>2</v>
      </c>
      <c r="H48" s="82">
        <f>VLOOKUP(A48,'Transporte - FU'!$A$3:$C$168,3,0)</f>
        <v>0.5</v>
      </c>
      <c r="I48" s="81" t="str">
        <f>VLOOKUP(A48,'Transporte - FU'!$A$3:$C$166,2,0)</f>
        <v>EQ001</v>
      </c>
      <c r="J48" s="83">
        <f>VLOOKUP(I48,CHP!$A$13:$D$215,3,0)</f>
        <v>430.57</v>
      </c>
      <c r="K48" s="81" t="s">
        <v>237</v>
      </c>
      <c r="L48" s="138">
        <f>IF(E48&lt;&gt;0,VLOOKUP(A48,Pedagios!$A$11:$AM$206,6,0),0)</f>
        <v>0</v>
      </c>
      <c r="M48" s="84">
        <f t="shared" ref="M48:M155" si="22">IFERROR(((C48*G48*H48)/$M$6+(D48*G48*H48)/$M$7)*J48*F48,0)+(F48*L48)</f>
        <v>0</v>
      </c>
    </row>
    <row r="49" spans="1:13" s="75" customFormat="1" ht="14.25" x14ac:dyDescent="0.2">
      <c r="A49" s="154">
        <v>310030</v>
      </c>
      <c r="B49" s="69" t="str">
        <f>VLOOKUP(A49,CHP!$A$13:D$211,2,0)</f>
        <v>Central dosadora de concreto capac. 30 m3/h</v>
      </c>
      <c r="C49" s="80">
        <f t="shared" si="0"/>
        <v>521.5</v>
      </c>
      <c r="D49" s="80">
        <f t="shared" si="3"/>
        <v>31.5</v>
      </c>
      <c r="E49" s="397">
        <f>IFERROR(VLOOKUP($A49,'hora.Equip.obra'!$A$2:$C$68,3,0),0)</f>
        <v>0</v>
      </c>
      <c r="F49" s="80">
        <f t="shared" si="20"/>
        <v>0</v>
      </c>
      <c r="G49" s="81">
        <f t="shared" si="21"/>
        <v>2</v>
      </c>
      <c r="H49" s="82">
        <f>VLOOKUP(A49,'Transporte - FU'!$A$3:$C$168,3,0)</f>
        <v>1</v>
      </c>
      <c r="I49" s="81" t="str">
        <f>VLOOKUP(A49,'Transporte - FU'!$A$3:$C$166,2,0)</f>
        <v>EQ001</v>
      </c>
      <c r="J49" s="83">
        <f>VLOOKUP(I49,CHP!$A$13:$D$215,3,0)</f>
        <v>430.57</v>
      </c>
      <c r="K49" s="81" t="s">
        <v>237</v>
      </c>
      <c r="L49" s="138">
        <f>IF(E49&lt;&gt;0,VLOOKUP(A49,Pedagios!$A$11:$AM$206,6,0),0)</f>
        <v>0</v>
      </c>
      <c r="M49" s="84">
        <f t="shared" si="22"/>
        <v>0</v>
      </c>
    </row>
    <row r="50" spans="1:13" s="75" customFormat="1" ht="28.5" x14ac:dyDescent="0.2">
      <c r="A50" s="154">
        <v>300125</v>
      </c>
      <c r="B50" s="69" t="str">
        <f>VLOOKUP(A50,CHP!$A$13:D$211,2,0)</f>
        <v>Central dosadora de Concreto capacidade 150m³/h - Dosadora e misturadora</v>
      </c>
      <c r="C50" s="80">
        <f t="shared" si="0"/>
        <v>521.5</v>
      </c>
      <c r="D50" s="80">
        <f t="shared" si="3"/>
        <v>31.5</v>
      </c>
      <c r="E50" s="397">
        <f>IFERROR(VLOOKUP($A50,'hora.Equip.obra'!$A$2:$C$68,3,0),0)</f>
        <v>0</v>
      </c>
      <c r="F50" s="80">
        <f t="shared" si="20"/>
        <v>0</v>
      </c>
      <c r="G50" s="81">
        <f t="shared" si="21"/>
        <v>2</v>
      </c>
      <c r="H50" s="82">
        <f>VLOOKUP(A50,'Transporte - FU'!$A$3:$C$168,3,0)</f>
        <v>1</v>
      </c>
      <c r="I50" s="81" t="str">
        <f>VLOOKUP(A50,'Transporte - FU'!$A$3:$C$166,2,0)</f>
        <v>EQ001</v>
      </c>
      <c r="J50" s="83">
        <f>VLOOKUP(I50,CHP!$A$13:$D$215,3,0)</f>
        <v>430.57</v>
      </c>
      <c r="K50" s="81" t="s">
        <v>237</v>
      </c>
      <c r="L50" s="138">
        <f>IF(E50&lt;&gt;0,VLOOKUP(A50,Pedagios!$A$11:$AM$206,6,0),0)</f>
        <v>0</v>
      </c>
      <c r="M50" s="84">
        <f t="shared" si="22"/>
        <v>0</v>
      </c>
    </row>
    <row r="51" spans="1:13" s="75" customFormat="1" ht="14.25" x14ac:dyDescent="0.2">
      <c r="A51" s="154">
        <v>300510</v>
      </c>
      <c r="B51" s="69" t="str">
        <f>VLOOKUP(A51,CHP!$A$13:D$211,2,0)</f>
        <v>Conj. britagem completo 80 m3/h</v>
      </c>
      <c r="C51" s="80">
        <f t="shared" si="0"/>
        <v>521.5</v>
      </c>
      <c r="D51" s="80">
        <f t="shared" si="3"/>
        <v>31.5</v>
      </c>
      <c r="E51" s="397">
        <f>IFERROR(VLOOKUP($A51,'hora.Equip.obra'!$A$2:$C$68,3,0),0)</f>
        <v>0</v>
      </c>
      <c r="F51" s="80">
        <f t="shared" si="20"/>
        <v>0</v>
      </c>
      <c r="G51" s="81">
        <f t="shared" si="21"/>
        <v>2</v>
      </c>
      <c r="H51" s="82">
        <f>VLOOKUP(A51,'Transporte - FU'!$A$3:$C$168,3,0)</f>
        <v>1</v>
      </c>
      <c r="I51" s="81" t="str">
        <f>VLOOKUP(A51,'Transporte - FU'!$A$3:$C$166,2,0)</f>
        <v>EQ001</v>
      </c>
      <c r="J51" s="83">
        <f>VLOOKUP(I51,CHP!$A$13:$D$215,3,0)</f>
        <v>430.57</v>
      </c>
      <c r="K51" s="81" t="s">
        <v>237</v>
      </c>
      <c r="L51" s="138">
        <f>IF(E51&lt;&gt;0,VLOOKUP(A51,Pedagios!$A$11:$AM$206,6,0),0)</f>
        <v>0</v>
      </c>
      <c r="M51" s="84">
        <f t="shared" si="22"/>
        <v>0</v>
      </c>
    </row>
    <row r="52" spans="1:13" s="75" customFormat="1" ht="14.25" x14ac:dyDescent="0.2">
      <c r="A52" s="154">
        <v>370400</v>
      </c>
      <c r="B52" s="69" t="str">
        <f>VLOOKUP(A52,CHP!$A$13:D$211,2,0)</f>
        <v>Equipamento aplicação termoplástico Spray/Extrusão</v>
      </c>
      <c r="C52" s="80">
        <f t="shared" si="0"/>
        <v>521.5</v>
      </c>
      <c r="D52" s="80">
        <f t="shared" si="3"/>
        <v>31.5</v>
      </c>
      <c r="E52" s="397">
        <f>IFERROR(VLOOKUP($A52,'hora.Equip.obra'!$A$2:$C$68,3,0),0)</f>
        <v>0</v>
      </c>
      <c r="F52" s="80">
        <f t="shared" si="20"/>
        <v>0</v>
      </c>
      <c r="G52" s="81">
        <f t="shared" si="21"/>
        <v>1</v>
      </c>
      <c r="H52" s="82">
        <f>VLOOKUP(A52,'Transporte - FU'!$A$3:$C$168,3,0)</f>
        <v>1</v>
      </c>
      <c r="I52" s="81">
        <f>VLOOKUP(A52,'Transporte - FU'!$A$3:$C$166,2,0)</f>
        <v>370400</v>
      </c>
      <c r="J52" s="83">
        <f>VLOOKUP(I52,CHP!$A$13:$D$215,3,0)</f>
        <v>180.09</v>
      </c>
      <c r="K52" s="81" t="s">
        <v>237</v>
      </c>
      <c r="L52" s="138">
        <f>IF(E52&lt;&gt;0,VLOOKUP(A52,Pedagios!$A$11:$AM$206,6,0),0)</f>
        <v>0</v>
      </c>
      <c r="M52" s="84">
        <f t="shared" si="22"/>
        <v>0</v>
      </c>
    </row>
    <row r="53" spans="1:13" s="75" customFormat="1" ht="14.25" x14ac:dyDescent="0.2">
      <c r="A53" s="154">
        <v>370700</v>
      </c>
      <c r="B53" s="69" t="str">
        <f>VLOOKUP(A53,CHP!$A$13:D$211,2,0)</f>
        <v>Equipamento demarcação faixa a frio</v>
      </c>
      <c r="C53" s="80">
        <f t="shared" si="0"/>
        <v>521.5</v>
      </c>
      <c r="D53" s="80">
        <f t="shared" si="3"/>
        <v>31.5</v>
      </c>
      <c r="E53" s="397">
        <f>IFERROR(VLOOKUP($A53,'hora.Equip.obra'!$A$2:$C$68,3,0),0)</f>
        <v>0</v>
      </c>
      <c r="F53" s="80">
        <f t="shared" si="20"/>
        <v>0</v>
      </c>
      <c r="G53" s="81">
        <f t="shared" si="21"/>
        <v>1</v>
      </c>
      <c r="H53" s="82">
        <f>VLOOKUP(A53,'Transporte - FU'!$A$3:$C$168,3,0)</f>
        <v>1</v>
      </c>
      <c r="I53" s="81">
        <f>VLOOKUP(A53,'Transporte - FU'!$A$3:$C$166,2,0)</f>
        <v>370700</v>
      </c>
      <c r="J53" s="83">
        <f>VLOOKUP(I53,CHP!$A$13:$D$215,3,0)</f>
        <v>127.24</v>
      </c>
      <c r="K53" s="81" t="s">
        <v>237</v>
      </c>
      <c r="L53" s="138">
        <f>IF(E53&lt;&gt;0,VLOOKUP(A53,Pedagios!$A$11:$AM$206,6,0),0)</f>
        <v>0</v>
      </c>
      <c r="M53" s="84">
        <f t="shared" si="22"/>
        <v>0</v>
      </c>
    </row>
    <row r="54" spans="1:13" s="75" customFormat="1" ht="14.25" x14ac:dyDescent="0.2">
      <c r="A54" s="154">
        <v>316000</v>
      </c>
      <c r="B54" s="69" t="str">
        <f>VLOOKUP(A54,CHP!$A$13:D$211,2,0)</f>
        <v>Equipamento p/ hidrossemeadura</v>
      </c>
      <c r="C54" s="80">
        <f t="shared" si="0"/>
        <v>521.5</v>
      </c>
      <c r="D54" s="80">
        <f t="shared" si="3"/>
        <v>31.5</v>
      </c>
      <c r="E54" s="397">
        <f>IFERROR(VLOOKUP($A54,'hora.Equip.obra'!$A$2:$C$68,3,0),0)</f>
        <v>0</v>
      </c>
      <c r="F54" s="80">
        <f t="shared" si="20"/>
        <v>0</v>
      </c>
      <c r="G54" s="81">
        <f t="shared" si="21"/>
        <v>1</v>
      </c>
      <c r="H54" s="82">
        <f>VLOOKUP(A54,'Transporte - FU'!$A$3:$C$168,3,0)</f>
        <v>1</v>
      </c>
      <c r="I54" s="81">
        <f>VLOOKUP(A54,'Transporte - FU'!$A$3:$C$166,2,0)</f>
        <v>316000</v>
      </c>
      <c r="J54" s="83">
        <f>VLOOKUP(I54,CHP!$A$13:$D$215,3,0)</f>
        <v>52.96</v>
      </c>
      <c r="K54" s="81" t="s">
        <v>237</v>
      </c>
      <c r="L54" s="138">
        <f>IF(E54&lt;&gt;0,VLOOKUP(A54,Pedagios!$A$11:$AM$206,6,0),0)</f>
        <v>0</v>
      </c>
      <c r="M54" s="84">
        <f t="shared" si="22"/>
        <v>0</v>
      </c>
    </row>
    <row r="55" spans="1:13" s="75" customFormat="1" ht="14.25" x14ac:dyDescent="0.2">
      <c r="A55" s="154">
        <v>370150</v>
      </c>
      <c r="B55" s="69" t="str">
        <f>VLOOKUP(A55,CHP!$A$13:D$211,2,0)</f>
        <v>Equipamento para lama asfáltica LA-6</v>
      </c>
      <c r="C55" s="80">
        <f t="shared" si="0"/>
        <v>521.5</v>
      </c>
      <c r="D55" s="80">
        <f t="shared" si="3"/>
        <v>31.5</v>
      </c>
      <c r="E55" s="397">
        <f>IFERROR(VLOOKUP($A55,'hora.Equip.obra'!$A$2:$C$68,3,0),0)</f>
        <v>0</v>
      </c>
      <c r="F55" s="80">
        <f t="shared" si="20"/>
        <v>0</v>
      </c>
      <c r="G55" s="81">
        <f t="shared" si="21"/>
        <v>1</v>
      </c>
      <c r="H55" s="82">
        <f>VLOOKUP(A55,'Transporte - FU'!$A$3:$C$168,3,0)</f>
        <v>1</v>
      </c>
      <c r="I55" s="81">
        <f>VLOOKUP(A55,'Transporte - FU'!$A$3:$C$166,2,0)</f>
        <v>370150</v>
      </c>
      <c r="J55" s="83">
        <f>VLOOKUP(I55,CHP!$A$13:$D$215,3,0)</f>
        <v>267.83999999999997</v>
      </c>
      <c r="K55" s="81" t="s">
        <v>237</v>
      </c>
      <c r="L55" s="138">
        <f>IF(E55&lt;&gt;0,VLOOKUP(A55,Pedagios!$A$11:$AM$206,6,0),0)</f>
        <v>0</v>
      </c>
      <c r="M55" s="84">
        <f t="shared" si="22"/>
        <v>0</v>
      </c>
    </row>
    <row r="56" spans="1:13" s="75" customFormat="1" ht="14.25" x14ac:dyDescent="0.2">
      <c r="A56" s="154">
        <v>370600</v>
      </c>
      <c r="B56" s="69" t="str">
        <f>VLOOKUP(A56,CHP!$A$13:D$211,2,0)</f>
        <v>Equipamento p/fusão e aplicação manual de termoplástico</v>
      </c>
      <c r="C56" s="80">
        <f t="shared" si="0"/>
        <v>521.5</v>
      </c>
      <c r="D56" s="80">
        <f t="shared" si="3"/>
        <v>31.5</v>
      </c>
      <c r="E56" s="397">
        <f>IFERROR(VLOOKUP($A56,'hora.Equip.obra'!$A$2:$C$68,3,0),0)</f>
        <v>0</v>
      </c>
      <c r="F56" s="80">
        <f t="shared" si="20"/>
        <v>0</v>
      </c>
      <c r="G56" s="81">
        <f t="shared" si="21"/>
        <v>2</v>
      </c>
      <c r="H56" s="82">
        <f>VLOOKUP(A56,'Transporte - FU'!$A$3:$C$168,3,0)</f>
        <v>0.33</v>
      </c>
      <c r="I56" s="81" t="str">
        <f>VLOOKUP(A56,'Transporte - FU'!$A$3:$C$166,2,0)</f>
        <v>EQ001</v>
      </c>
      <c r="J56" s="83">
        <f>VLOOKUP(I56,CHP!$A$13:$D$215,3,0)</f>
        <v>430.57</v>
      </c>
      <c r="K56" s="81" t="s">
        <v>237</v>
      </c>
      <c r="L56" s="138">
        <f>IF(E56&lt;&gt;0,VLOOKUP(A56,Pedagios!$A$11:$AM$206,6,0),0)</f>
        <v>0</v>
      </c>
      <c r="M56" s="84">
        <f>IFERROR(((C56*G56*H56)/$M$6+(D56*G56*H56)/$M$7)*J56*F56,0)+(F56*L56)</f>
        <v>0</v>
      </c>
    </row>
    <row r="57" spans="1:13" s="75" customFormat="1" ht="14.25" x14ac:dyDescent="0.2">
      <c r="A57" s="154">
        <v>311500</v>
      </c>
      <c r="B57" s="69" t="str">
        <f>VLOOKUP(A57,CHP!$A$13:D$211,2,0)</f>
        <v>Escav. hidráulica EC-140 leve</v>
      </c>
      <c r="C57" s="80">
        <f t="shared" si="0"/>
        <v>521.5</v>
      </c>
      <c r="D57" s="80">
        <f t="shared" si="3"/>
        <v>31.5</v>
      </c>
      <c r="E57" s="397">
        <f>IFERROR(VLOOKUP($A57,'hora.Equip.obra'!$A$2:$C$68,3,0),0)</f>
        <v>52.5</v>
      </c>
      <c r="F57" s="80">
        <f t="shared" si="20"/>
        <v>1</v>
      </c>
      <c r="G57" s="81">
        <f t="shared" si="21"/>
        <v>2</v>
      </c>
      <c r="H57" s="82">
        <f>VLOOKUP(A57,'Transporte - FU'!$A$3:$C$168,3,0)</f>
        <v>1</v>
      </c>
      <c r="I57" s="81" t="str">
        <f>VLOOKUP(A57,'Transporte - FU'!$A$3:$C$166,2,0)</f>
        <v>EQ001</v>
      </c>
      <c r="J57" s="83">
        <f>VLOOKUP(I57,CHP!$A$13:$D$215,3,0)</f>
        <v>430.57</v>
      </c>
      <c r="K57" s="81" t="s">
        <v>237</v>
      </c>
      <c r="L57" s="138">
        <f>IF(E57&lt;&gt;0,VLOOKUP(A57,Pedagios!$A$11:$AM$206,6,0),0)</f>
        <v>136.4</v>
      </c>
      <c r="M57" s="84">
        <f>IFERROR(((C57*G57*H57)/$M$6+(D57*G57*H57)/$M$7)*J57*F57,0)+(F57*L57)</f>
        <v>8299.2895833333332</v>
      </c>
    </row>
    <row r="58" spans="1:13" s="75" customFormat="1" ht="14.25" x14ac:dyDescent="0.2">
      <c r="A58" s="154">
        <v>321500</v>
      </c>
      <c r="B58" s="69" t="str">
        <f>VLOOKUP(A58,CHP!$A$13:D$211,2,0)</f>
        <v>Escav. hidráulica EC-140 média</v>
      </c>
      <c r="C58" s="80">
        <f t="shared" si="0"/>
        <v>521.5</v>
      </c>
      <c r="D58" s="80">
        <f t="shared" si="3"/>
        <v>31.5</v>
      </c>
      <c r="E58" s="397">
        <f>IFERROR(VLOOKUP($A58,'hora.Equip.obra'!$A$2:$C$68,3,0),0)</f>
        <v>0</v>
      </c>
      <c r="F58" s="80">
        <f t="shared" si="20"/>
        <v>0</v>
      </c>
      <c r="G58" s="81">
        <f t="shared" si="21"/>
        <v>2</v>
      </c>
      <c r="H58" s="82">
        <f>VLOOKUP(A58,'Transporte - FU'!$A$3:$C$168,3,0)</f>
        <v>1</v>
      </c>
      <c r="I58" s="81" t="str">
        <f>VLOOKUP(A58,'Transporte - FU'!$A$3:$C$166,2,0)</f>
        <v>EQ001</v>
      </c>
      <c r="J58" s="83">
        <f>VLOOKUP(I58,CHP!$A$13:$D$215,3,0)</f>
        <v>430.57</v>
      </c>
      <c r="K58" s="81" t="s">
        <v>237</v>
      </c>
      <c r="L58" s="138">
        <f>IF(E58&lt;&gt;0,VLOOKUP(A58,Pedagios!$A$11:$AM$206,6,0),0)</f>
        <v>0</v>
      </c>
      <c r="M58" s="84">
        <f>IFERROR(((C58*G58*H58)/$M$6+(D58*G58*H58)/$M$7)*J58*F58,0)+(F58*L58)</f>
        <v>0</v>
      </c>
    </row>
    <row r="59" spans="1:13" s="75" customFormat="1" ht="14.25" x14ac:dyDescent="0.2">
      <c r="A59" s="154">
        <v>331500</v>
      </c>
      <c r="B59" s="69" t="str">
        <f>VLOOKUP(A59,CHP!$A$13:D$211,2,0)</f>
        <v>Escav. hidráulica EC-140 severa</v>
      </c>
      <c r="C59" s="80">
        <f t="shared" si="0"/>
        <v>521.5</v>
      </c>
      <c r="D59" s="80">
        <f t="shared" si="3"/>
        <v>31.5</v>
      </c>
      <c r="E59" s="397">
        <f>IFERROR(VLOOKUP($A59,'hora.Equip.obra'!$A$2:$C$68,3,0),0)</f>
        <v>0</v>
      </c>
      <c r="F59" s="80">
        <f t="shared" ref="F59:F76" si="23">ROUNDUP(E59/($M$9*$M$8),0)</f>
        <v>0</v>
      </c>
      <c r="G59" s="81">
        <f t="shared" ref="G59:G76" si="24">IF(A59=I59,1,2)</f>
        <v>2</v>
      </c>
      <c r="H59" s="82">
        <f>VLOOKUP(A59,'Transporte - FU'!$A$3:$C$168,3,0)</f>
        <v>1</v>
      </c>
      <c r="I59" s="81" t="str">
        <f>VLOOKUP(A59,'Transporte - FU'!$A$3:$C$166,2,0)</f>
        <v>EQ001</v>
      </c>
      <c r="J59" s="83">
        <f>VLOOKUP(I59,CHP!$A$13:$D$215,3,0)</f>
        <v>430.57</v>
      </c>
      <c r="K59" s="81" t="s">
        <v>237</v>
      </c>
      <c r="L59" s="138">
        <f>IF(E59&lt;&gt;0,VLOOKUP(A59,Pedagios!$A$11:$AM$206,6,0),0)</f>
        <v>0</v>
      </c>
      <c r="M59" s="84">
        <f t="shared" ref="M59:M75" si="25">IFERROR(((C59*G59*H59)/$M$6+(D59*G59*H59)/$M$7)*J59*F59,0)+(F59*L59)</f>
        <v>0</v>
      </c>
    </row>
    <row r="60" spans="1:13" s="75" customFormat="1" ht="14.25" x14ac:dyDescent="0.2">
      <c r="A60" s="154">
        <v>310800</v>
      </c>
      <c r="B60" s="69" t="str">
        <f>VLOOKUP(A60,CHP!$A$13:D$211,2,0)</f>
        <v>Escav. hidráulica 580N leve</v>
      </c>
      <c r="C60" s="80">
        <f t="shared" si="0"/>
        <v>521.5</v>
      </c>
      <c r="D60" s="80">
        <f t="shared" si="3"/>
        <v>31.5</v>
      </c>
      <c r="E60" s="397">
        <f>IFERROR(VLOOKUP($A60,'hora.Equip.obra'!$A$2:$C$68,3,0),0)</f>
        <v>127.22629999999999</v>
      </c>
      <c r="F60" s="80">
        <f t="shared" si="23"/>
        <v>1</v>
      </c>
      <c r="G60" s="81">
        <f t="shared" si="24"/>
        <v>2</v>
      </c>
      <c r="H60" s="82">
        <f>VLOOKUP(A60,'Transporte - FU'!$A$3:$C$168,3,0)</f>
        <v>1</v>
      </c>
      <c r="I60" s="81" t="str">
        <f>VLOOKUP(A60,'Transporte - FU'!$A$3:$C$166,2,0)</f>
        <v>EQ001</v>
      </c>
      <c r="J60" s="83">
        <f>VLOOKUP(I60,CHP!$A$13:$D$215,3,0)</f>
        <v>430.57</v>
      </c>
      <c r="K60" s="81" t="s">
        <v>237</v>
      </c>
      <c r="L60" s="138">
        <f>IF(E60&lt;&gt;0,VLOOKUP(A60,Pedagios!$A$11:$AM$206,6,0),0)</f>
        <v>136.4</v>
      </c>
      <c r="M60" s="84">
        <f t="shared" si="25"/>
        <v>8299.2895833333332</v>
      </c>
    </row>
    <row r="61" spans="1:13" s="75" customFormat="1" ht="14.25" x14ac:dyDescent="0.2">
      <c r="A61" s="154">
        <v>320800</v>
      </c>
      <c r="B61" s="69" t="str">
        <f>VLOOKUP(A61,CHP!$A$13:D$211,2,0)</f>
        <v>Escav. hidráulica 580N C média</v>
      </c>
      <c r="C61" s="80">
        <f t="shared" si="0"/>
        <v>521.5</v>
      </c>
      <c r="D61" s="80">
        <f t="shared" si="3"/>
        <v>31.5</v>
      </c>
      <c r="E61" s="397">
        <f>IFERROR(VLOOKUP($A61,'hora.Equip.obra'!$A$2:$C$68,3,0),0)</f>
        <v>0</v>
      </c>
      <c r="F61" s="80">
        <f t="shared" si="23"/>
        <v>0</v>
      </c>
      <c r="G61" s="81">
        <f t="shared" si="24"/>
        <v>2</v>
      </c>
      <c r="H61" s="82">
        <f>VLOOKUP(A61,'Transporte - FU'!$A$3:$C$168,3,0)</f>
        <v>1</v>
      </c>
      <c r="I61" s="81" t="str">
        <f>VLOOKUP(A61,'Transporte - FU'!$A$3:$C$166,2,0)</f>
        <v>EQ001</v>
      </c>
      <c r="J61" s="83">
        <f>VLOOKUP(I61,CHP!$A$13:$D$215,3,0)</f>
        <v>430.57</v>
      </c>
      <c r="K61" s="81" t="s">
        <v>237</v>
      </c>
      <c r="L61" s="138">
        <f>IF(E61&lt;&gt;0,VLOOKUP(A61,Pedagios!$A$11:$AM$206,6,0),0)</f>
        <v>0</v>
      </c>
      <c r="M61" s="84">
        <f t="shared" si="25"/>
        <v>0</v>
      </c>
    </row>
    <row r="62" spans="1:13" s="75" customFormat="1" ht="14.25" x14ac:dyDescent="0.2">
      <c r="A62" s="154">
        <v>330800</v>
      </c>
      <c r="B62" s="69" t="str">
        <f>VLOOKUP(A62,CHP!$A$13:D$211,2,0)</f>
        <v>Escav. hidráulica 580N C severa</v>
      </c>
      <c r="C62" s="80">
        <f t="shared" si="0"/>
        <v>521.5</v>
      </c>
      <c r="D62" s="80">
        <f t="shared" si="3"/>
        <v>31.5</v>
      </c>
      <c r="E62" s="397">
        <f>IFERROR(VLOOKUP($A62,'hora.Equip.obra'!$A$2:$C$68,3,0),0)</f>
        <v>0</v>
      </c>
      <c r="F62" s="80">
        <f t="shared" si="23"/>
        <v>0</v>
      </c>
      <c r="G62" s="81">
        <f t="shared" si="24"/>
        <v>2</v>
      </c>
      <c r="H62" s="82">
        <f>VLOOKUP(A62,'Transporte - FU'!$A$3:$C$168,3,0)</f>
        <v>1</v>
      </c>
      <c r="I62" s="81" t="str">
        <f>VLOOKUP(A62,'Transporte - FU'!$A$3:$C$166,2,0)</f>
        <v>EQ001</v>
      </c>
      <c r="J62" s="83">
        <f>VLOOKUP(I62,CHP!$A$13:$D$215,3,0)</f>
        <v>430.57</v>
      </c>
      <c r="K62" s="81" t="s">
        <v>237</v>
      </c>
      <c r="L62" s="138">
        <f>IF(E62&lt;&gt;0,VLOOKUP(A62,Pedagios!$A$11:$AM$206,6,0),0)</f>
        <v>0</v>
      </c>
      <c r="M62" s="84">
        <f t="shared" si="25"/>
        <v>0</v>
      </c>
    </row>
    <row r="63" spans="1:13" s="75" customFormat="1" ht="14.25" x14ac:dyDescent="0.2">
      <c r="A63" s="154">
        <v>313200</v>
      </c>
      <c r="B63" s="69" t="str">
        <f>VLOOKUP(A63,CHP!$A$13:D$211,2,0)</f>
        <v>Escav. hidráulica 320D L leve</v>
      </c>
      <c r="C63" s="80">
        <f t="shared" si="0"/>
        <v>521.5</v>
      </c>
      <c r="D63" s="80">
        <f t="shared" si="3"/>
        <v>31.5</v>
      </c>
      <c r="E63" s="397">
        <f>IFERROR(VLOOKUP($A63,'hora.Equip.obra'!$A$2:$C$68,3,0),0)</f>
        <v>159.62960000000001</v>
      </c>
      <c r="F63" s="80">
        <f t="shared" si="23"/>
        <v>1</v>
      </c>
      <c r="G63" s="81">
        <f t="shared" si="24"/>
        <v>2</v>
      </c>
      <c r="H63" s="82">
        <f>VLOOKUP(A63,'Transporte - FU'!$A$3:$C$168,3,0)</f>
        <v>1</v>
      </c>
      <c r="I63" s="81" t="str">
        <f>VLOOKUP(A63,'Transporte - FU'!$A$3:$C$166,2,0)</f>
        <v>EQ001</v>
      </c>
      <c r="J63" s="83">
        <f>VLOOKUP(I63,CHP!$A$13:$D$215,3,0)</f>
        <v>430.57</v>
      </c>
      <c r="K63" s="81" t="s">
        <v>237</v>
      </c>
      <c r="L63" s="138">
        <f>IF(E63&lt;&gt;0,VLOOKUP(A63,Pedagios!$A$11:$AM$206,6,0),0)</f>
        <v>136.4</v>
      </c>
      <c r="M63" s="84">
        <f t="shared" si="25"/>
        <v>8299.2895833333332</v>
      </c>
    </row>
    <row r="64" spans="1:13" s="75" customFormat="1" ht="14.25" x14ac:dyDescent="0.2">
      <c r="A64" s="154">
        <v>323200</v>
      </c>
      <c r="B64" s="69" t="str">
        <f>VLOOKUP(A64,CHP!$A$13:D$211,2,0)</f>
        <v>Escav. hidráulica 320D L média</v>
      </c>
      <c r="C64" s="80">
        <f t="shared" si="0"/>
        <v>521.5</v>
      </c>
      <c r="D64" s="80">
        <f t="shared" si="3"/>
        <v>31.5</v>
      </c>
      <c r="E64" s="397">
        <f>IFERROR(VLOOKUP($A64,'hora.Equip.obra'!$A$2:$C$68,3,0),0)</f>
        <v>0</v>
      </c>
      <c r="F64" s="80">
        <f t="shared" si="23"/>
        <v>0</v>
      </c>
      <c r="G64" s="81">
        <f t="shared" si="24"/>
        <v>2</v>
      </c>
      <c r="H64" s="82">
        <f>VLOOKUP(A64,'Transporte - FU'!$A$3:$C$168,3,0)</f>
        <v>1</v>
      </c>
      <c r="I64" s="81" t="str">
        <f>VLOOKUP(A64,'Transporte - FU'!$A$3:$C$166,2,0)</f>
        <v>EQ001</v>
      </c>
      <c r="J64" s="83">
        <f>VLOOKUP(I64,CHP!$A$13:$D$215,3,0)</f>
        <v>430.57</v>
      </c>
      <c r="K64" s="81" t="s">
        <v>237</v>
      </c>
      <c r="L64" s="138">
        <f>IF(E64&lt;&gt;0,VLOOKUP(A64,Pedagios!$A$11:$AM$206,6,0),0)</f>
        <v>0</v>
      </c>
      <c r="M64" s="84">
        <f t="shared" si="25"/>
        <v>0</v>
      </c>
    </row>
    <row r="65" spans="1:13" s="75" customFormat="1" ht="14.25" x14ac:dyDescent="0.2">
      <c r="A65" s="154">
        <v>333200</v>
      </c>
      <c r="B65" s="69" t="str">
        <f>VLOOKUP(A65,CHP!$A$13:D$211,2,0)</f>
        <v>Escav. hidráulica 320D L severa</v>
      </c>
      <c r="C65" s="80">
        <f t="shared" si="0"/>
        <v>521.5</v>
      </c>
      <c r="D65" s="80">
        <f t="shared" si="3"/>
        <v>31.5</v>
      </c>
      <c r="E65" s="397">
        <f>IFERROR(VLOOKUP($A65,'hora.Equip.obra'!$A$2:$C$68,3,0),0)</f>
        <v>0</v>
      </c>
      <c r="F65" s="80">
        <f t="shared" si="23"/>
        <v>0</v>
      </c>
      <c r="G65" s="81">
        <f t="shared" si="24"/>
        <v>2</v>
      </c>
      <c r="H65" s="82">
        <f>VLOOKUP(A65,'Transporte - FU'!$A$3:$C$168,3,0)</f>
        <v>1</v>
      </c>
      <c r="I65" s="81" t="str">
        <f>VLOOKUP(A65,'Transporte - FU'!$A$3:$C$166,2,0)</f>
        <v>EQ001</v>
      </c>
      <c r="J65" s="83">
        <f>VLOOKUP(I65,CHP!$A$13:$D$215,3,0)</f>
        <v>430.57</v>
      </c>
      <c r="K65" s="81" t="s">
        <v>237</v>
      </c>
      <c r="L65" s="138">
        <f>IF(E65&lt;&gt;0,VLOOKUP(A65,Pedagios!$A$11:$AM$206,6,0),0)</f>
        <v>0</v>
      </c>
      <c r="M65" s="84">
        <f t="shared" si="25"/>
        <v>0</v>
      </c>
    </row>
    <row r="66" spans="1:13" s="75" customFormat="1" ht="14.25" x14ac:dyDescent="0.2">
      <c r="A66" s="154">
        <v>313300</v>
      </c>
      <c r="B66" s="69" t="str">
        <f>VLOOKUP(A66,CHP!$A$13:D$211,2,0)</f>
        <v>Escav. hidráulica 336D L leve</v>
      </c>
      <c r="C66" s="80">
        <f t="shared" si="0"/>
        <v>521.5</v>
      </c>
      <c r="D66" s="80">
        <f t="shared" si="3"/>
        <v>31.5</v>
      </c>
      <c r="E66" s="397">
        <f>IFERROR(VLOOKUP($A66,'hora.Equip.obra'!$A$2:$C$68,3,0),0)</f>
        <v>0</v>
      </c>
      <c r="F66" s="80">
        <f t="shared" si="23"/>
        <v>0</v>
      </c>
      <c r="G66" s="81">
        <f t="shared" si="24"/>
        <v>2</v>
      </c>
      <c r="H66" s="82">
        <f>VLOOKUP(A66,'Transporte - FU'!$A$3:$C$168,3,0)</f>
        <v>1</v>
      </c>
      <c r="I66" s="81" t="str">
        <f>VLOOKUP(A66,'Transporte - FU'!$A$3:$C$166,2,0)</f>
        <v>EQ001</v>
      </c>
      <c r="J66" s="83">
        <f>VLOOKUP(I66,CHP!$A$13:$D$215,3,0)</f>
        <v>430.57</v>
      </c>
      <c r="K66" s="81" t="s">
        <v>237</v>
      </c>
      <c r="L66" s="138">
        <f>IF(E66&lt;&gt;0,VLOOKUP(A66,Pedagios!$A$11:$AM$206,6,0),0)</f>
        <v>0</v>
      </c>
      <c r="M66" s="84">
        <f t="shared" si="25"/>
        <v>0</v>
      </c>
    </row>
    <row r="67" spans="1:13" s="75" customFormat="1" ht="14.25" x14ac:dyDescent="0.2">
      <c r="A67" s="154">
        <v>323300</v>
      </c>
      <c r="B67" s="69" t="str">
        <f>VLOOKUP(A67,CHP!$A$13:D$211,2,0)</f>
        <v>Escav. hidráulica 336D L média</v>
      </c>
      <c r="C67" s="80">
        <f t="shared" si="0"/>
        <v>521.5</v>
      </c>
      <c r="D67" s="80">
        <f t="shared" si="3"/>
        <v>31.5</v>
      </c>
      <c r="E67" s="397">
        <f>IFERROR(VLOOKUP($A67,'hora.Equip.obra'!$A$2:$C$68,3,0),0)</f>
        <v>0</v>
      </c>
      <c r="F67" s="80">
        <f t="shared" si="23"/>
        <v>0</v>
      </c>
      <c r="G67" s="81">
        <f t="shared" si="24"/>
        <v>2</v>
      </c>
      <c r="H67" s="82">
        <f>VLOOKUP(A67,'Transporte - FU'!$A$3:$C$168,3,0)</f>
        <v>1</v>
      </c>
      <c r="I67" s="81" t="str">
        <f>VLOOKUP(A67,'Transporte - FU'!$A$3:$C$166,2,0)</f>
        <v>EQ001</v>
      </c>
      <c r="J67" s="83">
        <f>VLOOKUP(I67,CHP!$A$13:$D$215,3,0)</f>
        <v>430.57</v>
      </c>
      <c r="K67" s="81" t="s">
        <v>237</v>
      </c>
      <c r="L67" s="138">
        <f>IF(E67&lt;&gt;0,VLOOKUP(A67,Pedagios!$A$11:$AM$206,6,0),0)</f>
        <v>0</v>
      </c>
      <c r="M67" s="84">
        <f t="shared" si="25"/>
        <v>0</v>
      </c>
    </row>
    <row r="68" spans="1:13" s="75" customFormat="1" ht="14.25" x14ac:dyDescent="0.2">
      <c r="A68" s="154">
        <v>333300</v>
      </c>
      <c r="B68" s="69" t="str">
        <f>VLOOKUP(A68,CHP!$A$13:D$211,2,0)</f>
        <v>Escav. hidráulica 336D L severa</v>
      </c>
      <c r="C68" s="80">
        <f t="shared" si="0"/>
        <v>521.5</v>
      </c>
      <c r="D68" s="80">
        <f t="shared" si="3"/>
        <v>31.5</v>
      </c>
      <c r="E68" s="397">
        <f>IFERROR(VLOOKUP($A68,'hora.Equip.obra'!$A$2:$C$68,3,0),0)</f>
        <v>0</v>
      </c>
      <c r="F68" s="80">
        <f t="shared" si="23"/>
        <v>0</v>
      </c>
      <c r="G68" s="81">
        <f t="shared" si="24"/>
        <v>2</v>
      </c>
      <c r="H68" s="82">
        <f>VLOOKUP(A68,'Transporte - FU'!$A$3:$C$168,3,0)</f>
        <v>1</v>
      </c>
      <c r="I68" s="81" t="str">
        <f>VLOOKUP(A68,'Transporte - FU'!$A$3:$C$166,2,0)</f>
        <v>EQ001</v>
      </c>
      <c r="J68" s="83">
        <f>VLOOKUP(I68,CHP!$A$13:$D$215,3,0)</f>
        <v>430.57</v>
      </c>
      <c r="K68" s="81" t="s">
        <v>237</v>
      </c>
      <c r="L68" s="138">
        <f>IF(E68&lt;&gt;0,VLOOKUP(A68,Pedagios!$A$11:$AM$206,6,0),0)</f>
        <v>0</v>
      </c>
      <c r="M68" s="84">
        <f t="shared" si="25"/>
        <v>0</v>
      </c>
    </row>
    <row r="69" spans="1:13" s="75" customFormat="1" ht="14.25" x14ac:dyDescent="0.2">
      <c r="A69" s="154">
        <v>370060</v>
      </c>
      <c r="B69" s="69" t="str">
        <f>VLOOKUP(A69,CHP!$A$13:D$211,2,0)</f>
        <v>Espargidor de asfalto 6000 l</v>
      </c>
      <c r="C69" s="80">
        <f t="shared" si="0"/>
        <v>521.5</v>
      </c>
      <c r="D69" s="80">
        <f t="shared" si="3"/>
        <v>31.5</v>
      </c>
      <c r="E69" s="397">
        <f>IFERROR(VLOOKUP($A69,'hora.Equip.obra'!$A$2:$C$68,3,0),0)</f>
        <v>38.237699999999997</v>
      </c>
      <c r="F69" s="80">
        <f t="shared" si="23"/>
        <v>1</v>
      </c>
      <c r="G69" s="81">
        <f t="shared" si="24"/>
        <v>1</v>
      </c>
      <c r="H69" s="82">
        <f>VLOOKUP(A69,'Transporte - FU'!$A$3:$C$168,3,0)</f>
        <v>1</v>
      </c>
      <c r="I69" s="81">
        <f>VLOOKUP(A69,'Transporte - FU'!$A$3:$C$166,2,0)</f>
        <v>370060</v>
      </c>
      <c r="J69" s="83">
        <f>VLOOKUP(I69,CHP!$A$13:$D$215,3,0)</f>
        <v>127.91</v>
      </c>
      <c r="K69" s="81" t="s">
        <v>237</v>
      </c>
      <c r="L69" s="138">
        <f>IF(E69&lt;&gt;0,VLOOKUP(A69,Pedagios!$A$11:$AM$206,6,0),0)</f>
        <v>102.30000000000001</v>
      </c>
      <c r="M69" s="84">
        <f t="shared" si="25"/>
        <v>1314.7802083333331</v>
      </c>
    </row>
    <row r="70" spans="1:13" s="75" customFormat="1" ht="14.25" x14ac:dyDescent="0.2">
      <c r="A70" s="154">
        <v>370040</v>
      </c>
      <c r="B70" s="69" t="str">
        <f>VLOOKUP(A70,CHP!$A$13:D$211,2,0)</f>
        <v>Espargidor p/asfalto borracha 20 t EHR-700H</v>
      </c>
      <c r="C70" s="80">
        <f t="shared" si="0"/>
        <v>521.5</v>
      </c>
      <c r="D70" s="80">
        <f t="shared" si="3"/>
        <v>31.5</v>
      </c>
      <c r="E70" s="397">
        <f>IFERROR(VLOOKUP($A70,'hora.Equip.obra'!$A$2:$C$68,3,0),0)</f>
        <v>0</v>
      </c>
      <c r="F70" s="80">
        <f t="shared" si="23"/>
        <v>0</v>
      </c>
      <c r="G70" s="81">
        <f t="shared" si="24"/>
        <v>1</v>
      </c>
      <c r="H70" s="82">
        <f>VLOOKUP(A70,'Transporte - FU'!$A$3:$C$168,3,0)</f>
        <v>1</v>
      </c>
      <c r="I70" s="81">
        <f>VLOOKUP(A70,'Transporte - FU'!$A$3:$C$166,2,0)</f>
        <v>370040</v>
      </c>
      <c r="J70" s="83">
        <f>VLOOKUP(I70,CHP!$A$13:$D$215,3,0)</f>
        <v>142.74</v>
      </c>
      <c r="K70" s="81" t="s">
        <v>237</v>
      </c>
      <c r="L70" s="138">
        <f>IF(E70&lt;&gt;0,VLOOKUP(A70,Pedagios!$A$11:$AM$206,6,0),0)</f>
        <v>0</v>
      </c>
      <c r="M70" s="84">
        <f t="shared" si="25"/>
        <v>0</v>
      </c>
    </row>
    <row r="71" spans="1:13" s="75" customFormat="1" ht="14.25" x14ac:dyDescent="0.2">
      <c r="A71" s="154">
        <v>390200</v>
      </c>
      <c r="B71" s="69" t="str">
        <f>VLOOKUP(A71,CHP!$A$13:D$211,2,0)</f>
        <v>Extrusora para defensa de concreto armada</v>
      </c>
      <c r="C71" s="80">
        <f t="shared" si="0"/>
        <v>521.5</v>
      </c>
      <c r="D71" s="80">
        <f t="shared" si="3"/>
        <v>31.5</v>
      </c>
      <c r="E71" s="397">
        <f>IFERROR(VLOOKUP($A71,'hora.Equip.obra'!$A$2:$C$68,3,0),0)</f>
        <v>0</v>
      </c>
      <c r="F71" s="80">
        <f t="shared" si="23"/>
        <v>0</v>
      </c>
      <c r="G71" s="81">
        <f t="shared" si="24"/>
        <v>2</v>
      </c>
      <c r="H71" s="82">
        <f>VLOOKUP(A71,'Transporte - FU'!$A$3:$C$168,3,0)</f>
        <v>1</v>
      </c>
      <c r="I71" s="81" t="str">
        <f>VLOOKUP(A71,'Transporte - FU'!$A$3:$C$166,2,0)</f>
        <v>EQ001</v>
      </c>
      <c r="J71" s="83">
        <f>VLOOKUP(I71,CHP!$A$13:$D$215,3,0)</f>
        <v>430.57</v>
      </c>
      <c r="K71" s="81" t="s">
        <v>237</v>
      </c>
      <c r="L71" s="138">
        <f>IF(E71&lt;&gt;0,VLOOKUP(A71,Pedagios!$A$11:$AM$206,6,0),0)</f>
        <v>0</v>
      </c>
      <c r="M71" s="84">
        <f t="shared" si="25"/>
        <v>0</v>
      </c>
    </row>
    <row r="72" spans="1:13" s="75" customFormat="1" ht="14.25" x14ac:dyDescent="0.2">
      <c r="A72" s="154">
        <v>390100</v>
      </c>
      <c r="B72" s="69" t="str">
        <f>VLOOKUP(A72,CHP!$A$13:D$211,2,0)</f>
        <v>Extrusora para meio fio de concreto</v>
      </c>
      <c r="C72" s="80">
        <f t="shared" si="0"/>
        <v>521.5</v>
      </c>
      <c r="D72" s="80">
        <f t="shared" si="3"/>
        <v>31.5</v>
      </c>
      <c r="E72" s="397">
        <f>IFERROR(VLOOKUP($A72,'hora.Equip.obra'!$A$2:$C$68,3,0),0)</f>
        <v>119.7471</v>
      </c>
      <c r="F72" s="80">
        <f t="shared" si="23"/>
        <v>1</v>
      </c>
      <c r="G72" s="81">
        <f t="shared" si="24"/>
        <v>2</v>
      </c>
      <c r="H72" s="82">
        <f>VLOOKUP(A72,'Transporte - FU'!$A$3:$C$168,3,0)</f>
        <v>1</v>
      </c>
      <c r="I72" s="81" t="str">
        <f>VLOOKUP(A72,'Transporte - FU'!$A$3:$C$166,2,0)</f>
        <v>EQ001</v>
      </c>
      <c r="J72" s="83">
        <f>VLOOKUP(I72,CHP!$A$13:$D$215,3,0)</f>
        <v>430.57</v>
      </c>
      <c r="K72" s="81" t="s">
        <v>237</v>
      </c>
      <c r="L72" s="138">
        <f>IF(E72&lt;&gt;0,VLOOKUP(A72,Pedagios!$A$11:$AM$206,6,0),0)</f>
        <v>37.200000000000003</v>
      </c>
      <c r="M72" s="84">
        <f t="shared" si="25"/>
        <v>8200.0895833333325</v>
      </c>
    </row>
    <row r="73" spans="1:13" s="75" customFormat="1" ht="14.25" x14ac:dyDescent="0.2">
      <c r="A73" s="154">
        <v>351500</v>
      </c>
      <c r="B73" s="69" t="str">
        <f>VLOOKUP(A73,CHP!$A$13:D$211,2,0)</f>
        <v>Fresadora asfalto a frio PM-313</v>
      </c>
      <c r="C73" s="80">
        <f t="shared" si="0"/>
        <v>521.5</v>
      </c>
      <c r="D73" s="80">
        <f t="shared" si="3"/>
        <v>31.5</v>
      </c>
      <c r="E73" s="397">
        <f>IFERROR(VLOOKUP($A73,'hora.Equip.obra'!$A$2:$C$68,3,0),0)</f>
        <v>0</v>
      </c>
      <c r="F73" s="80">
        <f t="shared" si="23"/>
        <v>0</v>
      </c>
      <c r="G73" s="81">
        <f t="shared" si="24"/>
        <v>2</v>
      </c>
      <c r="H73" s="82">
        <f>VLOOKUP(A73,'Transporte - FU'!$A$3:$C$168,3,0)</f>
        <v>0.5</v>
      </c>
      <c r="I73" s="81" t="str">
        <f>VLOOKUP(A73,'Transporte - FU'!$A$3:$C$166,2,0)</f>
        <v>EQ001</v>
      </c>
      <c r="J73" s="83">
        <f>VLOOKUP(I73,CHP!$A$13:$D$215,3,0)</f>
        <v>430.57</v>
      </c>
      <c r="K73" s="81" t="s">
        <v>237</v>
      </c>
      <c r="L73" s="138">
        <f>IF(E73&lt;&gt;0,VLOOKUP(A73,Pedagios!$A$11:$AM$206,6,0),0)</f>
        <v>0</v>
      </c>
      <c r="M73" s="84">
        <f t="shared" si="25"/>
        <v>0</v>
      </c>
    </row>
    <row r="74" spans="1:13" s="75" customFormat="1" ht="14.25" x14ac:dyDescent="0.2">
      <c r="A74" s="154">
        <v>351000</v>
      </c>
      <c r="B74" s="69" t="str">
        <f>VLOOKUP(A74,CHP!$A$13:D$211,2,0)</f>
        <v xml:space="preserve">Fresadora asfalto a frio W 100 HR </v>
      </c>
      <c r="C74" s="80">
        <f t="shared" si="0"/>
        <v>521.5</v>
      </c>
      <c r="D74" s="80">
        <f t="shared" si="3"/>
        <v>31.5</v>
      </c>
      <c r="E74" s="397">
        <f>IFERROR(VLOOKUP($A74,'hora.Equip.obra'!$A$2:$C$68,3,0),0)</f>
        <v>0</v>
      </c>
      <c r="F74" s="80">
        <f t="shared" si="23"/>
        <v>0</v>
      </c>
      <c r="G74" s="81">
        <f t="shared" si="24"/>
        <v>2</v>
      </c>
      <c r="H74" s="82">
        <f>VLOOKUP(A74,'Transporte - FU'!$A$3:$C$168,3,0)</f>
        <v>1</v>
      </c>
      <c r="I74" s="81" t="str">
        <f>VLOOKUP(A74,'Transporte - FU'!$A$3:$C$166,2,0)</f>
        <v>EQ001</v>
      </c>
      <c r="J74" s="83">
        <f>VLOOKUP(I74,CHP!$A$13:$D$215,3,0)</f>
        <v>430.57</v>
      </c>
      <c r="K74" s="81" t="s">
        <v>237</v>
      </c>
      <c r="L74" s="138">
        <f>IF(E74&lt;&gt;0,VLOOKUP(A74,Pedagios!$A$11:$AM$206,6,0),0)</f>
        <v>0</v>
      </c>
      <c r="M74" s="84">
        <f t="shared" si="25"/>
        <v>0</v>
      </c>
    </row>
    <row r="75" spans="1:13" s="75" customFormat="1" ht="14.25" x14ac:dyDescent="0.2">
      <c r="A75" s="154">
        <v>352000</v>
      </c>
      <c r="B75" s="69" t="str">
        <f>VLOOKUP(A75,CHP!$A$13:D$211,2,0)</f>
        <v>Fresadora asfalto a frio W-200 F</v>
      </c>
      <c r="C75" s="80">
        <f t="shared" si="0"/>
        <v>521.5</v>
      </c>
      <c r="D75" s="80">
        <f t="shared" si="3"/>
        <v>31.5</v>
      </c>
      <c r="E75" s="397">
        <f>IFERROR(VLOOKUP($A75,'hora.Equip.obra'!$A$2:$C$68,3,0),0)</f>
        <v>0</v>
      </c>
      <c r="F75" s="80">
        <f t="shared" si="23"/>
        <v>0</v>
      </c>
      <c r="G75" s="81">
        <f t="shared" si="24"/>
        <v>2</v>
      </c>
      <c r="H75" s="82">
        <f>VLOOKUP(A75,'Transporte - FU'!$A$3:$C$168,3,0)</f>
        <v>1</v>
      </c>
      <c r="I75" s="81" t="str">
        <f>VLOOKUP(A75,'Transporte - FU'!$A$3:$C$166,2,0)</f>
        <v>EQ001</v>
      </c>
      <c r="J75" s="83">
        <f>VLOOKUP(I75,CHP!$A$13:$D$215,3,0)</f>
        <v>430.57</v>
      </c>
      <c r="K75" s="81" t="s">
        <v>237</v>
      </c>
      <c r="L75" s="138">
        <f>IF(E75&lt;&gt;0,VLOOKUP(A75,Pedagios!$A$11:$AM$206,6,0),0)</f>
        <v>0</v>
      </c>
      <c r="M75" s="84">
        <f t="shared" si="25"/>
        <v>0</v>
      </c>
    </row>
    <row r="76" spans="1:13" s="75" customFormat="1" ht="14.25" x14ac:dyDescent="0.2">
      <c r="A76" s="154">
        <v>370440</v>
      </c>
      <c r="B76" s="69" t="str">
        <f>VLOOKUP(A76,CHP!$A$13:D$211,2,0)</f>
        <v>Máquina pintura de faixas</v>
      </c>
      <c r="C76" s="80">
        <f t="shared" si="0"/>
        <v>521.5</v>
      </c>
      <c r="D76" s="80">
        <f t="shared" si="3"/>
        <v>31.5</v>
      </c>
      <c r="E76" s="397">
        <f>IFERROR(VLOOKUP($A76,'hora.Equip.obra'!$A$2:$C$68,3,0),0)</f>
        <v>33.296399999999998</v>
      </c>
      <c r="F76" s="80">
        <f t="shared" si="23"/>
        <v>1</v>
      </c>
      <c r="G76" s="81">
        <f t="shared" si="24"/>
        <v>1</v>
      </c>
      <c r="H76" s="82">
        <f>VLOOKUP(A76,'Transporte - FU'!$A$3:$C$168,3,0)</f>
        <v>1</v>
      </c>
      <c r="I76" s="81">
        <f>VLOOKUP(A76,'Transporte - FU'!$A$3:$C$166,2,0)</f>
        <v>370440</v>
      </c>
      <c r="J76" s="83">
        <f>VLOOKUP(I76,CHP!$A$13:$D$215,3,0)</f>
        <v>220.87</v>
      </c>
      <c r="K76" s="81" t="s">
        <v>237</v>
      </c>
      <c r="L76" s="138">
        <f>IF(E76&lt;&gt;0,VLOOKUP(A76,Pedagios!$A$11:$AM$206,6,0),0)</f>
        <v>68.2</v>
      </c>
      <c r="M76" s="84">
        <f>IFERROR(((C76*G76*H76)/$M$6+(D76*G76*H76)/$M$7)*J76*F76,0)+(F76*L76)</f>
        <v>2161.8635416666666</v>
      </c>
    </row>
    <row r="77" spans="1:13" s="75" customFormat="1" ht="14.25" x14ac:dyDescent="0.2">
      <c r="A77" s="154">
        <v>344500</v>
      </c>
      <c r="B77" s="69" t="str">
        <f>VLOOKUP(A77,CHP!$A$13:D$211,2,0)</f>
        <v>Microtrator c/ pulverizador 450 l</v>
      </c>
      <c r="C77" s="80">
        <f t="shared" si="0"/>
        <v>521.5</v>
      </c>
      <c r="D77" s="80">
        <f t="shared" si="3"/>
        <v>31.5</v>
      </c>
      <c r="E77" s="397">
        <f>IFERROR(VLOOKUP($A77,'hora.Equip.obra'!$A$2:$C$68,3,0),0)</f>
        <v>0</v>
      </c>
      <c r="F77" s="80">
        <f t="shared" ref="F77:F108" si="26">ROUNDUP(E77/($M$9*$M$8),0)</f>
        <v>0</v>
      </c>
      <c r="G77" s="81">
        <f t="shared" ref="G77:G108" si="27">IF(A77=I77,1,2)</f>
        <v>2</v>
      </c>
      <c r="H77" s="82">
        <f>VLOOKUP(A77,'Transporte - FU'!$A$3:$C$168,3,0)</f>
        <v>0.33</v>
      </c>
      <c r="I77" s="81" t="str">
        <f>VLOOKUP(A77,'Transporte - FU'!$A$3:$C$166,2,0)</f>
        <v>EQ001</v>
      </c>
      <c r="J77" s="83">
        <f>VLOOKUP(I77,CHP!$A$13:$D$215,3,0)</f>
        <v>430.57</v>
      </c>
      <c r="K77" s="81" t="s">
        <v>237</v>
      </c>
      <c r="L77" s="138">
        <f>IF(E77&lt;&gt;0,VLOOKUP(A77,Pedagios!$A$11:$AM$206,6,0),0)</f>
        <v>0</v>
      </c>
      <c r="M77" s="84">
        <f t="shared" ref="M77:M108" si="28">IFERROR(((C77*G77*H77)/$M$6+(D77*G77*H77)/$M$7)*J77*F77,0)+(F77*L77)</f>
        <v>0</v>
      </c>
    </row>
    <row r="78" spans="1:13" s="75" customFormat="1" ht="14.25" x14ac:dyDescent="0.2">
      <c r="A78" s="154">
        <v>327530</v>
      </c>
      <c r="B78" s="69" t="str">
        <f>VLOOKUP(A78,CHP!$A$13:D$211,2,0)</f>
        <v>Minicarregadeira de pneus 226-B c/vassoura</v>
      </c>
      <c r="C78" s="80">
        <f t="shared" si="0"/>
        <v>521.5</v>
      </c>
      <c r="D78" s="80">
        <f t="shared" si="3"/>
        <v>31.5</v>
      </c>
      <c r="E78" s="397">
        <f>IFERROR(VLOOKUP($A78,'hora.Equip.obra'!$A$2:$C$68,3,0),0)</f>
        <v>0</v>
      </c>
      <c r="F78" s="80">
        <f t="shared" si="26"/>
        <v>0</v>
      </c>
      <c r="G78" s="81">
        <f t="shared" si="27"/>
        <v>2</v>
      </c>
      <c r="H78" s="82">
        <f>VLOOKUP(A78,'Transporte - FU'!$A$3:$C$168,3,0)</f>
        <v>0.33</v>
      </c>
      <c r="I78" s="81" t="str">
        <f>VLOOKUP(A78,'Transporte - FU'!$A$3:$C$166,2,0)</f>
        <v>EQ001</v>
      </c>
      <c r="J78" s="83">
        <f>VLOOKUP(I78,CHP!$A$13:$D$215,3,0)</f>
        <v>430.57</v>
      </c>
      <c r="K78" s="81" t="s">
        <v>237</v>
      </c>
      <c r="L78" s="138">
        <f>IF(E78&lt;&gt;0,VLOOKUP(A78,Pedagios!$A$11:$AM$206,6,0),0)</f>
        <v>0</v>
      </c>
      <c r="M78" s="84">
        <f t="shared" si="28"/>
        <v>0</v>
      </c>
    </row>
    <row r="79" spans="1:13" s="75" customFormat="1" ht="28.5" x14ac:dyDescent="0.2">
      <c r="A79" s="154">
        <v>352500</v>
      </c>
      <c r="B79" s="69" t="str">
        <f>VLOOKUP(A79,CHP!$A$13:D$211,2,0)</f>
        <v>Minicarregadeira de pneus S-650 c/fresadora asf. a frio L&lt;=1,00m c/vassoura</v>
      </c>
      <c r="C79" s="80">
        <f t="shared" si="0"/>
        <v>521.5</v>
      </c>
      <c r="D79" s="80">
        <f t="shared" si="3"/>
        <v>31.5</v>
      </c>
      <c r="E79" s="397">
        <f>IFERROR(VLOOKUP($A79,'hora.Equip.obra'!$A$2:$C$68,3,0),0)</f>
        <v>0</v>
      </c>
      <c r="F79" s="80">
        <f t="shared" si="26"/>
        <v>0</v>
      </c>
      <c r="G79" s="81">
        <f t="shared" si="27"/>
        <v>2</v>
      </c>
      <c r="H79" s="82">
        <f>VLOOKUP(A79,'Transporte - FU'!$A$3:$C$168,3,0)</f>
        <v>0.5</v>
      </c>
      <c r="I79" s="81" t="str">
        <f>VLOOKUP(A79,'Transporte - FU'!$A$3:$C$166,2,0)</f>
        <v>EQ001</v>
      </c>
      <c r="J79" s="83">
        <f>VLOOKUP(I79,CHP!$A$13:$D$215,3,0)</f>
        <v>430.57</v>
      </c>
      <c r="K79" s="81" t="s">
        <v>237</v>
      </c>
      <c r="L79" s="138">
        <f>IF(E79&lt;&gt;0,VLOOKUP(A79,Pedagios!$A$11:$AM$206,6,0),0)</f>
        <v>0</v>
      </c>
      <c r="M79" s="84">
        <f t="shared" si="28"/>
        <v>0</v>
      </c>
    </row>
    <row r="80" spans="1:13" s="75" customFormat="1" ht="14.25" x14ac:dyDescent="0.2">
      <c r="A80" s="154">
        <v>312000</v>
      </c>
      <c r="B80" s="69" t="str">
        <f>VLOOKUP(A80,CHP!$A$13:D$211,2,0)</f>
        <v>Minicarregadeira de pneus S-650 c/valetadeira mecânica WS-24</v>
      </c>
      <c r="C80" s="80">
        <f t="shared" si="0"/>
        <v>521.5</v>
      </c>
      <c r="D80" s="80">
        <f t="shared" si="3"/>
        <v>31.5</v>
      </c>
      <c r="E80" s="397">
        <f>IFERROR(VLOOKUP($A80,'hora.Equip.obra'!$A$2:$C$68,3,0),0)</f>
        <v>0</v>
      </c>
      <c r="F80" s="80">
        <f t="shared" si="26"/>
        <v>0</v>
      </c>
      <c r="G80" s="81">
        <f t="shared" si="27"/>
        <v>2</v>
      </c>
      <c r="H80" s="82">
        <f>VLOOKUP(A80,'Transporte - FU'!$A$3:$C$168,3,0)</f>
        <v>0.5</v>
      </c>
      <c r="I80" s="81" t="str">
        <f>VLOOKUP(A80,'Transporte - FU'!$A$3:$C$166,2,0)</f>
        <v>EQ001</v>
      </c>
      <c r="J80" s="83">
        <f>VLOOKUP(I80,CHP!$A$13:$D$215,3,0)</f>
        <v>430.57</v>
      </c>
      <c r="K80" s="81" t="s">
        <v>237</v>
      </c>
      <c r="L80" s="138">
        <f>IF(E80&lt;&gt;0,VLOOKUP(A80,Pedagios!$A$11:$AM$206,6,0),0)</f>
        <v>0</v>
      </c>
      <c r="M80" s="84">
        <f t="shared" si="28"/>
        <v>0</v>
      </c>
    </row>
    <row r="81" spans="1:13" s="75" customFormat="1" ht="14.25" x14ac:dyDescent="0.2">
      <c r="A81" s="154">
        <v>311400</v>
      </c>
      <c r="B81" s="69" t="str">
        <f>VLOOKUP(A81,CHP!$A$13:D$211,2,0)</f>
        <v>Motoniveladora c/ escarificador 140-K leve</v>
      </c>
      <c r="C81" s="80">
        <f t="shared" si="0"/>
        <v>521.5</v>
      </c>
      <c r="D81" s="80">
        <f t="shared" si="3"/>
        <v>31.5</v>
      </c>
      <c r="E81" s="397">
        <f>IFERROR(VLOOKUP($A81,'hora.Equip.obra'!$A$2:$C$68,3,0),0)</f>
        <v>0</v>
      </c>
      <c r="F81" s="80">
        <f t="shared" si="26"/>
        <v>0</v>
      </c>
      <c r="G81" s="81">
        <f t="shared" si="27"/>
        <v>2</v>
      </c>
      <c r="H81" s="82">
        <f>VLOOKUP(A81,'Transporte - FU'!$A$3:$C$168,3,0)</f>
        <v>1</v>
      </c>
      <c r="I81" s="81" t="str">
        <f>VLOOKUP(A81,'Transporte - FU'!$A$3:$C$166,2,0)</f>
        <v>EQ001</v>
      </c>
      <c r="J81" s="83">
        <f>VLOOKUP(I81,CHP!$A$13:$D$215,3,0)</f>
        <v>430.57</v>
      </c>
      <c r="K81" s="81" t="s">
        <v>237</v>
      </c>
      <c r="L81" s="138">
        <f>IF(E81&lt;&gt;0,VLOOKUP(A81,Pedagios!$A$11:$AM$206,6,0),0)</f>
        <v>0</v>
      </c>
      <c r="M81" s="84">
        <f t="shared" si="28"/>
        <v>0</v>
      </c>
    </row>
    <row r="82" spans="1:13" s="75" customFormat="1" ht="14.25" x14ac:dyDescent="0.2">
      <c r="A82" s="154">
        <v>321400</v>
      </c>
      <c r="B82" s="69" t="str">
        <f>VLOOKUP(A82,CHP!$A$13:D$211,2,0)</f>
        <v>Motoniveladora c/ escarificador 140-K média</v>
      </c>
      <c r="C82" s="80">
        <f t="shared" si="0"/>
        <v>521.5</v>
      </c>
      <c r="D82" s="80">
        <f t="shared" si="3"/>
        <v>31.5</v>
      </c>
      <c r="E82" s="397">
        <f>IFERROR(VLOOKUP($A82,'hora.Equip.obra'!$A$2:$C$68,3,0),0)</f>
        <v>138.2876</v>
      </c>
      <c r="F82" s="80">
        <f t="shared" si="26"/>
        <v>1</v>
      </c>
      <c r="G82" s="81">
        <f t="shared" si="27"/>
        <v>2</v>
      </c>
      <c r="H82" s="82">
        <f>VLOOKUP(A82,'Transporte - FU'!$A$3:$C$168,3,0)</f>
        <v>1</v>
      </c>
      <c r="I82" s="81" t="str">
        <f>VLOOKUP(A82,'Transporte - FU'!$A$3:$C$166,2,0)</f>
        <v>EQ001</v>
      </c>
      <c r="J82" s="83">
        <f>VLOOKUP(I82,CHP!$A$13:$D$215,3,0)</f>
        <v>430.57</v>
      </c>
      <c r="K82" s="81" t="s">
        <v>237</v>
      </c>
      <c r="L82" s="138">
        <f>IF(E82&lt;&gt;0,VLOOKUP(A82,Pedagios!$A$11:$AM$206,6,0),0)</f>
        <v>136.4</v>
      </c>
      <c r="M82" s="84">
        <f t="shared" si="28"/>
        <v>8299.2895833333332</v>
      </c>
    </row>
    <row r="83" spans="1:13" s="75" customFormat="1" ht="14.25" x14ac:dyDescent="0.2">
      <c r="A83" s="154">
        <v>331400</v>
      </c>
      <c r="B83" s="69" t="str">
        <f>VLOOKUP(A83,CHP!$A$13:D$211,2,0)</f>
        <v>Motoniveladora c/ escarificador 140-K severa</v>
      </c>
      <c r="C83" s="80">
        <f t="shared" si="0"/>
        <v>521.5</v>
      </c>
      <c r="D83" s="80">
        <f t="shared" si="3"/>
        <v>31.5</v>
      </c>
      <c r="E83" s="397">
        <f>IFERROR(VLOOKUP($A83,'hora.Equip.obra'!$A$2:$C$68,3,0),0)</f>
        <v>0</v>
      </c>
      <c r="F83" s="80">
        <f t="shared" si="26"/>
        <v>0</v>
      </c>
      <c r="G83" s="81">
        <f t="shared" si="27"/>
        <v>2</v>
      </c>
      <c r="H83" s="82">
        <f>VLOOKUP(A83,'Transporte - FU'!$A$3:$C$168,3,0)</f>
        <v>1</v>
      </c>
      <c r="I83" s="81" t="str">
        <f>VLOOKUP(A83,'Transporte - FU'!$A$3:$C$166,2,0)</f>
        <v>EQ001</v>
      </c>
      <c r="J83" s="83">
        <f>VLOOKUP(I83,CHP!$A$13:$D$215,3,0)</f>
        <v>430.57</v>
      </c>
      <c r="K83" s="81" t="s">
        <v>237</v>
      </c>
      <c r="L83" s="138">
        <f>IF(E83&lt;&gt;0,VLOOKUP(A83,Pedagios!$A$11:$AM$206,6,0),0)</f>
        <v>0</v>
      </c>
      <c r="M83" s="84">
        <f t="shared" si="28"/>
        <v>0</v>
      </c>
    </row>
    <row r="84" spans="1:13" s="75" customFormat="1" ht="14.25" x14ac:dyDescent="0.2">
      <c r="A84" s="154">
        <v>311200</v>
      </c>
      <c r="B84" s="69" t="str">
        <f>VLOOKUP(A84,CHP!$A$13:D$211,2,0)</f>
        <v>Motoniveladora 120-K leve</v>
      </c>
      <c r="C84" s="80">
        <f t="shared" si="0"/>
        <v>521.5</v>
      </c>
      <c r="D84" s="80">
        <f t="shared" si="3"/>
        <v>31.5</v>
      </c>
      <c r="E84" s="397">
        <f>IFERROR(VLOOKUP($A84,'hora.Equip.obra'!$A$2:$C$68,3,0),0)</f>
        <v>92.176900000000003</v>
      </c>
      <c r="F84" s="80">
        <f t="shared" si="26"/>
        <v>1</v>
      </c>
      <c r="G84" s="81">
        <f t="shared" si="27"/>
        <v>2</v>
      </c>
      <c r="H84" s="82">
        <f>VLOOKUP(A84,'Transporte - FU'!$A$3:$C$168,3,0)</f>
        <v>1</v>
      </c>
      <c r="I84" s="81" t="str">
        <f>VLOOKUP(A84,'Transporte - FU'!$A$3:$C$166,2,0)</f>
        <v>EQ001</v>
      </c>
      <c r="J84" s="83">
        <f>VLOOKUP(I84,CHP!$A$13:$D$215,3,0)</f>
        <v>430.57</v>
      </c>
      <c r="K84" s="81" t="s">
        <v>237</v>
      </c>
      <c r="L84" s="138">
        <f>IF(E84&lt;&gt;0,VLOOKUP(A84,Pedagios!$A$11:$AM$206,6,0),0)</f>
        <v>136.4</v>
      </c>
      <c r="M84" s="84">
        <f t="shared" si="28"/>
        <v>8299.2895833333332</v>
      </c>
    </row>
    <row r="85" spans="1:13" s="75" customFormat="1" ht="14.25" x14ac:dyDescent="0.2">
      <c r="A85" s="154">
        <v>321200</v>
      </c>
      <c r="B85" s="69" t="str">
        <f>VLOOKUP(A85,CHP!$A$13:D$211,2,0)</f>
        <v>Motoniveladora 120-K média</v>
      </c>
      <c r="C85" s="80">
        <f t="shared" si="0"/>
        <v>521.5</v>
      </c>
      <c r="D85" s="80">
        <f t="shared" si="3"/>
        <v>31.5</v>
      </c>
      <c r="E85" s="397">
        <f>IFERROR(VLOOKUP($A85,'hora.Equip.obra'!$A$2:$C$68,3,0),0)</f>
        <v>61.1646</v>
      </c>
      <c r="F85" s="80">
        <f t="shared" si="26"/>
        <v>1</v>
      </c>
      <c r="G85" s="81">
        <f t="shared" si="27"/>
        <v>2</v>
      </c>
      <c r="H85" s="82">
        <f>VLOOKUP(A85,'Transporte - FU'!$A$3:$C$168,3,0)</f>
        <v>1</v>
      </c>
      <c r="I85" s="81" t="str">
        <f>VLOOKUP(A85,'Transporte - FU'!$A$3:$C$166,2,0)</f>
        <v>EQ001</v>
      </c>
      <c r="J85" s="83">
        <f>VLOOKUP(I85,CHP!$A$13:$D$215,3,0)</f>
        <v>430.57</v>
      </c>
      <c r="K85" s="81" t="s">
        <v>237</v>
      </c>
      <c r="L85" s="138">
        <f>IF(E85&lt;&gt;0,VLOOKUP(A85,Pedagios!$A$11:$AM$206,6,0),0)</f>
        <v>136.4</v>
      </c>
      <c r="M85" s="84">
        <f t="shared" si="28"/>
        <v>8299.2895833333332</v>
      </c>
    </row>
    <row r="86" spans="1:13" s="75" customFormat="1" ht="14.25" x14ac:dyDescent="0.2">
      <c r="A86" s="154">
        <v>331200</v>
      </c>
      <c r="B86" s="69" t="str">
        <f>VLOOKUP(A86,CHP!$A$13:D$211,2,0)</f>
        <v>Motoniveladora 120-K severa</v>
      </c>
      <c r="C86" s="80">
        <f t="shared" si="0"/>
        <v>521.5</v>
      </c>
      <c r="D86" s="80">
        <f t="shared" si="3"/>
        <v>31.5</v>
      </c>
      <c r="E86" s="397">
        <f>IFERROR(VLOOKUP($A86,'hora.Equip.obra'!$A$2:$C$68,3,0),0)</f>
        <v>0</v>
      </c>
      <c r="F86" s="80">
        <f t="shared" si="26"/>
        <v>0</v>
      </c>
      <c r="G86" s="81">
        <f t="shared" si="27"/>
        <v>2</v>
      </c>
      <c r="H86" s="82">
        <f>VLOOKUP(A86,'Transporte - FU'!$A$3:$C$168,3,0)</f>
        <v>1</v>
      </c>
      <c r="I86" s="81" t="str">
        <f>VLOOKUP(A86,'Transporte - FU'!$A$3:$C$166,2,0)</f>
        <v>EQ001</v>
      </c>
      <c r="J86" s="83">
        <f>VLOOKUP(I86,CHP!$A$13:$D$215,3,0)</f>
        <v>430.57</v>
      </c>
      <c r="K86" s="81" t="s">
        <v>237</v>
      </c>
      <c r="L86" s="138">
        <f>IF(E86&lt;&gt;0,VLOOKUP(A86,Pedagios!$A$11:$AM$206,6,0),0)</f>
        <v>0</v>
      </c>
      <c r="M86" s="84">
        <f t="shared" si="28"/>
        <v>0</v>
      </c>
    </row>
    <row r="87" spans="1:13" s="75" customFormat="1" ht="14.25" x14ac:dyDescent="0.2">
      <c r="A87" s="154">
        <v>310400</v>
      </c>
      <c r="B87" s="69" t="str">
        <f>VLOOKUP(A87,CHP!$A$13:D$211,2,0)</f>
        <v>Motoniveladora 140-K leve</v>
      </c>
      <c r="C87" s="80">
        <f t="shared" si="0"/>
        <v>521.5</v>
      </c>
      <c r="D87" s="80">
        <f t="shared" si="3"/>
        <v>31.5</v>
      </c>
      <c r="E87" s="397">
        <f>IFERROR(VLOOKUP($A87,'hora.Equip.obra'!$A$2:$C$68,3,0),0)</f>
        <v>30.017099999999999</v>
      </c>
      <c r="F87" s="80">
        <f t="shared" si="26"/>
        <v>1</v>
      </c>
      <c r="G87" s="81">
        <f t="shared" si="27"/>
        <v>2</v>
      </c>
      <c r="H87" s="82">
        <f>VLOOKUP(A87,'Transporte - FU'!$A$3:$C$168,3,0)</f>
        <v>1</v>
      </c>
      <c r="I87" s="81" t="str">
        <f>VLOOKUP(A87,'Transporte - FU'!$A$3:$C$166,2,0)</f>
        <v>EQ001</v>
      </c>
      <c r="J87" s="83">
        <f>VLOOKUP(I87,CHP!$A$13:$D$215,3,0)</f>
        <v>430.57</v>
      </c>
      <c r="K87" s="81" t="s">
        <v>237</v>
      </c>
      <c r="L87" s="138">
        <f>IF(E87&lt;&gt;0,VLOOKUP(A87,Pedagios!$A$11:$AM$206,6,0),0)</f>
        <v>136.4</v>
      </c>
      <c r="M87" s="84">
        <f t="shared" si="28"/>
        <v>8299.2895833333332</v>
      </c>
    </row>
    <row r="88" spans="1:13" s="75" customFormat="1" ht="14.25" x14ac:dyDescent="0.2">
      <c r="A88" s="154">
        <v>320400</v>
      </c>
      <c r="B88" s="69" t="str">
        <f>VLOOKUP(A88,CHP!$A$13:D$211,2,0)</f>
        <v>Motoniveladora 140-k média</v>
      </c>
      <c r="C88" s="80">
        <f t="shared" si="0"/>
        <v>521.5</v>
      </c>
      <c r="D88" s="80">
        <f t="shared" si="3"/>
        <v>31.5</v>
      </c>
      <c r="E88" s="397">
        <f>IFERROR(VLOOKUP($A88,'hora.Equip.obra'!$A$2:$C$68,3,0),0)</f>
        <v>0</v>
      </c>
      <c r="F88" s="80">
        <f t="shared" si="26"/>
        <v>0</v>
      </c>
      <c r="G88" s="81">
        <f t="shared" si="27"/>
        <v>2</v>
      </c>
      <c r="H88" s="82">
        <f>VLOOKUP(A88,'Transporte - FU'!$A$3:$C$168,3,0)</f>
        <v>1</v>
      </c>
      <c r="I88" s="81" t="str">
        <f>VLOOKUP(A88,'Transporte - FU'!$A$3:$C$166,2,0)</f>
        <v>EQ001</v>
      </c>
      <c r="J88" s="83">
        <f>VLOOKUP(I88,CHP!$A$13:$D$215,3,0)</f>
        <v>430.57</v>
      </c>
      <c r="K88" s="81" t="s">
        <v>237</v>
      </c>
      <c r="L88" s="138">
        <f>IF(E88&lt;&gt;0,VLOOKUP(A88,Pedagios!$A$11:$AM$206,6,0),0)</f>
        <v>0</v>
      </c>
      <c r="M88" s="84">
        <f t="shared" si="28"/>
        <v>0</v>
      </c>
    </row>
    <row r="89" spans="1:13" s="75" customFormat="1" ht="14.25" x14ac:dyDescent="0.2">
      <c r="A89" s="154">
        <v>330400</v>
      </c>
      <c r="B89" s="69" t="str">
        <f>VLOOKUP(A89,CHP!$A$13:D$211,2,0)</f>
        <v>Motoniveladora 140-k severa</v>
      </c>
      <c r="C89" s="80">
        <f t="shared" si="0"/>
        <v>521.5</v>
      </c>
      <c r="D89" s="80">
        <f t="shared" si="3"/>
        <v>31.5</v>
      </c>
      <c r="E89" s="397">
        <f>IFERROR(VLOOKUP($A89,'hora.Equip.obra'!$A$2:$C$68,3,0),0)</f>
        <v>0</v>
      </c>
      <c r="F89" s="80">
        <f t="shared" si="26"/>
        <v>0</v>
      </c>
      <c r="G89" s="81">
        <f t="shared" si="27"/>
        <v>2</v>
      </c>
      <c r="H89" s="82">
        <f>VLOOKUP(A89,'Transporte - FU'!$A$3:$C$168,3,0)</f>
        <v>1</v>
      </c>
      <c r="I89" s="81" t="str">
        <f>VLOOKUP(A89,'Transporte - FU'!$A$3:$C$166,2,0)</f>
        <v>EQ001</v>
      </c>
      <c r="J89" s="83">
        <f>VLOOKUP(I89,CHP!$A$13:$D$215,3,0)</f>
        <v>430.57</v>
      </c>
      <c r="K89" s="81" t="s">
        <v>237</v>
      </c>
      <c r="L89" s="138">
        <f>IF(E89&lt;&gt;0,VLOOKUP(A89,Pedagios!$A$11:$AM$206,6,0),0)</f>
        <v>0</v>
      </c>
      <c r="M89" s="84">
        <f t="shared" si="28"/>
        <v>0</v>
      </c>
    </row>
    <row r="90" spans="1:13" s="75" customFormat="1" ht="14.25" x14ac:dyDescent="0.2">
      <c r="A90" s="154">
        <v>323104</v>
      </c>
      <c r="B90" s="69" t="str">
        <f>VLOOKUP(A90,CHP!$A$13:D$211,2,0)</f>
        <v xml:space="preserve">Pavimentadora com formas deslizantes </v>
      </c>
      <c r="C90" s="80">
        <f t="shared" si="0"/>
        <v>521.5</v>
      </c>
      <c r="D90" s="80">
        <f t="shared" si="3"/>
        <v>31.5</v>
      </c>
      <c r="E90" s="397">
        <f>IFERROR(VLOOKUP($A90,'hora.Equip.obra'!$A$2:$C$68,3,0),0)</f>
        <v>0</v>
      </c>
      <c r="F90" s="80">
        <f t="shared" si="26"/>
        <v>0</v>
      </c>
      <c r="G90" s="81">
        <f t="shared" si="27"/>
        <v>2</v>
      </c>
      <c r="H90" s="82">
        <f>VLOOKUP(A90,'Transporte - FU'!$A$3:$C$168,3,0)</f>
        <v>1</v>
      </c>
      <c r="I90" s="81" t="str">
        <f>VLOOKUP(A90,'Transporte - FU'!$A$3:$C$166,2,0)</f>
        <v>EQ001</v>
      </c>
      <c r="J90" s="83">
        <f>VLOOKUP(I90,CHP!$A$13:$D$215,3,0)</f>
        <v>430.57</v>
      </c>
      <c r="K90" s="81" t="s">
        <v>237</v>
      </c>
      <c r="L90" s="138">
        <f>IF(E90&lt;&gt;0,VLOOKUP(A90,Pedagios!$A$11:$AM$206,6,0),0)</f>
        <v>0</v>
      </c>
      <c r="M90" s="84">
        <f t="shared" si="28"/>
        <v>0</v>
      </c>
    </row>
    <row r="91" spans="1:13" s="75" customFormat="1" ht="14.25" x14ac:dyDescent="0.2">
      <c r="A91" s="154">
        <v>325125</v>
      </c>
      <c r="B91" s="69" t="str">
        <f>VLOOKUP(A91,CHP!$A$13:D$211,2,0)</f>
        <v>Pavimentadora/extrusora de concreto 4400</v>
      </c>
      <c r="C91" s="80">
        <f t="shared" si="0"/>
        <v>521.5</v>
      </c>
      <c r="D91" s="80">
        <f t="shared" si="3"/>
        <v>31.5</v>
      </c>
      <c r="E91" s="397">
        <f>IFERROR(VLOOKUP($A91,'hora.Equip.obra'!$A$2:$C$68,3,0),0)</f>
        <v>0</v>
      </c>
      <c r="F91" s="80">
        <f t="shared" si="26"/>
        <v>0</v>
      </c>
      <c r="G91" s="81">
        <f t="shared" si="27"/>
        <v>2</v>
      </c>
      <c r="H91" s="82">
        <f>VLOOKUP(A91,'Transporte - FU'!$A$3:$C$168,3,0)</f>
        <v>1</v>
      </c>
      <c r="I91" s="81" t="str">
        <f>VLOOKUP(A91,'Transporte - FU'!$A$3:$C$166,2,0)</f>
        <v>EQ001</v>
      </c>
      <c r="J91" s="83">
        <f>VLOOKUP(I91,CHP!$A$13:$D$215,3,0)</f>
        <v>430.57</v>
      </c>
      <c r="K91" s="81" t="s">
        <v>237</v>
      </c>
      <c r="L91" s="138">
        <f>IF(E91&lt;&gt;0,VLOOKUP(A91,Pedagios!$A$11:$AM$206,6,0),0)</f>
        <v>0</v>
      </c>
      <c r="M91" s="84">
        <f t="shared" si="28"/>
        <v>0</v>
      </c>
    </row>
    <row r="92" spans="1:13" s="75" customFormat="1" ht="14.25" x14ac:dyDescent="0.2">
      <c r="A92" s="154">
        <v>300030</v>
      </c>
      <c r="B92" s="69" t="str">
        <f>VLOOKUP(A92,CHP!$A$13:D$211,2,0)</f>
        <v>Prancha p/ carreta (25 t)</v>
      </c>
      <c r="C92" s="80">
        <f t="shared" si="0"/>
        <v>521.5</v>
      </c>
      <c r="D92" s="80">
        <f t="shared" si="3"/>
        <v>31.5</v>
      </c>
      <c r="E92" s="397">
        <f>IFERROR(VLOOKUP($A92,'hora.Equip.obra'!$A$2:$C$68,3,0),0)</f>
        <v>0</v>
      </c>
      <c r="F92" s="80">
        <f t="shared" si="26"/>
        <v>0</v>
      </c>
      <c r="G92" s="81">
        <f t="shared" si="27"/>
        <v>1</v>
      </c>
      <c r="H92" s="82">
        <f>VLOOKUP(A92,'Transporte - FU'!$A$3:$C$168,3,0)</f>
        <v>1</v>
      </c>
      <c r="I92" s="81">
        <f>VLOOKUP(A92,'Transporte - FU'!$A$3:$C$166,2,0)</f>
        <v>300030</v>
      </c>
      <c r="J92" s="83">
        <f>VLOOKUP(I92,CHP!$A$13:$D$215,3,0)</f>
        <v>31.18</v>
      </c>
      <c r="K92" s="81" t="s">
        <v>237</v>
      </c>
      <c r="L92" s="138">
        <f>IF(E92&lt;&gt;0,VLOOKUP(A92,Pedagios!$A$11:$AM$206,6,0),0)</f>
        <v>0</v>
      </c>
      <c r="M92" s="84">
        <f t="shared" si="28"/>
        <v>0</v>
      </c>
    </row>
    <row r="93" spans="1:13" s="75" customFormat="1" ht="14.25" x14ac:dyDescent="0.2">
      <c r="A93" s="154">
        <v>325020</v>
      </c>
      <c r="B93" s="69" t="str">
        <f>VLOOKUP(A93,CHP!$A$13:D$211,2,0)</f>
        <v>Recicl. a frio WR-240 p/asp.água/emulsão</v>
      </c>
      <c r="C93" s="80">
        <f t="shared" si="0"/>
        <v>521.5</v>
      </c>
      <c r="D93" s="80">
        <f t="shared" si="3"/>
        <v>31.5</v>
      </c>
      <c r="E93" s="397">
        <f>IFERROR(VLOOKUP($A93,'hora.Equip.obra'!$A$2:$C$68,3,0),0)</f>
        <v>0</v>
      </c>
      <c r="F93" s="80">
        <f t="shared" si="26"/>
        <v>0</v>
      </c>
      <c r="G93" s="81">
        <f t="shared" si="27"/>
        <v>2</v>
      </c>
      <c r="H93" s="82">
        <f>VLOOKUP(A93,'Transporte - FU'!$A$3:$C$168,3,0)</f>
        <v>1</v>
      </c>
      <c r="I93" s="81" t="str">
        <f>VLOOKUP(A93,'Transporte - FU'!$A$3:$C$166,2,0)</f>
        <v>EQ001</v>
      </c>
      <c r="J93" s="83">
        <f>VLOOKUP(I93,CHP!$A$13:$D$215,3,0)</f>
        <v>430.57</v>
      </c>
      <c r="K93" s="81" t="s">
        <v>237</v>
      </c>
      <c r="L93" s="138">
        <f>IF(E93&lt;&gt;0,VLOOKUP(A93,Pedagios!$A$11:$AM$206,6,0),0)</f>
        <v>0</v>
      </c>
      <c r="M93" s="84">
        <f t="shared" si="28"/>
        <v>0</v>
      </c>
    </row>
    <row r="94" spans="1:13" s="75" customFormat="1" ht="14.25" x14ac:dyDescent="0.2">
      <c r="A94" s="154">
        <v>325010</v>
      </c>
      <c r="B94" s="69" t="str">
        <f>VLOOKUP(A94,CHP!$A$13:D$211,2,0)</f>
        <v>Recicl. a frio WR-240 p/espuma de asfalto</v>
      </c>
      <c r="C94" s="80">
        <f t="shared" si="0"/>
        <v>521.5</v>
      </c>
      <c r="D94" s="80">
        <f t="shared" si="3"/>
        <v>31.5</v>
      </c>
      <c r="E94" s="397">
        <f>IFERROR(VLOOKUP($A94,'hora.Equip.obra'!$A$2:$C$68,3,0),0)</f>
        <v>0</v>
      </c>
      <c r="F94" s="80">
        <f t="shared" si="26"/>
        <v>0</v>
      </c>
      <c r="G94" s="81">
        <f t="shared" si="27"/>
        <v>2</v>
      </c>
      <c r="H94" s="82">
        <f>VLOOKUP(A94,'Transporte - FU'!$A$3:$C$168,3,0)</f>
        <v>1</v>
      </c>
      <c r="I94" s="81" t="str">
        <f>VLOOKUP(A94,'Transporte - FU'!$A$3:$C$166,2,0)</f>
        <v>EQ001</v>
      </c>
      <c r="J94" s="83">
        <f>VLOOKUP(I94,CHP!$A$13:$D$215,3,0)</f>
        <v>430.57</v>
      </c>
      <c r="K94" s="81" t="s">
        <v>237</v>
      </c>
      <c r="L94" s="138">
        <f>IF(E94&lt;&gt;0,VLOOKUP(A94,Pedagios!$A$11:$AM$206,6,0),0)</f>
        <v>0</v>
      </c>
      <c r="M94" s="84">
        <f t="shared" si="28"/>
        <v>0</v>
      </c>
    </row>
    <row r="95" spans="1:13" s="75" customFormat="1" ht="14.25" x14ac:dyDescent="0.2">
      <c r="A95" s="154">
        <v>325150</v>
      </c>
      <c r="B95" s="69" t="str">
        <f>VLOOKUP(A95,CHP!$A$13:D$211,2,0)</f>
        <v>Recicladora a frio RS-460</v>
      </c>
      <c r="C95" s="80">
        <f t="shared" si="0"/>
        <v>521.5</v>
      </c>
      <c r="D95" s="80">
        <f t="shared" si="3"/>
        <v>31.5</v>
      </c>
      <c r="E95" s="397">
        <f>IFERROR(VLOOKUP($A95,'hora.Equip.obra'!$A$2:$C$68,3,0),0)</f>
        <v>0</v>
      </c>
      <c r="F95" s="80">
        <f t="shared" si="26"/>
        <v>0</v>
      </c>
      <c r="G95" s="81">
        <f t="shared" si="27"/>
        <v>2</v>
      </c>
      <c r="H95" s="82">
        <f>VLOOKUP(A95,'Transporte - FU'!$A$3:$C$168,3,0)</f>
        <v>1</v>
      </c>
      <c r="I95" s="81" t="str">
        <f>VLOOKUP(A95,'Transporte - FU'!$A$3:$C$166,2,0)</f>
        <v>EQ001</v>
      </c>
      <c r="J95" s="83">
        <f>VLOOKUP(I95,CHP!$A$13:$D$215,3,0)</f>
        <v>430.57</v>
      </c>
      <c r="K95" s="81" t="s">
        <v>237</v>
      </c>
      <c r="L95" s="138">
        <f>IF(E95&lt;&gt;0,VLOOKUP(A95,Pedagios!$A$11:$AM$206,6,0),0)</f>
        <v>0</v>
      </c>
      <c r="M95" s="84">
        <f t="shared" si="28"/>
        <v>0</v>
      </c>
    </row>
    <row r="96" spans="1:13" s="75" customFormat="1" ht="14.25" x14ac:dyDescent="0.2">
      <c r="A96" s="154">
        <v>325200</v>
      </c>
      <c r="B96" s="69" t="str">
        <f>VLOOKUP(A96,CHP!$A$13:D$211,2,0)</f>
        <v>Recicladora a frio RM-400</v>
      </c>
      <c r="C96" s="80">
        <f t="shared" si="0"/>
        <v>521.5</v>
      </c>
      <c r="D96" s="80">
        <f t="shared" si="3"/>
        <v>31.5</v>
      </c>
      <c r="E96" s="397">
        <f>IFERROR(VLOOKUP($A96,'hora.Equip.obra'!$A$2:$C$68,3,0),0)</f>
        <v>0</v>
      </c>
      <c r="F96" s="80">
        <f t="shared" si="26"/>
        <v>0</v>
      </c>
      <c r="G96" s="81">
        <f t="shared" si="27"/>
        <v>2</v>
      </c>
      <c r="H96" s="82">
        <f>VLOOKUP(A96,'Transporte - FU'!$A$3:$C$168,3,0)</f>
        <v>1</v>
      </c>
      <c r="I96" s="81" t="str">
        <f>VLOOKUP(A96,'Transporte - FU'!$A$3:$C$166,2,0)</f>
        <v>EQ001</v>
      </c>
      <c r="J96" s="83">
        <f>VLOOKUP(I96,CHP!$A$13:$D$215,3,0)</f>
        <v>430.57</v>
      </c>
      <c r="K96" s="81" t="s">
        <v>237</v>
      </c>
      <c r="L96" s="138">
        <f>IF(E96&lt;&gt;0,VLOOKUP(A96,Pedagios!$A$11:$AM$206,6,0),0)</f>
        <v>0</v>
      </c>
      <c r="M96" s="84">
        <f t="shared" si="28"/>
        <v>0</v>
      </c>
    </row>
    <row r="97" spans="1:13" s="75" customFormat="1" ht="14.25" x14ac:dyDescent="0.2">
      <c r="A97" s="154">
        <v>325250</v>
      </c>
      <c r="B97" s="69" t="str">
        <f>VLOOKUP(A97,CHP!$A$13:D$211,2,0)</f>
        <v>Recicladora a frio RM-500</v>
      </c>
      <c r="C97" s="80">
        <f t="shared" si="0"/>
        <v>521.5</v>
      </c>
      <c r="D97" s="80">
        <f t="shared" si="3"/>
        <v>31.5</v>
      </c>
      <c r="E97" s="397">
        <f>IFERROR(VLOOKUP($A97,'hora.Equip.obra'!$A$2:$C$68,3,0),0)</f>
        <v>0</v>
      </c>
      <c r="F97" s="80">
        <f t="shared" si="26"/>
        <v>0</v>
      </c>
      <c r="G97" s="81">
        <f t="shared" si="27"/>
        <v>2</v>
      </c>
      <c r="H97" s="82">
        <f>VLOOKUP(A97,'Transporte - FU'!$A$3:$C$168,3,0)</f>
        <v>1</v>
      </c>
      <c r="I97" s="81" t="str">
        <f>VLOOKUP(A97,'Transporte - FU'!$A$3:$C$166,2,0)</f>
        <v>EQ001</v>
      </c>
      <c r="J97" s="83">
        <f>VLOOKUP(I97,CHP!$A$13:$D$215,3,0)</f>
        <v>430.57</v>
      </c>
      <c r="K97" s="81" t="s">
        <v>237</v>
      </c>
      <c r="L97" s="138">
        <f>IF(E97&lt;&gt;0,VLOOKUP(A97,Pedagios!$A$11:$AM$206,6,0),0)</f>
        <v>0</v>
      </c>
      <c r="M97" s="84">
        <f t="shared" si="28"/>
        <v>0</v>
      </c>
    </row>
    <row r="98" spans="1:13" s="75" customFormat="1" ht="14.25" x14ac:dyDescent="0.2">
      <c r="A98" s="154">
        <v>312520</v>
      </c>
      <c r="B98" s="69" t="str">
        <f>VLOOKUP(A98,CHP!$A$13:D$211,2,0)</f>
        <v>Retroescavadeira 580N leve</v>
      </c>
      <c r="C98" s="80">
        <f t="shared" si="0"/>
        <v>521.5</v>
      </c>
      <c r="D98" s="80">
        <f t="shared" si="3"/>
        <v>31.5</v>
      </c>
      <c r="E98" s="397">
        <f>IFERROR(VLOOKUP($A98,'hora.Equip.obra'!$A$2:$C$68,3,0),0)</f>
        <v>203.33080000000001</v>
      </c>
      <c r="F98" s="80">
        <f t="shared" si="26"/>
        <v>1</v>
      </c>
      <c r="G98" s="81">
        <f t="shared" si="27"/>
        <v>2</v>
      </c>
      <c r="H98" s="82">
        <f>VLOOKUP(A98,'Transporte - FU'!$A$3:$C$168,3,0)</f>
        <v>0.5</v>
      </c>
      <c r="I98" s="81" t="str">
        <f>VLOOKUP(A98,'Transporte - FU'!$A$3:$C$166,2,0)</f>
        <v>EQ001</v>
      </c>
      <c r="J98" s="83">
        <f>VLOOKUP(I98,CHP!$A$13:$D$215,3,0)</f>
        <v>430.57</v>
      </c>
      <c r="K98" s="81" t="s">
        <v>237</v>
      </c>
      <c r="L98" s="138">
        <f>IF(E98&lt;&gt;0,VLOOKUP(A98,Pedagios!$A$11:$AM$206,6,0),0)</f>
        <v>136.4</v>
      </c>
      <c r="M98" s="84">
        <f t="shared" si="28"/>
        <v>4217.8447916666664</v>
      </c>
    </row>
    <row r="99" spans="1:13" s="75" customFormat="1" ht="14.25" x14ac:dyDescent="0.2">
      <c r="A99" s="154">
        <v>322520</v>
      </c>
      <c r="B99" s="69" t="str">
        <f>VLOOKUP(A99,CHP!$A$13:D$211,2,0)</f>
        <v>Retroescavadeira 580N média</v>
      </c>
      <c r="C99" s="80">
        <f t="shared" si="0"/>
        <v>521.5</v>
      </c>
      <c r="D99" s="80">
        <f t="shared" si="3"/>
        <v>31.5</v>
      </c>
      <c r="E99" s="397">
        <f>IFERROR(VLOOKUP($A99,'hora.Equip.obra'!$A$2:$C$68,3,0),0)</f>
        <v>27.599900000000002</v>
      </c>
      <c r="F99" s="80">
        <f t="shared" si="26"/>
        <v>1</v>
      </c>
      <c r="G99" s="81">
        <f t="shared" si="27"/>
        <v>2</v>
      </c>
      <c r="H99" s="82">
        <f>VLOOKUP(A99,'Transporte - FU'!$A$3:$C$168,3,0)</f>
        <v>0.5</v>
      </c>
      <c r="I99" s="81" t="str">
        <f>VLOOKUP(A99,'Transporte - FU'!$A$3:$C$166,2,0)</f>
        <v>EQ001</v>
      </c>
      <c r="J99" s="83">
        <f>VLOOKUP(I99,CHP!$A$13:$D$215,3,0)</f>
        <v>430.57</v>
      </c>
      <c r="K99" s="81" t="s">
        <v>237</v>
      </c>
      <c r="L99" s="138">
        <f>IF(E99&lt;&gt;0,VLOOKUP(A99,Pedagios!$A$11:$AM$206,6,0),0)</f>
        <v>136.4</v>
      </c>
      <c r="M99" s="84">
        <f t="shared" si="28"/>
        <v>4217.8447916666664</v>
      </c>
    </row>
    <row r="100" spans="1:13" s="75" customFormat="1" ht="14.25" x14ac:dyDescent="0.2">
      <c r="A100" s="154">
        <v>332520</v>
      </c>
      <c r="B100" s="69" t="str">
        <f>VLOOKUP(A100,CHP!$A$13:D$211,2,0)</f>
        <v>Retroescavadeira 580N severa</v>
      </c>
      <c r="C100" s="80">
        <f t="shared" si="0"/>
        <v>521.5</v>
      </c>
      <c r="D100" s="80">
        <f t="shared" si="3"/>
        <v>31.5</v>
      </c>
      <c r="E100" s="397">
        <f>IFERROR(VLOOKUP($A100,'hora.Equip.obra'!$A$2:$C$68,3,0),0)</f>
        <v>0</v>
      </c>
      <c r="F100" s="80">
        <f t="shared" si="26"/>
        <v>0</v>
      </c>
      <c r="G100" s="81">
        <f t="shared" si="27"/>
        <v>2</v>
      </c>
      <c r="H100" s="82">
        <f>VLOOKUP(A100,'Transporte - FU'!$A$3:$C$168,3,0)</f>
        <v>0.5</v>
      </c>
      <c r="I100" s="81" t="str">
        <f>VLOOKUP(A100,'Transporte - FU'!$A$3:$C$166,2,0)</f>
        <v>EQ001</v>
      </c>
      <c r="J100" s="83">
        <f>VLOOKUP(I100,CHP!$A$13:$D$215,3,0)</f>
        <v>430.57</v>
      </c>
      <c r="K100" s="81" t="s">
        <v>237</v>
      </c>
      <c r="L100" s="138">
        <f>IF(E100&lt;&gt;0,VLOOKUP(A100,Pedagios!$A$11:$AM$206,6,0),0)</f>
        <v>0</v>
      </c>
      <c r="M100" s="84">
        <f t="shared" si="28"/>
        <v>0</v>
      </c>
    </row>
    <row r="101" spans="1:13" s="75" customFormat="1" ht="14.25" x14ac:dyDescent="0.2">
      <c r="A101" s="154">
        <v>340140</v>
      </c>
      <c r="B101" s="69" t="str">
        <f>VLOOKUP(A101,CHP!$A$13:D$211,2,0)</f>
        <v>Rolo liso autopropelido VAP-55 P</v>
      </c>
      <c r="C101" s="80">
        <f t="shared" si="0"/>
        <v>521.5</v>
      </c>
      <c r="D101" s="80">
        <f t="shared" si="3"/>
        <v>31.5</v>
      </c>
      <c r="E101" s="397">
        <f>IFERROR(VLOOKUP($A101,'hora.Equip.obra'!$A$2:$C$68,3,0),0)</f>
        <v>0</v>
      </c>
      <c r="F101" s="80">
        <f t="shared" si="26"/>
        <v>0</v>
      </c>
      <c r="G101" s="81">
        <f t="shared" si="27"/>
        <v>2</v>
      </c>
      <c r="H101" s="82">
        <f>VLOOKUP(A101,'Transporte - FU'!$A$3:$C$168,3,0)</f>
        <v>1</v>
      </c>
      <c r="I101" s="81" t="str">
        <f>VLOOKUP(A101,'Transporte - FU'!$A$3:$C$166,2,0)</f>
        <v>EQ001</v>
      </c>
      <c r="J101" s="83">
        <f>VLOOKUP(I101,CHP!$A$13:$D$215,3,0)</f>
        <v>430.57</v>
      </c>
      <c r="K101" s="81" t="s">
        <v>237</v>
      </c>
      <c r="L101" s="138">
        <f>IF(E101&lt;&gt;0,VLOOKUP(A101,Pedagios!$A$11:$AM$206,6,0),0)</f>
        <v>0</v>
      </c>
      <c r="M101" s="84">
        <f t="shared" si="28"/>
        <v>0</v>
      </c>
    </row>
    <row r="102" spans="1:13" s="75" customFormat="1" ht="14.25" x14ac:dyDescent="0.2">
      <c r="A102" s="154">
        <v>340150</v>
      </c>
      <c r="B102" s="69" t="str">
        <f>VLOOKUP(A102,CHP!$A$13:D$211,2,0)</f>
        <v>Rolo pé de carneiro autopropelido VAP-70 PT</v>
      </c>
      <c r="C102" s="80">
        <f t="shared" si="0"/>
        <v>521.5</v>
      </c>
      <c r="D102" s="80">
        <f t="shared" si="3"/>
        <v>31.5</v>
      </c>
      <c r="E102" s="397">
        <f>IFERROR(VLOOKUP($A102,'hora.Equip.obra'!$A$2:$C$68,3,0),0)</f>
        <v>0</v>
      </c>
      <c r="F102" s="80">
        <f t="shared" si="26"/>
        <v>0</v>
      </c>
      <c r="G102" s="81">
        <f t="shared" si="27"/>
        <v>2</v>
      </c>
      <c r="H102" s="82">
        <f>VLOOKUP(A102,'Transporte - FU'!$A$3:$C$168,3,0)</f>
        <v>0.5</v>
      </c>
      <c r="I102" s="81" t="str">
        <f>VLOOKUP(A102,'Transporte - FU'!$A$3:$C$166,2,0)</f>
        <v>EQ001</v>
      </c>
      <c r="J102" s="83">
        <f>VLOOKUP(I102,CHP!$A$13:$D$215,3,0)</f>
        <v>430.57</v>
      </c>
      <c r="K102" s="81" t="s">
        <v>237</v>
      </c>
      <c r="L102" s="138">
        <f>IF(E102&lt;&gt;0,VLOOKUP(A102,Pedagios!$A$11:$AM$206,6,0),0)</f>
        <v>0</v>
      </c>
      <c r="M102" s="84">
        <f t="shared" si="28"/>
        <v>0</v>
      </c>
    </row>
    <row r="103" spans="1:13" s="75" customFormat="1" ht="14.25" x14ac:dyDescent="0.2">
      <c r="A103" s="154">
        <v>345500</v>
      </c>
      <c r="B103" s="69" t="str">
        <f>VLOOKUP(A103,CHP!$A$13:D$211,2,0)</f>
        <v>Rolo pneus autopropelido 21 t</v>
      </c>
      <c r="C103" s="80">
        <f t="shared" si="0"/>
        <v>521.5</v>
      </c>
      <c r="D103" s="80">
        <f t="shared" si="3"/>
        <v>31.5</v>
      </c>
      <c r="E103" s="397">
        <f>IFERROR(VLOOKUP($A103,'hora.Equip.obra'!$A$2:$C$68,3,0),0)</f>
        <v>0</v>
      </c>
      <c r="F103" s="80">
        <f t="shared" si="26"/>
        <v>0</v>
      </c>
      <c r="G103" s="81">
        <f t="shared" si="27"/>
        <v>2</v>
      </c>
      <c r="H103" s="82">
        <f>VLOOKUP(A103,'Transporte - FU'!$A$3:$C$168,3,0)</f>
        <v>1</v>
      </c>
      <c r="I103" s="81" t="str">
        <f>VLOOKUP(A103,'Transporte - FU'!$A$3:$C$166,2,0)</f>
        <v>EQ001</v>
      </c>
      <c r="J103" s="83">
        <f>VLOOKUP(I103,CHP!$A$13:$D$215,3,0)</f>
        <v>430.57</v>
      </c>
      <c r="K103" s="81" t="s">
        <v>237</v>
      </c>
      <c r="L103" s="138">
        <f>IF(E103&lt;&gt;0,VLOOKUP(A103,Pedagios!$A$11:$AM$206,6,0),0)</f>
        <v>0</v>
      </c>
      <c r="M103" s="84">
        <f t="shared" si="28"/>
        <v>0</v>
      </c>
    </row>
    <row r="104" spans="1:13" s="75" customFormat="1" ht="14.25" x14ac:dyDescent="0.2">
      <c r="A104" s="154">
        <v>340210</v>
      </c>
      <c r="B104" s="69" t="str">
        <f>VLOOKUP(A104,CHP!$A$13:D$211,2,0)</f>
        <v>Rolo pneus autopropelido 22 t</v>
      </c>
      <c r="C104" s="80">
        <f t="shared" si="0"/>
        <v>521.5</v>
      </c>
      <c r="D104" s="80">
        <f t="shared" si="3"/>
        <v>31.5</v>
      </c>
      <c r="E104" s="397">
        <f>IFERROR(VLOOKUP($A104,'hora.Equip.obra'!$A$2:$C$68,3,0),0)</f>
        <v>0</v>
      </c>
      <c r="F104" s="80">
        <f t="shared" si="26"/>
        <v>0</v>
      </c>
      <c r="G104" s="81">
        <f t="shared" si="27"/>
        <v>2</v>
      </c>
      <c r="H104" s="82">
        <f>VLOOKUP(A104,'Transporte - FU'!$A$3:$C$168,3,0)</f>
        <v>1</v>
      </c>
      <c r="I104" s="81" t="str">
        <f>VLOOKUP(A104,'Transporte - FU'!$A$3:$C$166,2,0)</f>
        <v>EQ001</v>
      </c>
      <c r="J104" s="83">
        <f>VLOOKUP(I104,CHP!$A$13:$D$215,3,0)</f>
        <v>430.57</v>
      </c>
      <c r="K104" s="81" t="s">
        <v>237</v>
      </c>
      <c r="L104" s="138">
        <f>IF(E104&lt;&gt;0,VLOOKUP(A104,Pedagios!$A$11:$AM$206,6,0),0)</f>
        <v>0</v>
      </c>
      <c r="M104" s="84">
        <f t="shared" si="28"/>
        <v>0</v>
      </c>
    </row>
    <row r="105" spans="1:13" s="75" customFormat="1" ht="14.25" x14ac:dyDescent="0.2">
      <c r="A105" s="154">
        <v>340270</v>
      </c>
      <c r="B105" s="69" t="str">
        <f>VLOOKUP(A105,CHP!$A$13:D$211,2,0)</f>
        <v>Rolo pneus autopropelido 27 t</v>
      </c>
      <c r="C105" s="80">
        <f t="shared" si="0"/>
        <v>521.5</v>
      </c>
      <c r="D105" s="80">
        <f t="shared" si="3"/>
        <v>31.5</v>
      </c>
      <c r="E105" s="397">
        <f>IFERROR(VLOOKUP($A105,'hora.Equip.obra'!$A$2:$C$68,3,0),0)</f>
        <v>232.48050000000001</v>
      </c>
      <c r="F105" s="80">
        <f t="shared" si="26"/>
        <v>1</v>
      </c>
      <c r="G105" s="81">
        <f t="shared" si="27"/>
        <v>2</v>
      </c>
      <c r="H105" s="82">
        <f>VLOOKUP(A105,'Transporte - FU'!$A$3:$C$168,3,0)</f>
        <v>1</v>
      </c>
      <c r="I105" s="81" t="str">
        <f>VLOOKUP(A105,'Transporte - FU'!$A$3:$C$166,2,0)</f>
        <v>EQ001</v>
      </c>
      <c r="J105" s="83">
        <f>VLOOKUP(I105,CHP!$A$13:$D$215,3,0)</f>
        <v>430.57</v>
      </c>
      <c r="K105" s="81" t="s">
        <v>237</v>
      </c>
      <c r="L105" s="138">
        <f>IF(E105&lt;&gt;0,VLOOKUP(A105,Pedagios!$A$11:$AM$206,6,0),0)</f>
        <v>136.4</v>
      </c>
      <c r="M105" s="84">
        <f t="shared" si="28"/>
        <v>8299.2895833333332</v>
      </c>
    </row>
    <row r="106" spans="1:13" s="75" customFormat="1" ht="14.25" x14ac:dyDescent="0.2">
      <c r="A106" s="154">
        <v>340110</v>
      </c>
      <c r="B106" s="69" t="str">
        <f>VLOOKUP(A106,CHP!$A$13:D$211,2,0)</f>
        <v>Rolo tandem CC-900</v>
      </c>
      <c r="C106" s="80">
        <f t="shared" si="0"/>
        <v>521.5</v>
      </c>
      <c r="D106" s="80">
        <f t="shared" si="3"/>
        <v>31.5</v>
      </c>
      <c r="E106" s="397">
        <f>IFERROR(VLOOKUP($A106,'hora.Equip.obra'!$A$2:$C$68,3,0),0)</f>
        <v>0</v>
      </c>
      <c r="F106" s="80">
        <f t="shared" si="26"/>
        <v>0</v>
      </c>
      <c r="G106" s="81">
        <f t="shared" si="27"/>
        <v>2</v>
      </c>
      <c r="H106" s="82">
        <f>VLOOKUP(A106,'Transporte - FU'!$A$3:$C$168,3,0)</f>
        <v>0.1</v>
      </c>
      <c r="I106" s="81" t="str">
        <f>VLOOKUP(A106,'Transporte - FU'!$A$3:$C$166,2,0)</f>
        <v>EQ001</v>
      </c>
      <c r="J106" s="83">
        <f>VLOOKUP(I106,CHP!$A$13:$D$215,3,0)</f>
        <v>430.57</v>
      </c>
      <c r="K106" s="81" t="s">
        <v>237</v>
      </c>
      <c r="L106" s="138">
        <f>IF(E106&lt;&gt;0,VLOOKUP(A106,Pedagios!$A$11:$AM$206,6,0),0)</f>
        <v>0</v>
      </c>
      <c r="M106" s="84">
        <f t="shared" si="28"/>
        <v>0</v>
      </c>
    </row>
    <row r="107" spans="1:13" s="75" customFormat="1" ht="14.25" x14ac:dyDescent="0.2">
      <c r="A107" s="154">
        <v>342220</v>
      </c>
      <c r="B107" s="69" t="str">
        <f>VLOOKUP(A107,CHP!$A$13:D$211,2,0)</f>
        <v>Rolo tandem liso autopropelido HD 090V</v>
      </c>
      <c r="C107" s="80">
        <f t="shared" si="0"/>
        <v>521.5</v>
      </c>
      <c r="D107" s="80">
        <f t="shared" si="3"/>
        <v>31.5</v>
      </c>
      <c r="E107" s="397">
        <f>IFERROR(VLOOKUP($A107,'hora.Equip.obra'!$A$2:$C$68,3,0),0)</f>
        <v>82.361599999999996</v>
      </c>
      <c r="F107" s="80">
        <f t="shared" si="26"/>
        <v>1</v>
      </c>
      <c r="G107" s="81">
        <f t="shared" si="27"/>
        <v>2</v>
      </c>
      <c r="H107" s="82">
        <f>VLOOKUP(A107,'Transporte - FU'!$A$3:$C$168,3,0)</f>
        <v>0.1</v>
      </c>
      <c r="I107" s="81" t="str">
        <f>VLOOKUP(A107,'Transporte - FU'!$A$3:$C$166,2,0)</f>
        <v>EQ001</v>
      </c>
      <c r="J107" s="83">
        <f>VLOOKUP(I107,CHP!$A$13:$D$215,3,0)</f>
        <v>430.57</v>
      </c>
      <c r="K107" s="81" t="s">
        <v>237</v>
      </c>
      <c r="L107" s="138">
        <f>IF(E107&lt;&gt;0,VLOOKUP(A107,Pedagios!$A$11:$AM$206,6,0),0)</f>
        <v>136.4</v>
      </c>
      <c r="M107" s="84">
        <f t="shared" si="28"/>
        <v>952.6889583333334</v>
      </c>
    </row>
    <row r="108" spans="1:13" s="75" customFormat="1" ht="14.25" x14ac:dyDescent="0.2">
      <c r="A108" s="154">
        <v>340100</v>
      </c>
      <c r="B108" s="69" t="str">
        <f>VLOOKUP(A108,CHP!$A$13:D$211,2,0)</f>
        <v>Rolo tandem liso autopropelido HD 14VV</v>
      </c>
      <c r="C108" s="80">
        <f t="shared" si="0"/>
        <v>521.5</v>
      </c>
      <c r="D108" s="80">
        <f t="shared" si="3"/>
        <v>31.5</v>
      </c>
      <c r="E108" s="397">
        <f>IFERROR(VLOOKUP($A108,'hora.Equip.obra'!$A$2:$C$68,3,0),0)</f>
        <v>0</v>
      </c>
      <c r="F108" s="80">
        <f t="shared" si="26"/>
        <v>0</v>
      </c>
      <c r="G108" s="81">
        <f t="shared" si="27"/>
        <v>2</v>
      </c>
      <c r="H108" s="82">
        <f>VLOOKUP(A108,'Transporte - FU'!$A$3:$C$168,3,0)</f>
        <v>0.1</v>
      </c>
      <c r="I108" s="81" t="str">
        <f>VLOOKUP(A108,'Transporte - FU'!$A$3:$C$166,2,0)</f>
        <v>EQ001</v>
      </c>
      <c r="J108" s="83">
        <f>VLOOKUP(I108,CHP!$A$13:$D$215,3,0)</f>
        <v>430.57</v>
      </c>
      <c r="K108" s="81" t="s">
        <v>237</v>
      </c>
      <c r="L108" s="138">
        <f>IF(E108&lt;&gt;0,VLOOKUP(A108,Pedagios!$A$11:$AM$206,6,0),0)</f>
        <v>0</v>
      </c>
      <c r="M108" s="84">
        <f t="shared" si="28"/>
        <v>0</v>
      </c>
    </row>
    <row r="109" spans="1:13" s="75" customFormat="1" ht="14.25" x14ac:dyDescent="0.2">
      <c r="A109" s="154">
        <v>340620</v>
      </c>
      <c r="B109" s="69" t="str">
        <f>VLOOKUP(A109,CHP!$A$13:D$211,2,0)</f>
        <v>Rolo tandem liso 6-8 t</v>
      </c>
      <c r="C109" s="80">
        <f t="shared" si="0"/>
        <v>521.5</v>
      </c>
      <c r="D109" s="80">
        <f t="shared" si="3"/>
        <v>31.5</v>
      </c>
      <c r="E109" s="397">
        <f>IFERROR(VLOOKUP($A109,'hora.Equip.obra'!$A$2:$C$68,3,0),0)</f>
        <v>0</v>
      </c>
      <c r="F109" s="80">
        <f t="shared" ref="F109:F114" si="29">ROUNDUP(E109/($M$9*$M$8),0)</f>
        <v>0</v>
      </c>
      <c r="G109" s="81">
        <f t="shared" ref="G109:G114" si="30">IF(A109=I109,1,2)</f>
        <v>2</v>
      </c>
      <c r="H109" s="82">
        <f>VLOOKUP(A109,'Transporte - FU'!$A$3:$C$168,3,0)</f>
        <v>0.5</v>
      </c>
      <c r="I109" s="81" t="str">
        <f>VLOOKUP(A109,'Transporte - FU'!$A$3:$C$166,2,0)</f>
        <v>EQ001</v>
      </c>
      <c r="J109" s="83">
        <f>VLOOKUP(I109,CHP!$A$13:$D$215,3,0)</f>
        <v>430.57</v>
      </c>
      <c r="K109" s="81" t="s">
        <v>237</v>
      </c>
      <c r="L109" s="138">
        <f>IF(E109&lt;&gt;0,VLOOKUP(A109,Pedagios!$A$11:$AM$206,6,0),0)</f>
        <v>0</v>
      </c>
      <c r="M109" s="84">
        <f t="shared" ref="M109:M114" si="31">IFERROR(((C109*G109*H109)/$M$6+(D109*G109*H109)/$M$7)*J109*F109,0)+(F109*L109)</f>
        <v>0</v>
      </c>
    </row>
    <row r="110" spans="1:13" s="75" customFormat="1" ht="14.25" x14ac:dyDescent="0.2">
      <c r="A110" s="154">
        <v>341840</v>
      </c>
      <c r="B110" s="69" t="str">
        <f>VLOOKUP(A110,CHP!$A$13:D$211,2,0)</f>
        <v>Rolo vibratório corrug. autopr. CP-54 B</v>
      </c>
      <c r="C110" s="80">
        <f t="shared" si="0"/>
        <v>521.5</v>
      </c>
      <c r="D110" s="80">
        <f t="shared" si="3"/>
        <v>31.5</v>
      </c>
      <c r="E110" s="397">
        <f>IFERROR(VLOOKUP($A110,'hora.Equip.obra'!$A$2:$C$68,3,0),0)</f>
        <v>195.83279999999999</v>
      </c>
      <c r="F110" s="80">
        <f t="shared" si="29"/>
        <v>1</v>
      </c>
      <c r="G110" s="81">
        <f t="shared" si="30"/>
        <v>2</v>
      </c>
      <c r="H110" s="82">
        <f>VLOOKUP(A110,'Transporte - FU'!$A$3:$C$168,3,0)</f>
        <v>0.5</v>
      </c>
      <c r="I110" s="81" t="str">
        <f>VLOOKUP(A110,'Transporte - FU'!$A$3:$C$166,2,0)</f>
        <v>EQ001</v>
      </c>
      <c r="J110" s="83">
        <f>VLOOKUP(I110,CHP!$A$13:$D$215,3,0)</f>
        <v>430.57</v>
      </c>
      <c r="K110" s="81" t="s">
        <v>237</v>
      </c>
      <c r="L110" s="138">
        <f>IF(E110&lt;&gt;0,VLOOKUP(A110,Pedagios!$A$11:$AM$206,6,0),0)</f>
        <v>136.4</v>
      </c>
      <c r="M110" s="84">
        <f t="shared" si="31"/>
        <v>4217.8447916666664</v>
      </c>
    </row>
    <row r="111" spans="1:13" s="75" customFormat="1" ht="14.25" x14ac:dyDescent="0.2">
      <c r="A111" s="154">
        <v>341150</v>
      </c>
      <c r="B111" s="69" t="str">
        <f>VLOOKUP(A111,CHP!$A$13:D$211,2,0)</f>
        <v>Rolo vibratório liso autoprop. CA 15 A</v>
      </c>
      <c r="C111" s="80">
        <f t="shared" si="0"/>
        <v>521.5</v>
      </c>
      <c r="D111" s="80">
        <f t="shared" si="3"/>
        <v>31.5</v>
      </c>
      <c r="E111" s="397">
        <f>IFERROR(VLOOKUP($A111,'hora.Equip.obra'!$A$2:$C$68,3,0),0)</f>
        <v>0</v>
      </c>
      <c r="F111" s="80">
        <f t="shared" si="29"/>
        <v>0</v>
      </c>
      <c r="G111" s="81">
        <f t="shared" si="30"/>
        <v>2</v>
      </c>
      <c r="H111" s="82">
        <f>VLOOKUP(A111,'Transporte - FU'!$A$3:$C$168,3,0)</f>
        <v>0.5</v>
      </c>
      <c r="I111" s="81" t="str">
        <f>VLOOKUP(A111,'Transporte - FU'!$A$3:$C$166,2,0)</f>
        <v>EQ001</v>
      </c>
      <c r="J111" s="83">
        <f>VLOOKUP(I111,CHP!$A$13:$D$215,3,0)</f>
        <v>430.57</v>
      </c>
      <c r="K111" s="81" t="s">
        <v>237</v>
      </c>
      <c r="L111" s="138">
        <f>IF(E111&lt;&gt;0,VLOOKUP(A111,Pedagios!$A$11:$AM$206,6,0),0)</f>
        <v>0</v>
      </c>
      <c r="M111" s="84">
        <f t="shared" si="31"/>
        <v>0</v>
      </c>
    </row>
    <row r="112" spans="1:13" s="75" customFormat="1" ht="14.25" x14ac:dyDescent="0.2">
      <c r="A112" s="154">
        <v>341680</v>
      </c>
      <c r="B112" s="69" t="str">
        <f>VLOOKUP(A112,CHP!$A$13:D$211,2,0)</f>
        <v>Rolo vibratório liso autoprop. CS-44 B</v>
      </c>
      <c r="C112" s="80">
        <f t="shared" si="0"/>
        <v>521.5</v>
      </c>
      <c r="D112" s="80">
        <f t="shared" si="3"/>
        <v>31.5</v>
      </c>
      <c r="E112" s="397">
        <f>IFERROR(VLOOKUP($A112,'hora.Equip.obra'!$A$2:$C$68,3,0),0)</f>
        <v>0</v>
      </c>
      <c r="F112" s="80">
        <f t="shared" si="29"/>
        <v>0</v>
      </c>
      <c r="G112" s="81">
        <f t="shared" si="30"/>
        <v>2</v>
      </c>
      <c r="H112" s="82">
        <f>VLOOKUP(A112,'Transporte - FU'!$A$3:$C$168,3,0)</f>
        <v>0.5</v>
      </c>
      <c r="I112" s="81" t="str">
        <f>VLOOKUP(A112,'Transporte - FU'!$A$3:$C$166,2,0)</f>
        <v>EQ001</v>
      </c>
      <c r="J112" s="83">
        <f>VLOOKUP(I112,CHP!$A$13:$D$215,3,0)</f>
        <v>430.57</v>
      </c>
      <c r="K112" s="81" t="s">
        <v>237</v>
      </c>
      <c r="L112" s="138">
        <f>IF(E112&lt;&gt;0,VLOOKUP(A112,Pedagios!$A$11:$AM$206,6,0),0)</f>
        <v>0</v>
      </c>
      <c r="M112" s="84">
        <f t="shared" si="31"/>
        <v>0</v>
      </c>
    </row>
    <row r="113" spans="1:13" s="75" customFormat="1" ht="14.25" x14ac:dyDescent="0.2">
      <c r="A113" s="154">
        <v>340840</v>
      </c>
      <c r="B113" s="69" t="str">
        <f>VLOOKUP(A113,CHP!$A$13:D$211,2,0)</f>
        <v>Rolo vibratório liso autoprop. CS-54 B</v>
      </c>
      <c r="C113" s="80">
        <f t="shared" si="0"/>
        <v>521.5</v>
      </c>
      <c r="D113" s="80">
        <f t="shared" si="3"/>
        <v>31.5</v>
      </c>
      <c r="E113" s="397">
        <f>IFERROR(VLOOKUP($A113,'hora.Equip.obra'!$A$2:$C$68,3,0),0)</f>
        <v>0</v>
      </c>
      <c r="F113" s="80">
        <f t="shared" si="29"/>
        <v>0</v>
      </c>
      <c r="G113" s="81">
        <f t="shared" si="30"/>
        <v>2</v>
      </c>
      <c r="H113" s="82">
        <f>VLOOKUP(A113,'Transporte - FU'!$A$3:$C$168,3,0)</f>
        <v>0.5</v>
      </c>
      <c r="I113" s="81" t="str">
        <f>VLOOKUP(A113,'Transporte - FU'!$A$3:$C$166,2,0)</f>
        <v>EQ001</v>
      </c>
      <c r="J113" s="83">
        <f>VLOOKUP(I113,CHP!$A$13:$D$215,3,0)</f>
        <v>430.57</v>
      </c>
      <c r="K113" s="81" t="s">
        <v>237</v>
      </c>
      <c r="L113" s="138">
        <f>IF(E113&lt;&gt;0,VLOOKUP(A113,Pedagios!$A$11:$AM$206,6,0),0)</f>
        <v>0</v>
      </c>
      <c r="M113" s="84">
        <f t="shared" si="31"/>
        <v>0</v>
      </c>
    </row>
    <row r="114" spans="1:13" s="75" customFormat="1" ht="14.25" x14ac:dyDescent="0.2">
      <c r="A114" s="154">
        <v>340250</v>
      </c>
      <c r="B114" s="69" t="str">
        <f>VLOOKUP(A114,CHP!$A$13:D$211,2,0)</f>
        <v>Rolo vibratório liso autoprop. CB 10</v>
      </c>
      <c r="C114" s="80">
        <f t="shared" si="0"/>
        <v>521.5</v>
      </c>
      <c r="D114" s="80">
        <f t="shared" si="3"/>
        <v>31.5</v>
      </c>
      <c r="E114" s="397">
        <f>IFERROR(VLOOKUP($A114,'hora.Equip.obra'!$A$2:$C$68,3,0),0)</f>
        <v>109.03</v>
      </c>
      <c r="F114" s="80">
        <f t="shared" si="29"/>
        <v>1</v>
      </c>
      <c r="G114" s="81">
        <f t="shared" si="30"/>
        <v>2</v>
      </c>
      <c r="H114" s="82">
        <f>VLOOKUP(A114,'Transporte - FU'!$A$3:$C$168,3,0)</f>
        <v>0.5</v>
      </c>
      <c r="I114" s="81" t="str">
        <f>VLOOKUP(A114,'Transporte - FU'!$A$3:$C$166,2,0)</f>
        <v>EQ001</v>
      </c>
      <c r="J114" s="83">
        <f>VLOOKUP(I114,CHP!$A$13:$D$215,3,0)</f>
        <v>430.57</v>
      </c>
      <c r="K114" s="81" t="s">
        <v>237</v>
      </c>
      <c r="L114" s="138">
        <f>IF(E114&lt;&gt;0,VLOOKUP(A114,Pedagios!$A$11:$AM$206,6,0),0)</f>
        <v>136.4</v>
      </c>
      <c r="M114" s="84">
        <f t="shared" si="31"/>
        <v>4217.8447916666664</v>
      </c>
    </row>
    <row r="115" spans="1:13" s="75" customFormat="1" ht="14.25" x14ac:dyDescent="0.2">
      <c r="A115" s="154">
        <v>300060</v>
      </c>
      <c r="B115" s="69" t="str">
        <f>VLOOKUP(A115,CHP!$A$13:D$211,2,0)</f>
        <v>Tanque água sem bomba 6000 l</v>
      </c>
      <c r="C115" s="80">
        <f t="shared" si="0"/>
        <v>521.5</v>
      </c>
      <c r="D115" s="80">
        <f t="shared" si="3"/>
        <v>31.5</v>
      </c>
      <c r="E115" s="397">
        <f>IFERROR(VLOOKUP($A115,'hora.Equip.obra'!$A$2:$C$68,3,0),0)</f>
        <v>0</v>
      </c>
      <c r="F115" s="80">
        <f t="shared" ref="F115:F149" si="32">ROUNDUP(E115/($M$9*$M$8),0)</f>
        <v>0</v>
      </c>
      <c r="G115" s="81">
        <f t="shared" ref="G115:G149" si="33">IF(A115=I115,1,2)</f>
        <v>2</v>
      </c>
      <c r="H115" s="82">
        <f>VLOOKUP(A115,'Transporte - FU'!$A$3:$C$168,3,0)</f>
        <v>1</v>
      </c>
      <c r="I115" s="81" t="str">
        <f>VLOOKUP(A115,'Transporte - FU'!$A$3:$C$166,2,0)</f>
        <v>EQ001</v>
      </c>
      <c r="J115" s="83">
        <f>VLOOKUP(I115,CHP!$A$13:$D$215,3,0)</f>
        <v>430.57</v>
      </c>
      <c r="K115" s="81" t="s">
        <v>237</v>
      </c>
      <c r="L115" s="138">
        <f>IF(E115&lt;&gt;0,VLOOKUP(A115,Pedagios!$A$11:$AM$206,6,0),0)</f>
        <v>0</v>
      </c>
      <c r="M115" s="84">
        <f t="shared" ref="M115:M149" si="34">IFERROR(((C115*G115*H115)/$M$6+(D115*G115*H115)/$M$7)*J115*F115,0)+(F115*L115)</f>
        <v>0</v>
      </c>
    </row>
    <row r="116" spans="1:13" s="75" customFormat="1" ht="14.25" x14ac:dyDescent="0.2">
      <c r="A116" s="154">
        <v>300220</v>
      </c>
      <c r="B116" s="69" t="str">
        <f>VLOOKUP(A116,CHP!$A$13:D$211,2,0)</f>
        <v>Tanque depósito asfalto borracha 20 t</v>
      </c>
      <c r="C116" s="80">
        <f t="shared" si="0"/>
        <v>521.5</v>
      </c>
      <c r="D116" s="80">
        <f t="shared" si="3"/>
        <v>31.5</v>
      </c>
      <c r="E116" s="397">
        <f>IFERROR(VLOOKUP($A116,'hora.Equip.obra'!$A$2:$C$68,3,0),0)</f>
        <v>0</v>
      </c>
      <c r="F116" s="80">
        <f t="shared" si="32"/>
        <v>0</v>
      </c>
      <c r="G116" s="81">
        <f t="shared" si="33"/>
        <v>2</v>
      </c>
      <c r="H116" s="82">
        <f>VLOOKUP(A116,'Transporte - FU'!$A$3:$C$168,3,0)</f>
        <v>1</v>
      </c>
      <c r="I116" s="81" t="str">
        <f>VLOOKUP(A116,'Transporte - FU'!$A$3:$C$166,2,0)</f>
        <v>EQ001</v>
      </c>
      <c r="J116" s="83">
        <f>VLOOKUP(I116,CHP!$A$13:$D$215,3,0)</f>
        <v>430.57</v>
      </c>
      <c r="K116" s="81" t="s">
        <v>237</v>
      </c>
      <c r="L116" s="138">
        <f>IF(E116&lt;&gt;0,VLOOKUP(A116,Pedagios!$A$11:$AM$206,6,0),0)</f>
        <v>0</v>
      </c>
      <c r="M116" s="84">
        <f t="shared" si="34"/>
        <v>0</v>
      </c>
    </row>
    <row r="117" spans="1:13" s="75" customFormat="1" ht="14.25" x14ac:dyDescent="0.2">
      <c r="A117" s="154">
        <v>300100</v>
      </c>
      <c r="B117" s="69" t="str">
        <f>VLOOKUP(A117,CHP!$A$13:D$211,2,0)</f>
        <v>Tanque depósito asfalto frio 10000 l</v>
      </c>
      <c r="C117" s="80">
        <f t="shared" si="0"/>
        <v>521.5</v>
      </c>
      <c r="D117" s="80">
        <f t="shared" si="3"/>
        <v>31.5</v>
      </c>
      <c r="E117" s="397">
        <f>IFERROR(VLOOKUP($A117,'hora.Equip.obra'!$A$2:$C$68,3,0),0)</f>
        <v>0</v>
      </c>
      <c r="F117" s="80">
        <f t="shared" si="32"/>
        <v>0</v>
      </c>
      <c r="G117" s="81">
        <f t="shared" si="33"/>
        <v>2</v>
      </c>
      <c r="H117" s="82">
        <f>VLOOKUP(A117,'Transporte - FU'!$A$3:$C$168,3,0)</f>
        <v>1</v>
      </c>
      <c r="I117" s="81" t="str">
        <f>VLOOKUP(A117,'Transporte - FU'!$A$3:$C$166,2,0)</f>
        <v>EQ001</v>
      </c>
      <c r="J117" s="83">
        <f>VLOOKUP(I117,CHP!$A$13:$D$215,3,0)</f>
        <v>430.57</v>
      </c>
      <c r="K117" s="81" t="s">
        <v>237</v>
      </c>
      <c r="L117" s="138">
        <f>IF(E117&lt;&gt;0,VLOOKUP(A117,Pedagios!$A$11:$AM$206,6,0),0)</f>
        <v>0</v>
      </c>
      <c r="M117" s="84">
        <f t="shared" si="34"/>
        <v>0</v>
      </c>
    </row>
    <row r="118" spans="1:13" s="75" customFormat="1" ht="14.25" x14ac:dyDescent="0.2">
      <c r="A118" s="154">
        <v>300200</v>
      </c>
      <c r="B118" s="69" t="str">
        <f>VLOOKUP(A118,CHP!$A$13:D$211,2,0)</f>
        <v>Tanque depósito asfalto frio 20000 l</v>
      </c>
      <c r="C118" s="80">
        <f t="shared" si="0"/>
        <v>521.5</v>
      </c>
      <c r="D118" s="80">
        <f t="shared" si="3"/>
        <v>31.5</v>
      </c>
      <c r="E118" s="397">
        <f>IFERROR(VLOOKUP($A118,'hora.Equip.obra'!$A$2:$C$68,3,0),0)</f>
        <v>76.475999999999999</v>
      </c>
      <c r="F118" s="80">
        <f t="shared" si="32"/>
        <v>1</v>
      </c>
      <c r="G118" s="81">
        <f t="shared" si="33"/>
        <v>2</v>
      </c>
      <c r="H118" s="82">
        <f>VLOOKUP(A118,'Transporte - FU'!$A$3:$C$168,3,0)</f>
        <v>1</v>
      </c>
      <c r="I118" s="81" t="str">
        <f>VLOOKUP(A118,'Transporte - FU'!$A$3:$C$166,2,0)</f>
        <v>EQ001</v>
      </c>
      <c r="J118" s="83">
        <f>VLOOKUP(I118,CHP!$A$13:$D$215,3,0)</f>
        <v>430.57</v>
      </c>
      <c r="K118" s="81" t="s">
        <v>237</v>
      </c>
      <c r="L118" s="138">
        <f>IF(E118&lt;&gt;0,VLOOKUP(A118,Pedagios!$A$11:$AM$206,6,0),0)</f>
        <v>136.4</v>
      </c>
      <c r="M118" s="84">
        <f t="shared" si="34"/>
        <v>8299.2895833333332</v>
      </c>
    </row>
    <row r="119" spans="1:13" s="75" customFormat="1" ht="14.25" x14ac:dyDescent="0.2">
      <c r="A119" s="154">
        <v>300210</v>
      </c>
      <c r="B119" s="69" t="str">
        <f>VLOOKUP(A119,CHP!$A$13:D$211,2,0)</f>
        <v>Tanque depósito asfalto isotérmico 25 t</v>
      </c>
      <c r="C119" s="80">
        <f t="shared" si="0"/>
        <v>521.5</v>
      </c>
      <c r="D119" s="80">
        <f t="shared" si="3"/>
        <v>31.5</v>
      </c>
      <c r="E119" s="397">
        <f>IFERROR(VLOOKUP($A119,'hora.Equip.obra'!$A$2:$C$68,3,0),0)</f>
        <v>220.64789999999999</v>
      </c>
      <c r="F119" s="80">
        <f t="shared" si="32"/>
        <v>1</v>
      </c>
      <c r="G119" s="81">
        <f t="shared" si="33"/>
        <v>2</v>
      </c>
      <c r="H119" s="82">
        <f>VLOOKUP(A119,'Transporte - FU'!$A$3:$C$168,3,0)</f>
        <v>1</v>
      </c>
      <c r="I119" s="81" t="str">
        <f>VLOOKUP(A119,'Transporte - FU'!$A$3:$C$166,2,0)</f>
        <v>EQ001</v>
      </c>
      <c r="J119" s="83">
        <f>VLOOKUP(I119,CHP!$A$13:$D$215,3,0)</f>
        <v>430.57</v>
      </c>
      <c r="K119" s="81" t="s">
        <v>237</v>
      </c>
      <c r="L119" s="138">
        <f>IF(E119&lt;&gt;0,VLOOKUP(A119,Pedagios!$A$11:$AM$206,6,0),0)</f>
        <v>136.4</v>
      </c>
      <c r="M119" s="84">
        <f t="shared" si="34"/>
        <v>8299.2895833333332</v>
      </c>
    </row>
    <row r="120" spans="1:13" s="75" customFormat="1" ht="14.25" x14ac:dyDescent="0.2">
      <c r="A120" s="154">
        <v>341000</v>
      </c>
      <c r="B120" s="69" t="str">
        <f>VLOOKUP(A120,CHP!$A$13:D$211,2,0)</f>
        <v>Trator agrícola  5105 4x4</v>
      </c>
      <c r="C120" s="80">
        <f t="shared" si="0"/>
        <v>521.5</v>
      </c>
      <c r="D120" s="80">
        <f t="shared" si="3"/>
        <v>31.5</v>
      </c>
      <c r="E120" s="397">
        <f>IFERROR(VLOOKUP($A120,'hora.Equip.obra'!$A$2:$C$68,3,0),0)</f>
        <v>139.792</v>
      </c>
      <c r="F120" s="80">
        <f t="shared" si="32"/>
        <v>1</v>
      </c>
      <c r="G120" s="81">
        <f t="shared" si="33"/>
        <v>2</v>
      </c>
      <c r="H120" s="82">
        <f>VLOOKUP(A120,'Transporte - FU'!$A$3:$C$168,3,0)</f>
        <v>0.5</v>
      </c>
      <c r="I120" s="81" t="str">
        <f>VLOOKUP(A120,'Transporte - FU'!$A$3:$C$166,2,0)</f>
        <v>EQ001</v>
      </c>
      <c r="J120" s="83">
        <f>VLOOKUP(I120,CHP!$A$13:$D$215,3,0)</f>
        <v>430.57</v>
      </c>
      <c r="K120" s="81" t="s">
        <v>237</v>
      </c>
      <c r="L120" s="138">
        <f>IF(E120&lt;&gt;0,VLOOKUP(A120,Pedagios!$A$11:$AM$206,6,0),0)</f>
        <v>136.4</v>
      </c>
      <c r="M120" s="84">
        <f t="shared" si="34"/>
        <v>4217.8447916666664</v>
      </c>
    </row>
    <row r="121" spans="1:13" s="75" customFormat="1" ht="14.25" x14ac:dyDescent="0.2">
      <c r="A121" s="154">
        <v>341100</v>
      </c>
      <c r="B121" s="69" t="str">
        <f>VLOOKUP(A121,CHP!$A$13:D$211,2,0)</f>
        <v>Trator agrícola BH-174 4x4</v>
      </c>
      <c r="C121" s="80">
        <f t="shared" si="0"/>
        <v>521.5</v>
      </c>
      <c r="D121" s="80">
        <f t="shared" si="3"/>
        <v>31.5</v>
      </c>
      <c r="E121" s="397">
        <f>IFERROR(VLOOKUP($A121,'hora.Equip.obra'!$A$2:$C$68,3,0),0)</f>
        <v>201.6883</v>
      </c>
      <c r="F121" s="80">
        <f t="shared" si="32"/>
        <v>1</v>
      </c>
      <c r="G121" s="81">
        <f t="shared" si="33"/>
        <v>2</v>
      </c>
      <c r="H121" s="82">
        <f>VLOOKUP(A121,'Transporte - FU'!$A$3:$C$168,3,0)</f>
        <v>0.5</v>
      </c>
      <c r="I121" s="81" t="str">
        <f>VLOOKUP(A121,'Transporte - FU'!$A$3:$C$166,2,0)</f>
        <v>EQ001</v>
      </c>
      <c r="J121" s="83">
        <f>VLOOKUP(I121,CHP!$A$13:$D$215,3,0)</f>
        <v>430.57</v>
      </c>
      <c r="K121" s="81" t="s">
        <v>237</v>
      </c>
      <c r="L121" s="138">
        <f>IF(E121&lt;&gt;0,VLOOKUP(A121,Pedagios!$A$11:$AM$206,6,0),0)</f>
        <v>136.4</v>
      </c>
      <c r="M121" s="84">
        <f t="shared" si="34"/>
        <v>4217.8447916666664</v>
      </c>
    </row>
    <row r="122" spans="1:13" s="75" customFormat="1" ht="14.25" x14ac:dyDescent="0.2">
      <c r="A122" s="154">
        <v>341500</v>
      </c>
      <c r="B122" s="69" t="str">
        <f>VLOOKUP(A122,CHP!$A$13:D$211,2,0)</f>
        <v>Trator agrícola c/ roçadeira 150/540</v>
      </c>
      <c r="C122" s="80">
        <f t="shared" si="0"/>
        <v>521.5</v>
      </c>
      <c r="D122" s="80">
        <f t="shared" si="3"/>
        <v>31.5</v>
      </c>
      <c r="E122" s="397">
        <f>IFERROR(VLOOKUP($A122,'hora.Equip.obra'!$A$2:$C$68,3,0),0)</f>
        <v>0</v>
      </c>
      <c r="F122" s="80">
        <f t="shared" si="32"/>
        <v>0</v>
      </c>
      <c r="G122" s="81">
        <f t="shared" si="33"/>
        <v>2</v>
      </c>
      <c r="H122" s="82">
        <f>VLOOKUP(A122,'Transporte - FU'!$A$3:$C$168,3,0)</f>
        <v>0.5</v>
      </c>
      <c r="I122" s="81" t="str">
        <f>VLOOKUP(A122,'Transporte - FU'!$A$3:$C$166,2,0)</f>
        <v>EQ001</v>
      </c>
      <c r="J122" s="83">
        <f>VLOOKUP(I122,CHP!$A$13:$D$215,3,0)</f>
        <v>430.57</v>
      </c>
      <c r="K122" s="81" t="s">
        <v>237</v>
      </c>
      <c r="L122" s="138">
        <f>IF(E122&lt;&gt;0,VLOOKUP(A122,Pedagios!$A$11:$AM$206,6,0),0)</f>
        <v>0</v>
      </c>
      <c r="M122" s="84">
        <f t="shared" si="34"/>
        <v>0</v>
      </c>
    </row>
    <row r="123" spans="1:13" s="75" customFormat="1" ht="14.25" x14ac:dyDescent="0.2">
      <c r="A123" s="154">
        <v>310650</v>
      </c>
      <c r="B123" s="69" t="str">
        <f>VLOOKUP(A123,CHP!$A$13:D$211,2,0)</f>
        <v>Trator c/ escarificador D61-EX leve</v>
      </c>
      <c r="C123" s="80">
        <f t="shared" si="0"/>
        <v>521.5</v>
      </c>
      <c r="D123" s="80">
        <f t="shared" si="3"/>
        <v>31.5</v>
      </c>
      <c r="E123" s="397">
        <f>IFERROR(VLOOKUP($A123,'hora.Equip.obra'!$A$2:$C$68,3,0),0)</f>
        <v>0</v>
      </c>
      <c r="F123" s="80">
        <f t="shared" si="32"/>
        <v>0</v>
      </c>
      <c r="G123" s="81">
        <f t="shared" si="33"/>
        <v>2</v>
      </c>
      <c r="H123" s="82">
        <f>VLOOKUP(A123,'Transporte - FU'!$A$3:$C$168,3,0)</f>
        <v>1</v>
      </c>
      <c r="I123" s="81" t="str">
        <f>VLOOKUP(A123,'Transporte - FU'!$A$3:$C$166,2,0)</f>
        <v>EQ001</v>
      </c>
      <c r="J123" s="83">
        <f>VLOOKUP(I123,CHP!$A$13:$D$215,3,0)</f>
        <v>430.57</v>
      </c>
      <c r="K123" s="81" t="s">
        <v>237</v>
      </c>
      <c r="L123" s="138">
        <f>IF(E123&lt;&gt;0,VLOOKUP(A123,Pedagios!$A$11:$AM$206,6,0),0)</f>
        <v>0</v>
      </c>
      <c r="M123" s="84">
        <f t="shared" si="34"/>
        <v>0</v>
      </c>
    </row>
    <row r="124" spans="1:13" s="75" customFormat="1" ht="14.25" x14ac:dyDescent="0.2">
      <c r="A124" s="154">
        <v>320650</v>
      </c>
      <c r="B124" s="69" t="str">
        <f>VLOOKUP(A124,CHP!$A$13:D$211,2,0)</f>
        <v>Trator c/ escarificador D61-EX média</v>
      </c>
      <c r="C124" s="80">
        <f t="shared" si="0"/>
        <v>521.5</v>
      </c>
      <c r="D124" s="80">
        <f t="shared" si="3"/>
        <v>31.5</v>
      </c>
      <c r="E124" s="397">
        <f>IFERROR(VLOOKUP($A124,'hora.Equip.obra'!$A$2:$C$68,3,0),0)</f>
        <v>0</v>
      </c>
      <c r="F124" s="80">
        <f t="shared" si="32"/>
        <v>0</v>
      </c>
      <c r="G124" s="81">
        <f t="shared" si="33"/>
        <v>2</v>
      </c>
      <c r="H124" s="82">
        <f>VLOOKUP(A124,'Transporte - FU'!$A$3:$C$168,3,0)</f>
        <v>1</v>
      </c>
      <c r="I124" s="81" t="str">
        <f>VLOOKUP(A124,'Transporte - FU'!$A$3:$C$166,2,0)</f>
        <v>EQ001</v>
      </c>
      <c r="J124" s="83">
        <f>VLOOKUP(I124,CHP!$A$13:$D$215,3,0)</f>
        <v>430.57</v>
      </c>
      <c r="K124" s="81" t="s">
        <v>237</v>
      </c>
      <c r="L124" s="138">
        <f>IF(E124&lt;&gt;0,VLOOKUP(A124,Pedagios!$A$11:$AM$206,6,0),0)</f>
        <v>0</v>
      </c>
      <c r="M124" s="84">
        <f t="shared" si="34"/>
        <v>0</v>
      </c>
    </row>
    <row r="125" spans="1:13" s="75" customFormat="1" ht="14.25" x14ac:dyDescent="0.2">
      <c r="A125" s="154">
        <v>330650</v>
      </c>
      <c r="B125" s="69" t="str">
        <f>VLOOKUP(A125,CHP!$A$13:D$211,2,0)</f>
        <v>Trator c/ escarificador D61-EX severa</v>
      </c>
      <c r="C125" s="80">
        <f t="shared" si="0"/>
        <v>521.5</v>
      </c>
      <c r="D125" s="80">
        <f t="shared" si="3"/>
        <v>31.5</v>
      </c>
      <c r="E125" s="397">
        <f>IFERROR(VLOOKUP($A125,'hora.Equip.obra'!$A$2:$C$68,3,0),0)</f>
        <v>0</v>
      </c>
      <c r="F125" s="80">
        <f t="shared" si="32"/>
        <v>0</v>
      </c>
      <c r="G125" s="81">
        <f t="shared" si="33"/>
        <v>2</v>
      </c>
      <c r="H125" s="82">
        <f>VLOOKUP(A125,'Transporte - FU'!$A$3:$C$168,3,0)</f>
        <v>1</v>
      </c>
      <c r="I125" s="81" t="str">
        <f>VLOOKUP(A125,'Transporte - FU'!$A$3:$C$166,2,0)</f>
        <v>EQ001</v>
      </c>
      <c r="J125" s="83">
        <f>VLOOKUP(I125,CHP!$A$13:$D$215,3,0)</f>
        <v>430.57</v>
      </c>
      <c r="K125" s="81" t="s">
        <v>237</v>
      </c>
      <c r="L125" s="138">
        <f>IF(E125&lt;&gt;0,VLOOKUP(A125,Pedagios!$A$11:$AM$206,6,0),0)</f>
        <v>0</v>
      </c>
      <c r="M125" s="84">
        <f t="shared" si="34"/>
        <v>0</v>
      </c>
    </row>
    <row r="126" spans="1:13" s="75" customFormat="1" ht="14.25" x14ac:dyDescent="0.2">
      <c r="A126" s="154">
        <v>310080</v>
      </c>
      <c r="B126" s="69" t="str">
        <f>VLOOKUP(A126,CHP!$A$13:D$211,2,0)</f>
        <v>Trator c/ escarificador D8-T leve</v>
      </c>
      <c r="C126" s="80">
        <f t="shared" si="0"/>
        <v>521.5</v>
      </c>
      <c r="D126" s="80">
        <f t="shared" si="3"/>
        <v>31.5</v>
      </c>
      <c r="E126" s="397">
        <f>IFERROR(VLOOKUP($A126,'hora.Equip.obra'!$A$2:$C$68,3,0),0)</f>
        <v>0</v>
      </c>
      <c r="F126" s="80">
        <f t="shared" si="32"/>
        <v>0</v>
      </c>
      <c r="G126" s="81">
        <f t="shared" si="33"/>
        <v>2</v>
      </c>
      <c r="H126" s="82">
        <f>VLOOKUP(A126,'Transporte - FU'!$A$3:$C$168,3,0)</f>
        <v>1</v>
      </c>
      <c r="I126" s="81" t="str">
        <f>VLOOKUP(A126,'Transporte - FU'!$A$3:$C$166,2,0)</f>
        <v>EQ001</v>
      </c>
      <c r="J126" s="83">
        <f>VLOOKUP(I126,CHP!$A$13:$D$215,3,0)</f>
        <v>430.57</v>
      </c>
      <c r="K126" s="81" t="s">
        <v>237</v>
      </c>
      <c r="L126" s="138">
        <f>IF(E126&lt;&gt;0,VLOOKUP(A126,Pedagios!$A$11:$AM$206,6,0),0)</f>
        <v>0</v>
      </c>
      <c r="M126" s="84">
        <f t="shared" si="34"/>
        <v>0</v>
      </c>
    </row>
    <row r="127" spans="1:13" s="75" customFormat="1" ht="14.25" x14ac:dyDescent="0.2">
      <c r="A127" s="154">
        <v>320080</v>
      </c>
      <c r="B127" s="69" t="str">
        <f>VLOOKUP(A127,CHP!$A$13:D$211,2,0)</f>
        <v>Trator c/ escarificador D8-T média</v>
      </c>
      <c r="C127" s="80">
        <f t="shared" si="0"/>
        <v>521.5</v>
      </c>
      <c r="D127" s="80">
        <f t="shared" si="3"/>
        <v>31.5</v>
      </c>
      <c r="E127" s="397">
        <f>IFERROR(VLOOKUP($A127,'hora.Equip.obra'!$A$2:$C$68,3,0),0)</f>
        <v>0</v>
      </c>
      <c r="F127" s="80">
        <f t="shared" si="32"/>
        <v>0</v>
      </c>
      <c r="G127" s="81">
        <f t="shared" si="33"/>
        <v>2</v>
      </c>
      <c r="H127" s="82">
        <f>VLOOKUP(A127,'Transporte - FU'!$A$3:$C$168,3,0)</f>
        <v>1</v>
      </c>
      <c r="I127" s="81" t="str">
        <f>VLOOKUP(A127,'Transporte - FU'!$A$3:$C$166,2,0)</f>
        <v>EQ001</v>
      </c>
      <c r="J127" s="83">
        <f>VLOOKUP(I127,CHP!$A$13:$D$215,3,0)</f>
        <v>430.57</v>
      </c>
      <c r="K127" s="81" t="s">
        <v>237</v>
      </c>
      <c r="L127" s="138">
        <f>IF(E127&lt;&gt;0,VLOOKUP(A127,Pedagios!$A$11:$AM$206,6,0),0)</f>
        <v>0</v>
      </c>
      <c r="M127" s="84">
        <f t="shared" si="34"/>
        <v>0</v>
      </c>
    </row>
    <row r="128" spans="1:13" s="75" customFormat="1" ht="14.25" x14ac:dyDescent="0.2">
      <c r="A128" s="154">
        <v>330080</v>
      </c>
      <c r="B128" s="69" t="str">
        <f>VLOOKUP(A128,CHP!$A$13:D$211,2,0)</f>
        <v>Trator c/ escarificador D8-T severa</v>
      </c>
      <c r="C128" s="80">
        <f t="shared" si="0"/>
        <v>521.5</v>
      </c>
      <c r="D128" s="80">
        <f t="shared" si="3"/>
        <v>31.5</v>
      </c>
      <c r="E128" s="397">
        <f>IFERROR(VLOOKUP($A128,'hora.Equip.obra'!$A$2:$C$68,3,0),0)</f>
        <v>0</v>
      </c>
      <c r="F128" s="80">
        <f t="shared" si="32"/>
        <v>0</v>
      </c>
      <c r="G128" s="81">
        <f t="shared" si="33"/>
        <v>2</v>
      </c>
      <c r="H128" s="82">
        <f>VLOOKUP(A128,'Transporte - FU'!$A$3:$C$168,3,0)</f>
        <v>1</v>
      </c>
      <c r="I128" s="81" t="str">
        <f>VLOOKUP(A128,'Transporte - FU'!$A$3:$C$166,2,0)</f>
        <v>EQ001</v>
      </c>
      <c r="J128" s="83">
        <f>VLOOKUP(I128,CHP!$A$13:$D$215,3,0)</f>
        <v>430.57</v>
      </c>
      <c r="K128" s="81" t="s">
        <v>237</v>
      </c>
      <c r="L128" s="138">
        <f>IF(E128&lt;&gt;0,VLOOKUP(A128,Pedagios!$A$11:$AM$206,6,0),0)</f>
        <v>0</v>
      </c>
      <c r="M128" s="84">
        <f t="shared" si="34"/>
        <v>0</v>
      </c>
    </row>
    <row r="129" spans="1:13" s="75" customFormat="1" ht="14.25" x14ac:dyDescent="0.2">
      <c r="A129" s="154">
        <v>320140</v>
      </c>
      <c r="B129" s="69" t="str">
        <f>VLOOKUP(A129,CHP!$A$13:D$211,2,0)</f>
        <v>Trator lâmina D-150B média</v>
      </c>
      <c r="C129" s="80">
        <f t="shared" si="0"/>
        <v>521.5</v>
      </c>
      <c r="D129" s="80">
        <f t="shared" si="3"/>
        <v>31.5</v>
      </c>
      <c r="E129" s="397">
        <f>IFERROR(VLOOKUP($A129,'hora.Equip.obra'!$A$2:$C$68,3,0),0)</f>
        <v>0</v>
      </c>
      <c r="F129" s="80">
        <f t="shared" si="32"/>
        <v>0</v>
      </c>
      <c r="G129" s="81">
        <f t="shared" si="33"/>
        <v>2</v>
      </c>
      <c r="H129" s="82">
        <f>VLOOKUP(A129,'Transporte - FU'!$A$3:$C$168,3,0)</f>
        <v>1</v>
      </c>
      <c r="I129" s="81" t="str">
        <f>VLOOKUP(A129,'Transporte - FU'!$A$3:$C$166,2,0)</f>
        <v>EQ001</v>
      </c>
      <c r="J129" s="83">
        <f>VLOOKUP(I129,CHP!$A$13:$D$215,3,0)</f>
        <v>430.57</v>
      </c>
      <c r="K129" s="81" t="s">
        <v>237</v>
      </c>
      <c r="L129" s="138">
        <f>IF(E129&lt;&gt;0,VLOOKUP(A129,Pedagios!$A$11:$AM$206,6,0),0)</f>
        <v>0</v>
      </c>
      <c r="M129" s="84">
        <f t="shared" si="34"/>
        <v>0</v>
      </c>
    </row>
    <row r="130" spans="1:13" s="75" customFormat="1" ht="14.25" x14ac:dyDescent="0.2">
      <c r="A130" s="154">
        <v>310040</v>
      </c>
      <c r="B130" s="69" t="str">
        <f>VLOOKUP(A130,CHP!$A$13:D$211,2,0)</f>
        <v>Trator lâmina D4 leve</v>
      </c>
      <c r="C130" s="80">
        <f t="shared" si="0"/>
        <v>521.5</v>
      </c>
      <c r="D130" s="80">
        <f t="shared" si="3"/>
        <v>31.5</v>
      </c>
      <c r="E130" s="397">
        <f>IFERROR(VLOOKUP($A130,'hora.Equip.obra'!$A$2:$C$68,3,0),0)</f>
        <v>0</v>
      </c>
      <c r="F130" s="80">
        <f t="shared" si="32"/>
        <v>0</v>
      </c>
      <c r="G130" s="81">
        <f t="shared" si="33"/>
        <v>2</v>
      </c>
      <c r="H130" s="82">
        <f>VLOOKUP(A130,'Transporte - FU'!$A$3:$C$168,3,0)</f>
        <v>0.5</v>
      </c>
      <c r="I130" s="81" t="str">
        <f>VLOOKUP(A130,'Transporte - FU'!$A$3:$C$166,2,0)</f>
        <v>EQ001</v>
      </c>
      <c r="J130" s="83">
        <f>VLOOKUP(I130,CHP!$A$13:$D$215,3,0)</f>
        <v>430.57</v>
      </c>
      <c r="K130" s="81" t="s">
        <v>237</v>
      </c>
      <c r="L130" s="138">
        <f>IF(E130&lt;&gt;0,VLOOKUP(A130,Pedagios!$A$11:$AM$206,6,0),0)</f>
        <v>0</v>
      </c>
      <c r="M130" s="84">
        <f t="shared" si="34"/>
        <v>0</v>
      </c>
    </row>
    <row r="131" spans="1:13" s="75" customFormat="1" ht="14.25" x14ac:dyDescent="0.2">
      <c r="A131" s="154">
        <v>320040</v>
      </c>
      <c r="B131" s="69" t="str">
        <f>VLOOKUP(A131,CHP!$A$13:D$211,2,0)</f>
        <v>Trator lâmina D4 média</v>
      </c>
      <c r="C131" s="80">
        <f t="shared" si="0"/>
        <v>521.5</v>
      </c>
      <c r="D131" s="80">
        <f t="shared" si="3"/>
        <v>31.5</v>
      </c>
      <c r="E131" s="397">
        <f>IFERROR(VLOOKUP($A131,'hora.Equip.obra'!$A$2:$C$68,3,0),0)</f>
        <v>0</v>
      </c>
      <c r="F131" s="80">
        <f t="shared" si="32"/>
        <v>0</v>
      </c>
      <c r="G131" s="81">
        <f t="shared" si="33"/>
        <v>2</v>
      </c>
      <c r="H131" s="82">
        <f>VLOOKUP(A131,'Transporte - FU'!$A$3:$C$168,3,0)</f>
        <v>0.5</v>
      </c>
      <c r="I131" s="81" t="str">
        <f>VLOOKUP(A131,'Transporte - FU'!$A$3:$C$166,2,0)</f>
        <v>EQ001</v>
      </c>
      <c r="J131" s="83">
        <f>VLOOKUP(I131,CHP!$A$13:$D$215,3,0)</f>
        <v>430.57</v>
      </c>
      <c r="K131" s="81" t="s">
        <v>237</v>
      </c>
      <c r="L131" s="138">
        <f>IF(E131&lt;&gt;0,VLOOKUP(A131,Pedagios!$A$11:$AM$206,6,0),0)</f>
        <v>0</v>
      </c>
      <c r="M131" s="84">
        <f t="shared" si="34"/>
        <v>0</v>
      </c>
    </row>
    <row r="132" spans="1:13" s="75" customFormat="1" ht="14.25" x14ac:dyDescent="0.2">
      <c r="A132" s="154">
        <v>330040</v>
      </c>
      <c r="B132" s="69" t="str">
        <f>VLOOKUP(A132,CHP!$A$13:D$211,2,0)</f>
        <v>Trator lâmina D4 severa</v>
      </c>
      <c r="C132" s="80">
        <f t="shared" si="0"/>
        <v>521.5</v>
      </c>
      <c r="D132" s="80">
        <f t="shared" si="3"/>
        <v>31.5</v>
      </c>
      <c r="E132" s="397">
        <f>IFERROR(VLOOKUP($A132,'hora.Equip.obra'!$A$2:$C$68,3,0),0)</f>
        <v>0</v>
      </c>
      <c r="F132" s="80">
        <f t="shared" si="32"/>
        <v>0</v>
      </c>
      <c r="G132" s="81">
        <f t="shared" si="33"/>
        <v>2</v>
      </c>
      <c r="H132" s="82">
        <f>VLOOKUP(A132,'Transporte - FU'!$A$3:$C$168,3,0)</f>
        <v>0.5</v>
      </c>
      <c r="I132" s="81" t="str">
        <f>VLOOKUP(A132,'Transporte - FU'!$A$3:$C$166,2,0)</f>
        <v>EQ001</v>
      </c>
      <c r="J132" s="83">
        <f>VLOOKUP(I132,CHP!$A$13:$D$215,3,0)</f>
        <v>430.57</v>
      </c>
      <c r="K132" s="81" t="s">
        <v>237</v>
      </c>
      <c r="L132" s="138">
        <f>IF(E132&lt;&gt;0,VLOOKUP(A132,Pedagios!$A$11:$AM$206,6,0),0)</f>
        <v>0</v>
      </c>
      <c r="M132" s="84">
        <f t="shared" si="34"/>
        <v>0</v>
      </c>
    </row>
    <row r="133" spans="1:13" s="75" customFormat="1" ht="14.25" x14ac:dyDescent="0.2">
      <c r="A133" s="154">
        <v>310060</v>
      </c>
      <c r="B133" s="69" t="str">
        <f>VLOOKUP(A133,CHP!$A$13:D$211,2,0)</f>
        <v>Trator lâmina D5 leve</v>
      </c>
      <c r="C133" s="80">
        <f t="shared" si="0"/>
        <v>521.5</v>
      </c>
      <c r="D133" s="80">
        <f t="shared" si="3"/>
        <v>31.5</v>
      </c>
      <c r="E133" s="397">
        <f>IFERROR(VLOOKUP($A133,'hora.Equip.obra'!$A$2:$C$68,3,0),0)</f>
        <v>0</v>
      </c>
      <c r="F133" s="80">
        <f t="shared" si="32"/>
        <v>0</v>
      </c>
      <c r="G133" s="81">
        <f t="shared" si="33"/>
        <v>2</v>
      </c>
      <c r="H133" s="82">
        <f>VLOOKUP(A133,'Transporte - FU'!$A$3:$C$168,3,0)</f>
        <v>0.5</v>
      </c>
      <c r="I133" s="81" t="str">
        <f>VLOOKUP(A133,'Transporte - FU'!$A$3:$C$166,2,0)</f>
        <v>EQ001</v>
      </c>
      <c r="J133" s="83">
        <f>VLOOKUP(I133,CHP!$A$13:$D$215,3,0)</f>
        <v>430.57</v>
      </c>
      <c r="K133" s="81" t="s">
        <v>237</v>
      </c>
      <c r="L133" s="138">
        <f>IF(E133&lt;&gt;0,VLOOKUP(A133,Pedagios!$A$11:$AM$206,6,0),0)</f>
        <v>0</v>
      </c>
      <c r="M133" s="84">
        <f t="shared" si="34"/>
        <v>0</v>
      </c>
    </row>
    <row r="134" spans="1:13" s="75" customFormat="1" ht="14.25" x14ac:dyDescent="0.2">
      <c r="A134" s="154">
        <v>320060</v>
      </c>
      <c r="B134" s="69" t="str">
        <f>VLOOKUP(A134,CHP!$A$13:D$211,2,0)</f>
        <v>Trator lâmina D5 média</v>
      </c>
      <c r="C134" s="80">
        <f t="shared" si="0"/>
        <v>521.5</v>
      </c>
      <c r="D134" s="80">
        <f t="shared" si="3"/>
        <v>31.5</v>
      </c>
      <c r="E134" s="397">
        <f>IFERROR(VLOOKUP($A134,'hora.Equip.obra'!$A$2:$C$68,3,0),0)</f>
        <v>49.258099999999999</v>
      </c>
      <c r="F134" s="80">
        <f t="shared" si="32"/>
        <v>1</v>
      </c>
      <c r="G134" s="81">
        <f t="shared" si="33"/>
        <v>2</v>
      </c>
      <c r="H134" s="82">
        <f>VLOOKUP(A134,'Transporte - FU'!$A$3:$C$168,3,0)</f>
        <v>0.5</v>
      </c>
      <c r="I134" s="81" t="str">
        <f>VLOOKUP(A134,'Transporte - FU'!$A$3:$C$166,2,0)</f>
        <v>EQ001</v>
      </c>
      <c r="J134" s="83">
        <f>VLOOKUP(I134,CHP!$A$13:$D$215,3,0)</f>
        <v>430.57</v>
      </c>
      <c r="K134" s="81" t="s">
        <v>237</v>
      </c>
      <c r="L134" s="138">
        <f>IF(E134&lt;&gt;0,VLOOKUP(A134,Pedagios!$A$11:$AM$206,6,0),0)</f>
        <v>136.4</v>
      </c>
      <c r="M134" s="84">
        <f t="shared" si="34"/>
        <v>4217.8447916666664</v>
      </c>
    </row>
    <row r="135" spans="1:13" s="75" customFormat="1" ht="14.25" x14ac:dyDescent="0.2">
      <c r="A135" s="154">
        <v>330060</v>
      </c>
      <c r="B135" s="69" t="str">
        <f>VLOOKUP(A135,CHP!$A$13:D$211,2,0)</f>
        <v>Trator lâmina D5 severa</v>
      </c>
      <c r="C135" s="80">
        <f t="shared" si="0"/>
        <v>521.5</v>
      </c>
      <c r="D135" s="80">
        <f t="shared" si="3"/>
        <v>31.5</v>
      </c>
      <c r="E135" s="397">
        <f>IFERROR(VLOOKUP($A135,'hora.Equip.obra'!$A$2:$C$68,3,0),0)</f>
        <v>0</v>
      </c>
      <c r="F135" s="80">
        <f t="shared" si="32"/>
        <v>0</v>
      </c>
      <c r="G135" s="81">
        <f t="shared" si="33"/>
        <v>2</v>
      </c>
      <c r="H135" s="82">
        <f>VLOOKUP(A135,'Transporte - FU'!$A$3:$C$168,3,0)</f>
        <v>0.5</v>
      </c>
      <c r="I135" s="81" t="str">
        <f>VLOOKUP(A135,'Transporte - FU'!$A$3:$C$166,2,0)</f>
        <v>EQ001</v>
      </c>
      <c r="J135" s="83">
        <f>VLOOKUP(I135,CHP!$A$13:$D$215,3,0)</f>
        <v>430.57</v>
      </c>
      <c r="K135" s="81" t="s">
        <v>237</v>
      </c>
      <c r="L135" s="138">
        <f>IF(E135&lt;&gt;0,VLOOKUP(A135,Pedagios!$A$11:$AM$206,6,0),0)</f>
        <v>0</v>
      </c>
      <c r="M135" s="84">
        <f t="shared" si="34"/>
        <v>0</v>
      </c>
    </row>
    <row r="136" spans="1:13" s="75" customFormat="1" ht="14.25" x14ac:dyDescent="0.2">
      <c r="A136" s="154">
        <v>311650</v>
      </c>
      <c r="B136" s="69" t="str">
        <f>VLOOKUP(A136,CHP!$A$13:D$211,2,0)</f>
        <v>Trator lâmina D61-EX leve</v>
      </c>
      <c r="C136" s="80">
        <f t="shared" si="0"/>
        <v>521.5</v>
      </c>
      <c r="D136" s="80">
        <f t="shared" si="3"/>
        <v>31.5</v>
      </c>
      <c r="E136" s="397">
        <f>IFERROR(VLOOKUP($A136,'hora.Equip.obra'!$A$2:$C$68,3,0),0)</f>
        <v>0</v>
      </c>
      <c r="F136" s="80">
        <f t="shared" si="32"/>
        <v>0</v>
      </c>
      <c r="G136" s="81">
        <f t="shared" si="33"/>
        <v>2</v>
      </c>
      <c r="H136" s="82">
        <f>VLOOKUP(A136,'Transporte - FU'!$A$3:$C$168,3,0)</f>
        <v>0.5</v>
      </c>
      <c r="I136" s="81" t="str">
        <f>VLOOKUP(A136,'Transporte - FU'!$A$3:$C$166,2,0)</f>
        <v>EQ001</v>
      </c>
      <c r="J136" s="83">
        <f>VLOOKUP(I136,CHP!$A$13:$D$215,3,0)</f>
        <v>430.57</v>
      </c>
      <c r="K136" s="81" t="s">
        <v>237</v>
      </c>
      <c r="L136" s="138">
        <f>IF(E136&lt;&gt;0,VLOOKUP(A136,Pedagios!$A$11:$AM$206,6,0),0)</f>
        <v>0</v>
      </c>
      <c r="M136" s="84">
        <f t="shared" si="34"/>
        <v>0</v>
      </c>
    </row>
    <row r="137" spans="1:13" s="75" customFormat="1" ht="14.25" x14ac:dyDescent="0.2">
      <c r="A137" s="154">
        <v>321650</v>
      </c>
      <c r="B137" s="69" t="str">
        <f>VLOOKUP(A137,CHP!$A$13:D$211,2,0)</f>
        <v>Trator lâmina D61-EX média</v>
      </c>
      <c r="C137" s="80">
        <f t="shared" si="0"/>
        <v>521.5</v>
      </c>
      <c r="D137" s="80">
        <f t="shared" si="3"/>
        <v>31.5</v>
      </c>
      <c r="E137" s="397">
        <f>IFERROR(VLOOKUP($A137,'hora.Equip.obra'!$A$2:$C$68,3,0),0)</f>
        <v>0</v>
      </c>
      <c r="F137" s="80">
        <f t="shared" si="32"/>
        <v>0</v>
      </c>
      <c r="G137" s="81">
        <f t="shared" si="33"/>
        <v>2</v>
      </c>
      <c r="H137" s="82">
        <f>VLOOKUP(A137,'Transporte - FU'!$A$3:$C$168,3,0)</f>
        <v>0.5</v>
      </c>
      <c r="I137" s="81" t="str">
        <f>VLOOKUP(A137,'Transporte - FU'!$A$3:$C$166,2,0)</f>
        <v>EQ001</v>
      </c>
      <c r="J137" s="83">
        <f>VLOOKUP(I137,CHP!$A$13:$D$215,3,0)</f>
        <v>430.57</v>
      </c>
      <c r="K137" s="81" t="s">
        <v>237</v>
      </c>
      <c r="L137" s="138">
        <f>IF(E137&lt;&gt;0,VLOOKUP(A137,Pedagios!$A$11:$AM$206,6,0),0)</f>
        <v>0</v>
      </c>
      <c r="M137" s="84">
        <f t="shared" si="34"/>
        <v>0</v>
      </c>
    </row>
    <row r="138" spans="1:13" s="75" customFormat="1" ht="14.25" x14ac:dyDescent="0.2">
      <c r="A138" s="154">
        <v>331650</v>
      </c>
      <c r="B138" s="69" t="str">
        <f>VLOOKUP(A138,CHP!$A$13:D$211,2,0)</f>
        <v>Trator lâmina D61-EX severa</v>
      </c>
      <c r="C138" s="80">
        <f t="shared" si="0"/>
        <v>521.5</v>
      </c>
      <c r="D138" s="80">
        <f t="shared" si="3"/>
        <v>31.5</v>
      </c>
      <c r="E138" s="397">
        <f>IFERROR(VLOOKUP($A138,'hora.Equip.obra'!$A$2:$C$68,3,0),0)</f>
        <v>0</v>
      </c>
      <c r="F138" s="80">
        <f t="shared" si="32"/>
        <v>0</v>
      </c>
      <c r="G138" s="81">
        <f t="shared" si="33"/>
        <v>2</v>
      </c>
      <c r="H138" s="82">
        <f>VLOOKUP(A138,'Transporte - FU'!$A$3:$C$168,3,0)</f>
        <v>0.5</v>
      </c>
      <c r="I138" s="81" t="str">
        <f>VLOOKUP(A138,'Transporte - FU'!$A$3:$C$166,2,0)</f>
        <v>EQ001</v>
      </c>
      <c r="J138" s="83">
        <f>VLOOKUP(I138,CHP!$A$13:$D$215,3,0)</f>
        <v>430.57</v>
      </c>
      <c r="K138" s="81" t="s">
        <v>237</v>
      </c>
      <c r="L138" s="138">
        <f>IF(E138&lt;&gt;0,VLOOKUP(A138,Pedagios!$A$11:$AM$206,6,0),0)</f>
        <v>0</v>
      </c>
      <c r="M138" s="84">
        <f t="shared" si="34"/>
        <v>0</v>
      </c>
    </row>
    <row r="139" spans="1:13" s="75" customFormat="1" ht="14.25" x14ac:dyDescent="0.2">
      <c r="A139" s="154">
        <v>310180</v>
      </c>
      <c r="B139" s="69" t="str">
        <f>VLOOKUP(A139,CHP!$A$13:D$211,2,0)</f>
        <v>Trator lâmina D8-T leve</v>
      </c>
      <c r="C139" s="80">
        <f t="shared" si="0"/>
        <v>521.5</v>
      </c>
      <c r="D139" s="80">
        <f t="shared" si="3"/>
        <v>31.5</v>
      </c>
      <c r="E139" s="397">
        <f>IFERROR(VLOOKUP($A139,'hora.Equip.obra'!$A$2:$C$68,3,0),0)</f>
        <v>0</v>
      </c>
      <c r="F139" s="80">
        <f t="shared" si="32"/>
        <v>0</v>
      </c>
      <c r="G139" s="81">
        <f t="shared" si="33"/>
        <v>2</v>
      </c>
      <c r="H139" s="82">
        <f>VLOOKUP(A139,'Transporte - FU'!$A$3:$C$168,3,0)</f>
        <v>1</v>
      </c>
      <c r="I139" s="81" t="str">
        <f>VLOOKUP(A139,'Transporte - FU'!$A$3:$C$166,2,0)</f>
        <v>EQ001</v>
      </c>
      <c r="J139" s="83">
        <f>VLOOKUP(I139,CHP!$A$13:$D$215,3,0)</f>
        <v>430.57</v>
      </c>
      <c r="K139" s="81" t="s">
        <v>237</v>
      </c>
      <c r="L139" s="138">
        <f>IF(E139&lt;&gt;0,VLOOKUP(A139,Pedagios!$A$11:$AM$206,6,0),0)</f>
        <v>0</v>
      </c>
      <c r="M139" s="84">
        <f t="shared" si="34"/>
        <v>0</v>
      </c>
    </row>
    <row r="140" spans="1:13" s="75" customFormat="1" ht="14.25" x14ac:dyDescent="0.2">
      <c r="A140" s="154">
        <v>320180</v>
      </c>
      <c r="B140" s="69" t="str">
        <f>VLOOKUP(A140,CHP!$A$13:D$211,2,0)</f>
        <v>Trator lâmina D8-T média</v>
      </c>
      <c r="C140" s="80">
        <f t="shared" si="0"/>
        <v>521.5</v>
      </c>
      <c r="D140" s="80">
        <f t="shared" si="3"/>
        <v>31.5</v>
      </c>
      <c r="E140" s="397">
        <f>IFERROR(VLOOKUP($A140,'hora.Equip.obra'!$A$2:$C$68,3,0),0)</f>
        <v>0</v>
      </c>
      <c r="F140" s="80">
        <f t="shared" si="32"/>
        <v>0</v>
      </c>
      <c r="G140" s="81">
        <f t="shared" si="33"/>
        <v>2</v>
      </c>
      <c r="H140" s="82">
        <f>VLOOKUP(A140,'Transporte - FU'!$A$3:$C$168,3,0)</f>
        <v>1</v>
      </c>
      <c r="I140" s="81" t="str">
        <f>VLOOKUP(A140,'Transporte - FU'!$A$3:$C$166,2,0)</f>
        <v>EQ001</v>
      </c>
      <c r="J140" s="83">
        <f>VLOOKUP(I140,CHP!$A$13:$D$215,3,0)</f>
        <v>430.57</v>
      </c>
      <c r="K140" s="81" t="s">
        <v>237</v>
      </c>
      <c r="L140" s="138">
        <f>IF(E140&lt;&gt;0,VLOOKUP(A140,Pedagios!$A$11:$AM$206,6,0),0)</f>
        <v>0</v>
      </c>
      <c r="M140" s="84">
        <f t="shared" si="34"/>
        <v>0</v>
      </c>
    </row>
    <row r="141" spans="1:13" s="75" customFormat="1" ht="14.25" x14ac:dyDescent="0.2">
      <c r="A141" s="154">
        <v>330180</v>
      </c>
      <c r="B141" s="69" t="str">
        <f>VLOOKUP(A141,CHP!$A$13:D$211,2,0)</f>
        <v>Trator lâmina D8-T severa</v>
      </c>
      <c r="C141" s="80">
        <f t="shared" si="0"/>
        <v>521.5</v>
      </c>
      <c r="D141" s="80">
        <f t="shared" si="3"/>
        <v>31.5</v>
      </c>
      <c r="E141" s="397">
        <f>IFERROR(VLOOKUP($A141,'hora.Equip.obra'!$A$2:$C$68,3,0),0)</f>
        <v>0</v>
      </c>
      <c r="F141" s="80">
        <f t="shared" si="32"/>
        <v>0</v>
      </c>
      <c r="G141" s="81">
        <f t="shared" si="33"/>
        <v>2</v>
      </c>
      <c r="H141" s="82">
        <f>VLOOKUP(A141,'Transporte - FU'!$A$3:$C$168,3,0)</f>
        <v>1</v>
      </c>
      <c r="I141" s="81" t="str">
        <f>VLOOKUP(A141,'Transporte - FU'!$A$3:$C$166,2,0)</f>
        <v>EQ001</v>
      </c>
      <c r="J141" s="83">
        <f>VLOOKUP(I141,CHP!$A$13:$D$215,3,0)</f>
        <v>430.57</v>
      </c>
      <c r="K141" s="81" t="s">
        <v>237</v>
      </c>
      <c r="L141" s="138">
        <f>IF(E141&lt;&gt;0,VLOOKUP(A141,Pedagios!$A$11:$AM$206,6,0),0)</f>
        <v>0</v>
      </c>
      <c r="M141" s="84">
        <f t="shared" si="34"/>
        <v>0</v>
      </c>
    </row>
    <row r="142" spans="1:13" s="75" customFormat="1" ht="15" customHeight="1" x14ac:dyDescent="0.2">
      <c r="A142" s="154">
        <v>320700</v>
      </c>
      <c r="B142" s="69" t="str">
        <f>VLOOKUP(A142,CHP!$A$13:D$211,2,0)</f>
        <v>Trator lâmina 7D média</v>
      </c>
      <c r="C142" s="80">
        <f t="shared" si="0"/>
        <v>521.5</v>
      </c>
      <c r="D142" s="80">
        <f t="shared" si="3"/>
        <v>31.5</v>
      </c>
      <c r="E142" s="397">
        <f>IFERROR(VLOOKUP($A142,'hora.Equip.obra'!$A$2:$C$68,3,0),0)</f>
        <v>0</v>
      </c>
      <c r="F142" s="80">
        <f t="shared" si="32"/>
        <v>0</v>
      </c>
      <c r="G142" s="81">
        <f t="shared" si="33"/>
        <v>2</v>
      </c>
      <c r="H142" s="82">
        <f>VLOOKUP(A142,'Transporte - FU'!$A$3:$C$168,3,0)</f>
        <v>0.5</v>
      </c>
      <c r="I142" s="81" t="str">
        <f>VLOOKUP(A142,'Transporte - FU'!$A$3:$C$166,2,0)</f>
        <v>EQ001</v>
      </c>
      <c r="J142" s="83">
        <f>VLOOKUP(I142,CHP!$A$13:$D$215,3,0)</f>
        <v>430.57</v>
      </c>
      <c r="K142" s="81" t="s">
        <v>237</v>
      </c>
      <c r="L142" s="138">
        <f>IF(E142&lt;&gt;0,VLOOKUP(A142,Pedagios!$A$11:$AM$206,6,0),0)</f>
        <v>0</v>
      </c>
      <c r="M142" s="84">
        <f t="shared" si="34"/>
        <v>0</v>
      </c>
    </row>
    <row r="143" spans="1:13" s="75" customFormat="1" ht="14.25" x14ac:dyDescent="0.2">
      <c r="A143" s="154">
        <v>300140</v>
      </c>
      <c r="B143" s="69" t="str">
        <f>VLOOKUP(A143,CHP!$A$13:D$211,2,0)</f>
        <v>Usina asfalto móvel contra-fluxo 50/100 t/hora</v>
      </c>
      <c r="C143" s="80">
        <f t="shared" si="0"/>
        <v>521.5</v>
      </c>
      <c r="D143" s="80">
        <f t="shared" si="3"/>
        <v>31.5</v>
      </c>
      <c r="E143" s="397">
        <f>IFERROR(VLOOKUP($A143,'hora.Equip.obra'!$A$2:$C$68,3,0),0)</f>
        <v>110.324</v>
      </c>
      <c r="F143" s="80">
        <f t="shared" si="32"/>
        <v>1</v>
      </c>
      <c r="G143" s="81">
        <f t="shared" si="33"/>
        <v>1</v>
      </c>
      <c r="H143" s="82">
        <f>VLOOKUP(A143,'Transporte - FU'!$A$3:$C$168,3,0)</f>
        <v>1</v>
      </c>
      <c r="I143" s="81">
        <f>VLOOKUP(A143,'Transporte - FU'!$A$3:$C$166,2,0)</f>
        <v>300140</v>
      </c>
      <c r="J143" s="83">
        <f>VLOOKUP(I143,CHP!$A$13:$D$215,3,0)</f>
        <v>693.87</v>
      </c>
      <c r="K143" s="81" t="s">
        <v>237</v>
      </c>
      <c r="L143" s="138">
        <f>IF(E143&lt;&gt;0,VLOOKUP(A143,Pedagios!$A$11:$AM$206,6,0),0)</f>
        <v>102.30000000000001</v>
      </c>
      <c r="M143" s="84">
        <f t="shared" si="34"/>
        <v>6679.609375</v>
      </c>
    </row>
    <row r="144" spans="1:13" s="75" customFormat="1" ht="28.5" x14ac:dyDescent="0.2">
      <c r="A144" s="154">
        <v>300170</v>
      </c>
      <c r="B144" s="69" t="str">
        <f>VLOOKUP(A144,CHP!$A$13:D$211,2,0)</f>
        <v>Usina asfalto móvel contra-fluxo 60/120 t/hora asf. borracha/polímero</v>
      </c>
      <c r="C144" s="80">
        <f t="shared" si="0"/>
        <v>521.5</v>
      </c>
      <c r="D144" s="80">
        <f t="shared" si="3"/>
        <v>31.5</v>
      </c>
      <c r="E144" s="397">
        <f>IFERROR(VLOOKUP($A144,'hora.Equip.obra'!$A$2:$C$68,3,0),0)</f>
        <v>0</v>
      </c>
      <c r="F144" s="80">
        <f t="shared" si="32"/>
        <v>0</v>
      </c>
      <c r="G144" s="81">
        <f t="shared" si="33"/>
        <v>1</v>
      </c>
      <c r="H144" s="82">
        <f>VLOOKUP(A144,'Transporte - FU'!$A$3:$C$168,3,0)</f>
        <v>1</v>
      </c>
      <c r="I144" s="81">
        <f>VLOOKUP(A144,'Transporte - FU'!$A$3:$C$166,2,0)</f>
        <v>300170</v>
      </c>
      <c r="J144" s="83">
        <f>VLOOKUP(I144,CHP!$A$13:$D$215,3,0)</f>
        <v>832.43</v>
      </c>
      <c r="K144" s="81" t="s">
        <v>237</v>
      </c>
      <c r="L144" s="138">
        <f>IF(E144&lt;&gt;0,VLOOKUP(A144,Pedagios!$A$11:$AM$206,6,0),0)</f>
        <v>0</v>
      </c>
      <c r="M144" s="84">
        <f t="shared" si="34"/>
        <v>0</v>
      </c>
    </row>
    <row r="145" spans="1:13" s="75" customFormat="1" ht="14.25" x14ac:dyDescent="0.2">
      <c r="A145" s="154">
        <v>309100</v>
      </c>
      <c r="B145" s="69" t="str">
        <f>VLOOKUP(A145,CHP!$A$13:D$211,2,0)</f>
        <v>Usina misturadora PMF 50/70 t/hora</v>
      </c>
      <c r="C145" s="80">
        <f t="shared" si="0"/>
        <v>521.5</v>
      </c>
      <c r="D145" s="80">
        <f t="shared" si="3"/>
        <v>31.5</v>
      </c>
      <c r="E145" s="397">
        <f>IFERROR(VLOOKUP($A145,'hora.Equip.obra'!$A$2:$C$68,3,0),0)</f>
        <v>0</v>
      </c>
      <c r="F145" s="80">
        <f t="shared" si="32"/>
        <v>0</v>
      </c>
      <c r="G145" s="81">
        <f t="shared" si="33"/>
        <v>2</v>
      </c>
      <c r="H145" s="82">
        <f>VLOOKUP(A145,'Transporte - FU'!$A$3:$C$168,3,0)</f>
        <v>4</v>
      </c>
      <c r="I145" s="81" t="str">
        <f>VLOOKUP(A145,'Transporte - FU'!$A$3:$C$166,2,0)</f>
        <v>EQ001</v>
      </c>
      <c r="J145" s="83">
        <f>VLOOKUP(I145,CHP!$A$13:$D$215,3,0)</f>
        <v>430.57</v>
      </c>
      <c r="K145" s="81" t="s">
        <v>237</v>
      </c>
      <c r="L145" s="138">
        <f>IF(E145&lt;&gt;0,VLOOKUP(A145,Pedagios!$A$11:$AM$206,6,0),0)</f>
        <v>0</v>
      </c>
      <c r="M145" s="84">
        <f t="shared" si="34"/>
        <v>0</v>
      </c>
    </row>
    <row r="146" spans="1:13" s="75" customFormat="1" ht="14.25" x14ac:dyDescent="0.2">
      <c r="A146" s="154">
        <v>309000</v>
      </c>
      <c r="B146" s="69" t="str">
        <f>VLOOKUP(A146,CHP!$A$13:D$211,2,0)</f>
        <v>Usina p/ microrevestimento asfáltico a frio</v>
      </c>
      <c r="C146" s="80">
        <f t="shared" si="0"/>
        <v>521.5</v>
      </c>
      <c r="D146" s="80">
        <f t="shared" si="3"/>
        <v>31.5</v>
      </c>
      <c r="E146" s="397">
        <f>IFERROR(VLOOKUP($A146,'hora.Equip.obra'!$A$2:$C$68,3,0),0)</f>
        <v>0</v>
      </c>
      <c r="F146" s="80">
        <f t="shared" si="32"/>
        <v>0</v>
      </c>
      <c r="G146" s="81">
        <f t="shared" si="33"/>
        <v>2</v>
      </c>
      <c r="H146" s="82">
        <f>VLOOKUP(A146,'Transporte - FU'!$A$3:$C$168,3,0)</f>
        <v>1</v>
      </c>
      <c r="I146" s="81" t="str">
        <f>VLOOKUP(A146,'Transporte - FU'!$A$3:$C$166,2,0)</f>
        <v>EQ001</v>
      </c>
      <c r="J146" s="83">
        <f>VLOOKUP(I146,CHP!$A$13:$D$215,3,0)</f>
        <v>430.57</v>
      </c>
      <c r="K146" s="81" t="s">
        <v>237</v>
      </c>
      <c r="L146" s="138">
        <f>IF(E146&lt;&gt;0,VLOOKUP(A146,Pedagios!$A$11:$AM$206,6,0),0)</f>
        <v>0</v>
      </c>
      <c r="M146" s="84">
        <f t="shared" si="34"/>
        <v>0</v>
      </c>
    </row>
    <row r="147" spans="1:13" s="75" customFormat="1" ht="14.25" x14ac:dyDescent="0.2">
      <c r="A147" s="154">
        <v>303500</v>
      </c>
      <c r="B147" s="69" t="str">
        <f>VLOOKUP(A147,CHP!$A$13:D$211,2,0)</f>
        <v>Usina solos brita graduada 200/500 t/hora</v>
      </c>
      <c r="C147" s="80">
        <f t="shared" si="0"/>
        <v>521.5</v>
      </c>
      <c r="D147" s="80">
        <f t="shared" si="3"/>
        <v>31.5</v>
      </c>
      <c r="E147" s="397">
        <f>IFERROR(VLOOKUP($A147,'hora.Equip.obra'!$A$2:$C$68,3,0),0)</f>
        <v>83.746799999999993</v>
      </c>
      <c r="F147" s="80">
        <f t="shared" si="32"/>
        <v>1</v>
      </c>
      <c r="G147" s="81">
        <f t="shared" si="33"/>
        <v>2</v>
      </c>
      <c r="H147" s="82">
        <f>VLOOKUP(A147,'Transporte - FU'!$A$3:$C$168,3,0)</f>
        <v>2</v>
      </c>
      <c r="I147" s="81" t="str">
        <f>VLOOKUP(A147,'Transporte - FU'!$A$3:$C$166,2,0)</f>
        <v>EQ001</v>
      </c>
      <c r="J147" s="83">
        <f>VLOOKUP(I147,CHP!$A$13:$D$215,3,0)</f>
        <v>430.57</v>
      </c>
      <c r="K147" s="81" t="s">
        <v>237</v>
      </c>
      <c r="L147" s="138">
        <f>IF(E147&lt;&gt;0,VLOOKUP(A147,Pedagios!$A$11:$AM$206,6,0),0)</f>
        <v>136.4</v>
      </c>
      <c r="M147" s="84">
        <f t="shared" si="34"/>
        <v>16462.179166666665</v>
      </c>
    </row>
    <row r="148" spans="1:13" s="75" customFormat="1" ht="14.25" x14ac:dyDescent="0.2">
      <c r="A148" s="154">
        <v>303600</v>
      </c>
      <c r="B148" s="69" t="str">
        <f>VLOOKUP(A148,CHP!$A$13:D$211,2,0)</f>
        <v>Usina solos c/ dosador cimento 200/500 t/hora</v>
      </c>
      <c r="C148" s="80">
        <f t="shared" si="0"/>
        <v>521.5</v>
      </c>
      <c r="D148" s="80">
        <f t="shared" si="3"/>
        <v>31.5</v>
      </c>
      <c r="E148" s="397">
        <f>IFERROR(VLOOKUP($A148,'hora.Equip.obra'!$A$2:$C$68,3,0),0)</f>
        <v>0</v>
      </c>
      <c r="F148" s="80">
        <f t="shared" si="32"/>
        <v>0</v>
      </c>
      <c r="G148" s="81">
        <f t="shared" si="33"/>
        <v>2</v>
      </c>
      <c r="H148" s="82">
        <f>VLOOKUP(A148,'Transporte - FU'!$A$3:$C$168,3,0)</f>
        <v>2</v>
      </c>
      <c r="I148" s="81" t="str">
        <f>VLOOKUP(A148,'Transporte - FU'!$A$3:$C$166,2,0)</f>
        <v>EQ001</v>
      </c>
      <c r="J148" s="83">
        <f>VLOOKUP(I148,CHP!$A$13:$D$215,3,0)</f>
        <v>430.57</v>
      </c>
      <c r="K148" s="81" t="s">
        <v>237</v>
      </c>
      <c r="L148" s="138">
        <f>IF(E148&lt;&gt;0,VLOOKUP(A148,Pedagios!$A$11:$AM$206,6,0),0)</f>
        <v>0</v>
      </c>
      <c r="M148" s="84">
        <f t="shared" si="34"/>
        <v>0</v>
      </c>
    </row>
    <row r="149" spans="1:13" s="75" customFormat="1" ht="14.25" x14ac:dyDescent="0.2">
      <c r="A149" s="154">
        <v>340410</v>
      </c>
      <c r="B149" s="69" t="str">
        <f>VLOOKUP(A149,CHP!$A$13:D$211,2,0)</f>
        <v>Vibro acabadora esteiras</v>
      </c>
      <c r="C149" s="80">
        <f t="shared" si="0"/>
        <v>521.5</v>
      </c>
      <c r="D149" s="80">
        <f t="shared" si="3"/>
        <v>31.5</v>
      </c>
      <c r="E149" s="397">
        <f>IFERROR(VLOOKUP($A149,'hora.Equip.obra'!$A$2:$C$68,3,0),0)</f>
        <v>69.824399999999997</v>
      </c>
      <c r="F149" s="80">
        <f t="shared" si="32"/>
        <v>1</v>
      </c>
      <c r="G149" s="81">
        <f t="shared" si="33"/>
        <v>2</v>
      </c>
      <c r="H149" s="82">
        <f>VLOOKUP(A149,'Transporte - FU'!$A$3:$C$168,3,0)</f>
        <v>0.5</v>
      </c>
      <c r="I149" s="81" t="str">
        <f>VLOOKUP(A149,'Transporte - FU'!$A$3:$C$166,2,0)</f>
        <v>EQ001</v>
      </c>
      <c r="J149" s="83">
        <f>VLOOKUP(I149,CHP!$A$13:$D$215,3,0)</f>
        <v>430.57</v>
      </c>
      <c r="K149" s="81" t="s">
        <v>237</v>
      </c>
      <c r="L149" s="138">
        <f>IF(E149&lt;&gt;0,VLOOKUP(A149,Pedagios!$A$11:$AM$206,6,0),0)</f>
        <v>136.4</v>
      </c>
      <c r="M149" s="84">
        <f t="shared" si="34"/>
        <v>4217.8447916666664</v>
      </c>
    </row>
    <row r="150" spans="1:13" s="75" customFormat="1" ht="14.25" x14ac:dyDescent="0.2">
      <c r="A150" s="131">
        <v>370080</v>
      </c>
      <c r="B150" s="162" t="str">
        <f>VLOOKUP(A150,CHP!$A$13:D$211,2,0)</f>
        <v>Automóvel leve pot. mín. 75 HP(s/motor.)</v>
      </c>
      <c r="C150" s="132">
        <f t="shared" si="0"/>
        <v>521.5</v>
      </c>
      <c r="D150" s="132">
        <f t="shared" si="3"/>
        <v>31.5</v>
      </c>
      <c r="E150" s="136"/>
      <c r="F150" s="132">
        <v>1</v>
      </c>
      <c r="G150" s="133">
        <f t="shared" si="21"/>
        <v>1</v>
      </c>
      <c r="H150" s="155">
        <f>VLOOKUP(A150,'Transporte - FU'!$A$3:$C$168,3,0)</f>
        <v>1</v>
      </c>
      <c r="I150" s="133">
        <f>VLOOKUP(A150,'Transporte - FU'!$A$1:$C$190,2,0)</f>
        <v>370080</v>
      </c>
      <c r="J150" s="134">
        <f>VLOOKUP(I150,CHP!$A$13:$D$215,3,0)</f>
        <v>116.77</v>
      </c>
      <c r="K150" s="133" t="s">
        <v>237</v>
      </c>
      <c r="L150" s="139">
        <f>IF(F150&lt;&gt;0,VLOOKUP(A150,Pedagios!$A$11:$AM$206,6,0),0)</f>
        <v>34.1</v>
      </c>
      <c r="M150" s="135">
        <f t="shared" si="22"/>
        <v>1140.9822916666665</v>
      </c>
    </row>
    <row r="151" spans="1:13" s="127" customFormat="1" ht="14.25" x14ac:dyDescent="0.2">
      <c r="A151" s="131">
        <v>370140</v>
      </c>
      <c r="B151" s="162" t="str">
        <f>VLOOKUP(A151,CHP!$A$13:D$211,2,0)</f>
        <v>Caminhonete cabine dupla 4x4 pot. mín.120 HP(s/motor.)</v>
      </c>
      <c r="C151" s="132">
        <f t="shared" si="0"/>
        <v>521.5</v>
      </c>
      <c r="D151" s="132">
        <f t="shared" si="3"/>
        <v>31.5</v>
      </c>
      <c r="E151" s="136"/>
      <c r="F151" s="132"/>
      <c r="G151" s="133">
        <f t="shared" ref="G151:G154" si="35">IF(A151=I151,1,2)</f>
        <v>1</v>
      </c>
      <c r="H151" s="155">
        <f>VLOOKUP(A151,'Transporte - FU'!$A$3:$C$168,3,0)</f>
        <v>1</v>
      </c>
      <c r="I151" s="133">
        <f>VLOOKUP(A151,'Transporte - FU'!$A$1:$C$190,2,0)</f>
        <v>370140</v>
      </c>
      <c r="J151" s="134">
        <f>VLOOKUP(I151,CHP!$A$13:$D$215,3,0)</f>
        <v>138.53</v>
      </c>
      <c r="K151" s="133" t="s">
        <v>237</v>
      </c>
      <c r="L151" s="139">
        <f>IF(F151&lt;&gt;0,VLOOKUP(A151,Pedagios!$A$11:$AM$206,6,0),0)</f>
        <v>0</v>
      </c>
      <c r="M151" s="135">
        <f t="shared" ref="M151:M154" si="36">IFERROR(((C151*G151*H151)/$M$6+(D151*G151*H151)/$M$7)*J151*F151,0)+(F151*L151)</f>
        <v>0</v>
      </c>
    </row>
    <row r="152" spans="1:13" s="127" customFormat="1" ht="14.25" x14ac:dyDescent="0.2">
      <c r="A152" s="131">
        <v>370160</v>
      </c>
      <c r="B152" s="162" t="str">
        <f>VLOOKUP(A152,CHP!$A$13:D$211,2,0)</f>
        <v>Veículo utilitário pot. min. 114 HP(s/motor.)</v>
      </c>
      <c r="C152" s="132">
        <f t="shared" si="0"/>
        <v>521.5</v>
      </c>
      <c r="D152" s="132">
        <f t="shared" si="3"/>
        <v>31.5</v>
      </c>
      <c r="E152" s="136"/>
      <c r="F152" s="132"/>
      <c r="G152" s="133">
        <f t="shared" si="35"/>
        <v>1</v>
      </c>
      <c r="H152" s="155">
        <f>VLOOKUP(A152,'Transporte - FU'!$A$3:$C$168,3,0)</f>
        <v>1</v>
      </c>
      <c r="I152" s="133">
        <f>VLOOKUP(A152,'Transporte - FU'!$A$1:$C$190,2,0)</f>
        <v>370160</v>
      </c>
      <c r="J152" s="134">
        <f>VLOOKUP(I152,CHP!$A$13:$D$215,3,0)</f>
        <v>190.95</v>
      </c>
      <c r="K152" s="133" t="s">
        <v>237</v>
      </c>
      <c r="L152" s="139">
        <f>IF(F152&lt;&gt;0,VLOOKUP(A152,Pedagios!$A$11:$AM$206,6,0),0)</f>
        <v>0</v>
      </c>
      <c r="M152" s="135">
        <f t="shared" si="36"/>
        <v>0</v>
      </c>
    </row>
    <row r="153" spans="1:13" s="127" customFormat="1" ht="14.25" x14ac:dyDescent="0.2">
      <c r="A153" s="131">
        <v>370020</v>
      </c>
      <c r="B153" s="162" t="str">
        <f>VLOOKUP(A153,CHP!$A$13:D$211,2,0)</f>
        <v>Microônibus transporte urbano capacidade 16 pessoas</v>
      </c>
      <c r="C153" s="132">
        <f t="shared" si="0"/>
        <v>521.5</v>
      </c>
      <c r="D153" s="132">
        <f t="shared" si="3"/>
        <v>31.5</v>
      </c>
      <c r="E153" s="136"/>
      <c r="F153" s="132"/>
      <c r="G153" s="133">
        <f t="shared" si="35"/>
        <v>1</v>
      </c>
      <c r="H153" s="155">
        <f>VLOOKUP(A153,'Transporte - FU'!$A$3:$C$168,3,0)</f>
        <v>1</v>
      </c>
      <c r="I153" s="133">
        <f>VLOOKUP(A153,'Transporte - FU'!$A$1:$C$190,2,0)</f>
        <v>370020</v>
      </c>
      <c r="J153" s="134">
        <f>VLOOKUP(I153,CHP!$A$13:$D$215,3,0)</f>
        <v>226.94</v>
      </c>
      <c r="K153" s="133" t="s">
        <v>237</v>
      </c>
      <c r="L153" s="139">
        <f>IF(F153&lt;&gt;0,VLOOKUP(A153,Pedagios!$A$11:$AM$206,6,0),0)</f>
        <v>0</v>
      </c>
      <c r="M153" s="135">
        <f t="shared" si="36"/>
        <v>0</v>
      </c>
    </row>
    <row r="154" spans="1:13" s="127" customFormat="1" ht="14.25" x14ac:dyDescent="0.2">
      <c r="A154" s="131">
        <v>370030</v>
      </c>
      <c r="B154" s="162" t="str">
        <f>VLOOKUP(A154,CHP!$A$13:D$211,2,0)</f>
        <v>Microônibus transporte urbano capacidade 30 pessoas</v>
      </c>
      <c r="C154" s="132">
        <f t="shared" si="0"/>
        <v>521.5</v>
      </c>
      <c r="D154" s="132">
        <f t="shared" si="3"/>
        <v>31.5</v>
      </c>
      <c r="E154" s="136"/>
      <c r="F154" s="132">
        <v>1</v>
      </c>
      <c r="G154" s="133">
        <f t="shared" si="35"/>
        <v>1</v>
      </c>
      <c r="H154" s="155">
        <f>VLOOKUP(A154,'Transporte - FU'!$A$3:$C$168,3,0)</f>
        <v>1</v>
      </c>
      <c r="I154" s="133">
        <f>VLOOKUP(A154,'Transporte - FU'!$A$1:$C$190,2,0)</f>
        <v>370030</v>
      </c>
      <c r="J154" s="134">
        <f>VLOOKUP(I154,CHP!$A$13:$D$215,3,0)</f>
        <v>230.02</v>
      </c>
      <c r="K154" s="133" t="s">
        <v>237</v>
      </c>
      <c r="L154" s="139">
        <f>IF(F154&lt;&gt;0,VLOOKUP(A154,Pedagios!$A$11:$AM$206,6,0),0)</f>
        <v>68.2</v>
      </c>
      <c r="M154" s="135">
        <f t="shared" si="36"/>
        <v>2248.5979166666666</v>
      </c>
    </row>
    <row r="155" spans="1:13" s="127" customFormat="1" ht="14.25" x14ac:dyDescent="0.2">
      <c r="A155" s="131">
        <v>370000</v>
      </c>
      <c r="B155" s="162" t="str">
        <f>VLOOKUP(A155,CHP!$A$13:D$211,2,0)</f>
        <v>Veiculo transporte coletivo 40 passageiros</v>
      </c>
      <c r="C155" s="132">
        <f t="shared" si="0"/>
        <v>521.5</v>
      </c>
      <c r="D155" s="132">
        <f t="shared" si="3"/>
        <v>31.5</v>
      </c>
      <c r="E155" s="136"/>
      <c r="F155" s="132"/>
      <c r="G155" s="133">
        <f t="shared" si="21"/>
        <v>1</v>
      </c>
      <c r="H155" s="155">
        <f>VLOOKUP(A155,'Transporte - FU'!$A$3:$C$168,3,0)</f>
        <v>1</v>
      </c>
      <c r="I155" s="133">
        <f>VLOOKUP(A155,'Transporte - FU'!$A$1:$C$190,2,0)</f>
        <v>370000</v>
      </c>
      <c r="J155" s="134">
        <f>VLOOKUP(I155,CHP!$A$13:$D$215,3,0)</f>
        <v>391.07</v>
      </c>
      <c r="K155" s="133" t="s">
        <v>237</v>
      </c>
      <c r="L155" s="139">
        <f>IF(F155&lt;&gt;0,VLOOKUP(A155,Pedagios!$A$11:$AM$206,6,0),0)</f>
        <v>0</v>
      </c>
      <c r="M155" s="135">
        <f t="shared" si="22"/>
        <v>0</v>
      </c>
    </row>
    <row r="156" spans="1:13" s="75" customFormat="1" ht="18" x14ac:dyDescent="0.25">
      <c r="A156" s="439" t="s">
        <v>238</v>
      </c>
      <c r="B156" s="439"/>
      <c r="C156" s="439"/>
      <c r="D156" s="439"/>
      <c r="E156" s="439"/>
      <c r="F156" s="439"/>
      <c r="G156" s="439"/>
      <c r="H156" s="439"/>
      <c r="I156" s="439"/>
      <c r="J156" s="439"/>
      <c r="K156" s="85"/>
      <c r="L156" s="85"/>
      <c r="M156" s="86">
        <f>SUM(M12:M155)</f>
        <v>179580.136875</v>
      </c>
    </row>
    <row r="157" spans="1:13" s="75" customFormat="1" ht="9.75" customHeight="1" x14ac:dyDescent="0.25">
      <c r="A157" s="442"/>
      <c r="B157" s="442"/>
      <c r="C157" s="442"/>
      <c r="D157" s="442"/>
      <c r="E157" s="442"/>
      <c r="F157" s="442"/>
      <c r="G157" s="442"/>
      <c r="H157" s="442"/>
      <c r="I157" s="442"/>
      <c r="J157" s="442"/>
      <c r="K157" s="442"/>
      <c r="L157" s="442"/>
      <c r="M157" s="442"/>
    </row>
    <row r="158" spans="1:13" s="75" customFormat="1" ht="25.5" customHeight="1" x14ac:dyDescent="0.25">
      <c r="A158" s="429" t="s">
        <v>393</v>
      </c>
      <c r="B158" s="429"/>
      <c r="C158" s="429"/>
      <c r="D158" s="429"/>
      <c r="E158" s="429"/>
      <c r="F158" s="429"/>
      <c r="G158" s="429"/>
      <c r="H158" s="429"/>
      <c r="I158" s="429"/>
      <c r="J158" s="429"/>
      <c r="K158" s="429"/>
      <c r="L158" s="429"/>
      <c r="M158" s="87">
        <f>M156*2</f>
        <v>359160.27374999999</v>
      </c>
    </row>
    <row r="159" spans="1:13" s="75" customFormat="1" ht="19.5" customHeight="1" x14ac:dyDescent="0.25">
      <c r="A159" s="436" t="s">
        <v>246</v>
      </c>
      <c r="B159" s="436"/>
      <c r="C159" s="436"/>
      <c r="D159" s="436"/>
      <c r="E159" s="436"/>
      <c r="F159" s="436"/>
      <c r="G159" s="436"/>
      <c r="H159" s="436"/>
      <c r="I159" s="436"/>
      <c r="J159" s="436"/>
      <c r="K159" s="436"/>
      <c r="L159" s="436"/>
      <c r="M159" s="436"/>
    </row>
    <row r="160" spans="1:13" x14ac:dyDescent="0.25">
      <c r="L160" s="215" t="s">
        <v>482</v>
      </c>
      <c r="M160" s="216">
        <f>TRUNC(M158*1.2549,2)</f>
        <v>450710.22</v>
      </c>
    </row>
    <row r="161" spans="3:13" x14ac:dyDescent="0.25">
      <c r="L161" s="215"/>
      <c r="M161" s="216"/>
    </row>
    <row r="162" spans="3:13" x14ac:dyDescent="0.25">
      <c r="L162" s="215"/>
      <c r="M162" s="216"/>
    </row>
    <row r="163" spans="3:13" x14ac:dyDescent="0.25">
      <c r="M163" s="125"/>
    </row>
    <row r="165" spans="3:13" x14ac:dyDescent="0.25">
      <c r="C165" s="430" t="s">
        <v>552</v>
      </c>
      <c r="D165" s="430"/>
      <c r="E165" s="430"/>
      <c r="F165" s="430"/>
    </row>
    <row r="166" spans="3:13" x14ac:dyDescent="0.25">
      <c r="C166" s="478" t="s">
        <v>556</v>
      </c>
      <c r="D166" s="478"/>
      <c r="E166" s="478"/>
      <c r="F166" s="478"/>
    </row>
    <row r="167" spans="3:13" x14ac:dyDescent="0.25">
      <c r="C167" s="479" t="s">
        <v>557</v>
      </c>
      <c r="D167" s="479"/>
      <c r="E167" s="479"/>
      <c r="F167" s="479"/>
    </row>
  </sheetData>
  <mergeCells count="18">
    <mergeCell ref="A1:M1"/>
    <mergeCell ref="A2:M2"/>
    <mergeCell ref="A3:M3"/>
    <mergeCell ref="A159:M159"/>
    <mergeCell ref="A6:L6"/>
    <mergeCell ref="A7:L7"/>
    <mergeCell ref="A8:L8"/>
    <mergeCell ref="A9:L9"/>
    <mergeCell ref="A10:M10"/>
    <mergeCell ref="A156:J156"/>
    <mergeCell ref="K4:L4"/>
    <mergeCell ref="K5:L5"/>
    <mergeCell ref="A157:M157"/>
    <mergeCell ref="A158:J158"/>
    <mergeCell ref="K158:L158"/>
    <mergeCell ref="C165:F165"/>
    <mergeCell ref="C166:F166"/>
    <mergeCell ref="C167:F167"/>
  </mergeCells>
  <printOptions horizontalCentered="1" verticalCentered="1"/>
  <pageMargins left="0.11811023622047245" right="0.11811023622047245" top="0.78740157480314965" bottom="0.78740157480314965" header="0.31496062992125984" footer="0.31496062992125984"/>
  <pageSetup paperSize="8" scale="90" fitToHeight="0" orientation="landscape" r:id="rId1"/>
  <headerFooter>
    <oddFooter>&amp;C&amp;P de &amp;N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400-000000000000}">
          <x14:formula1>
            <xm:f>DMT!$B$26:$B$30</xm:f>
          </x14:formula1>
          <xm:sqref>N4:N5 K4:K5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80"/>
  <sheetViews>
    <sheetView workbookViewId="0">
      <selection activeCell="D31" sqref="D31"/>
    </sheetView>
  </sheetViews>
  <sheetFormatPr defaultRowHeight="15" x14ac:dyDescent="0.25"/>
  <cols>
    <col min="1" max="1" width="11" customWidth="1"/>
    <col min="2" max="2" width="42" customWidth="1"/>
    <col min="3" max="3" width="15.5703125" customWidth="1"/>
    <col min="4" max="4" width="19.140625" customWidth="1"/>
    <col min="5" max="5" width="13.7109375" style="117" customWidth="1"/>
    <col min="7" max="7" width="16.85546875" customWidth="1"/>
    <col min="8" max="8" width="18" customWidth="1"/>
  </cols>
  <sheetData>
    <row r="1" spans="1:8" x14ac:dyDescent="0.25">
      <c r="A1" s="428" t="s">
        <v>467</v>
      </c>
      <c r="B1" s="428"/>
    </row>
    <row r="2" spans="1:8" x14ac:dyDescent="0.25">
      <c r="D2" s="189" t="s">
        <v>384</v>
      </c>
      <c r="E2" s="190">
        <v>1518</v>
      </c>
    </row>
    <row r="3" spans="1:8" x14ac:dyDescent="0.25">
      <c r="D3" s="189" t="s">
        <v>385</v>
      </c>
      <c r="E3" s="187">
        <v>1.4892000000000001</v>
      </c>
    </row>
    <row r="4" spans="1:8" ht="30" x14ac:dyDescent="0.25">
      <c r="A4" s="94" t="s">
        <v>229</v>
      </c>
      <c r="B4" s="94" t="s">
        <v>230</v>
      </c>
      <c r="C4" s="95" t="s">
        <v>250</v>
      </c>
      <c r="D4" s="95" t="s">
        <v>251</v>
      </c>
      <c r="E4" s="95" t="s">
        <v>386</v>
      </c>
    </row>
    <row r="5" spans="1:8" x14ac:dyDescent="0.25">
      <c r="A5" s="443" t="s">
        <v>252</v>
      </c>
      <c r="B5" s="444"/>
      <c r="C5" s="444"/>
      <c r="D5" s="445"/>
      <c r="E5" s="157">
        <v>1.4892000000000001</v>
      </c>
    </row>
    <row r="6" spans="1:8" x14ac:dyDescent="0.25">
      <c r="A6" s="211">
        <v>200230</v>
      </c>
      <c r="B6" s="201" t="s">
        <v>256</v>
      </c>
      <c r="C6" s="202" t="s">
        <v>254</v>
      </c>
      <c r="D6" s="202"/>
      <c r="E6" s="203">
        <v>34.69</v>
      </c>
    </row>
    <row r="7" spans="1:8" x14ac:dyDescent="0.25">
      <c r="A7" s="212">
        <v>210040</v>
      </c>
      <c r="B7" s="204" t="s">
        <v>257</v>
      </c>
      <c r="C7" s="205" t="s">
        <v>254</v>
      </c>
      <c r="D7" s="205"/>
      <c r="E7" s="206">
        <v>28.68</v>
      </c>
    </row>
    <row r="8" spans="1:8" x14ac:dyDescent="0.25">
      <c r="A8" s="212">
        <v>200110</v>
      </c>
      <c r="B8" s="204" t="s">
        <v>258</v>
      </c>
      <c r="C8" s="205" t="s">
        <v>254</v>
      </c>
      <c r="D8" s="205"/>
      <c r="E8" s="206">
        <v>28.68</v>
      </c>
    </row>
    <row r="9" spans="1:8" x14ac:dyDescent="0.25">
      <c r="A9" s="212">
        <v>200210</v>
      </c>
      <c r="B9" s="204" t="s">
        <v>259</v>
      </c>
      <c r="C9" s="205" t="s">
        <v>254</v>
      </c>
      <c r="D9" s="205"/>
      <c r="E9" s="206">
        <v>26.1</v>
      </c>
    </row>
    <row r="10" spans="1:8" x14ac:dyDescent="0.25">
      <c r="A10" s="212">
        <v>200240</v>
      </c>
      <c r="B10" s="204" t="s">
        <v>260</v>
      </c>
      <c r="C10" s="205" t="s">
        <v>254</v>
      </c>
      <c r="D10" s="205"/>
      <c r="E10" s="206">
        <v>34.69</v>
      </c>
    </row>
    <row r="11" spans="1:8" x14ac:dyDescent="0.25">
      <c r="A11" s="212">
        <v>200311</v>
      </c>
      <c r="B11" s="204" t="s">
        <v>394</v>
      </c>
      <c r="C11" s="205" t="s">
        <v>254</v>
      </c>
      <c r="D11" s="205"/>
      <c r="E11" s="206">
        <v>28.68</v>
      </c>
    </row>
    <row r="12" spans="1:8" x14ac:dyDescent="0.25">
      <c r="A12" s="212">
        <v>210150</v>
      </c>
      <c r="B12" s="204" t="s">
        <v>261</v>
      </c>
      <c r="C12" s="205" t="s">
        <v>254</v>
      </c>
      <c r="D12" s="205"/>
      <c r="E12" s="206">
        <v>34.69</v>
      </c>
    </row>
    <row r="13" spans="1:8" x14ac:dyDescent="0.25">
      <c r="A13" s="212">
        <v>200150</v>
      </c>
      <c r="B13" s="204" t="s">
        <v>262</v>
      </c>
      <c r="C13" s="205" t="s">
        <v>254</v>
      </c>
      <c r="D13" s="205"/>
      <c r="E13" s="206">
        <v>60.11</v>
      </c>
      <c r="G13" s="164" t="s">
        <v>452</v>
      </c>
      <c r="H13" s="165"/>
    </row>
    <row r="14" spans="1:8" x14ac:dyDescent="0.25">
      <c r="A14" s="212">
        <v>200100</v>
      </c>
      <c r="B14" s="204" t="s">
        <v>263</v>
      </c>
      <c r="C14" s="205" t="s">
        <v>254</v>
      </c>
      <c r="D14" s="205"/>
      <c r="E14" s="206">
        <v>90.17</v>
      </c>
      <c r="G14" s="164" t="s">
        <v>453</v>
      </c>
      <c r="H14" s="165"/>
    </row>
    <row r="15" spans="1:8" x14ac:dyDescent="0.25">
      <c r="A15" s="212">
        <v>200000</v>
      </c>
      <c r="B15" s="204" t="s">
        <v>264</v>
      </c>
      <c r="C15" s="205" t="s">
        <v>254</v>
      </c>
      <c r="D15" s="205"/>
      <c r="E15" s="207">
        <v>136.37</v>
      </c>
      <c r="G15" s="166" t="s">
        <v>454</v>
      </c>
      <c r="H15" s="165"/>
    </row>
    <row r="16" spans="1:8" x14ac:dyDescent="0.25">
      <c r="A16" s="212">
        <v>200070</v>
      </c>
      <c r="B16" s="204" t="s">
        <v>265</v>
      </c>
      <c r="C16" s="205" t="s">
        <v>254</v>
      </c>
      <c r="D16" s="205"/>
      <c r="E16" s="206">
        <v>85.53</v>
      </c>
      <c r="G16" s="166" t="s">
        <v>455</v>
      </c>
      <c r="H16" s="165"/>
    </row>
    <row r="17" spans="1:8" x14ac:dyDescent="0.25">
      <c r="A17" s="212">
        <v>200080</v>
      </c>
      <c r="B17" s="204" t="s">
        <v>266</v>
      </c>
      <c r="C17" s="205" t="s">
        <v>254</v>
      </c>
      <c r="D17" s="205"/>
      <c r="E17" s="206">
        <v>85.53</v>
      </c>
      <c r="G17" s="166" t="s">
        <v>455</v>
      </c>
      <c r="H17" s="165"/>
    </row>
    <row r="18" spans="1:8" x14ac:dyDescent="0.25">
      <c r="A18" s="212">
        <v>200090</v>
      </c>
      <c r="B18" s="204" t="s">
        <v>267</v>
      </c>
      <c r="C18" s="205" t="s">
        <v>254</v>
      </c>
      <c r="D18" s="205"/>
      <c r="E18" s="206">
        <v>85.53</v>
      </c>
      <c r="G18" s="166" t="s">
        <v>455</v>
      </c>
      <c r="H18" s="165"/>
    </row>
    <row r="19" spans="1:8" x14ac:dyDescent="0.25">
      <c r="A19" s="212">
        <v>200200</v>
      </c>
      <c r="B19" s="204" t="s">
        <v>268</v>
      </c>
      <c r="C19" s="205" t="s">
        <v>254</v>
      </c>
      <c r="D19" s="205"/>
      <c r="E19" s="206">
        <v>28.68</v>
      </c>
    </row>
    <row r="20" spans="1:8" x14ac:dyDescent="0.25">
      <c r="A20" s="212">
        <v>200060</v>
      </c>
      <c r="B20" s="204" t="s">
        <v>269</v>
      </c>
      <c r="C20" s="205" t="s">
        <v>254</v>
      </c>
      <c r="D20" s="205"/>
      <c r="E20" s="206">
        <v>26.1</v>
      </c>
    </row>
    <row r="21" spans="1:8" x14ac:dyDescent="0.25">
      <c r="A21" s="212">
        <v>200290</v>
      </c>
      <c r="B21" s="204" t="s">
        <v>270</v>
      </c>
      <c r="C21" s="205" t="s">
        <v>254</v>
      </c>
      <c r="D21" s="205"/>
      <c r="E21" s="206">
        <v>28.68</v>
      </c>
    </row>
    <row r="22" spans="1:8" x14ac:dyDescent="0.25">
      <c r="A22" s="212">
        <v>200170</v>
      </c>
      <c r="B22" s="204" t="s">
        <v>271</v>
      </c>
      <c r="C22" s="205" t="s">
        <v>254</v>
      </c>
      <c r="D22" s="205"/>
      <c r="E22" s="206">
        <v>34.69</v>
      </c>
    </row>
    <row r="23" spans="1:8" x14ac:dyDescent="0.25">
      <c r="A23" s="212">
        <v>200140</v>
      </c>
      <c r="B23" s="204" t="s">
        <v>272</v>
      </c>
      <c r="C23" s="205" t="s">
        <v>254</v>
      </c>
      <c r="D23" s="205"/>
      <c r="E23" s="206">
        <v>26.1</v>
      </c>
    </row>
    <row r="24" spans="1:8" x14ac:dyDescent="0.25">
      <c r="A24" s="212">
        <v>200180</v>
      </c>
      <c r="B24" s="204" t="s">
        <v>273</v>
      </c>
      <c r="C24" s="205" t="s">
        <v>254</v>
      </c>
      <c r="D24" s="205"/>
      <c r="E24" s="206">
        <v>28.68</v>
      </c>
    </row>
    <row r="25" spans="1:8" x14ac:dyDescent="0.25">
      <c r="A25" s="212">
        <v>210020</v>
      </c>
      <c r="B25" s="204" t="s">
        <v>274</v>
      </c>
      <c r="C25" s="205" t="s">
        <v>254</v>
      </c>
      <c r="D25" s="205"/>
      <c r="E25" s="206">
        <v>34.69</v>
      </c>
    </row>
    <row r="26" spans="1:8" x14ac:dyDescent="0.25">
      <c r="A26" s="212">
        <v>200120</v>
      </c>
      <c r="B26" s="204" t="s">
        <v>275</v>
      </c>
      <c r="C26" s="205" t="s">
        <v>254</v>
      </c>
      <c r="D26" s="205"/>
      <c r="E26" s="206">
        <v>28.68</v>
      </c>
    </row>
    <row r="27" spans="1:8" x14ac:dyDescent="0.25">
      <c r="A27" s="212">
        <v>210050</v>
      </c>
      <c r="B27" s="204" t="s">
        <v>276</v>
      </c>
      <c r="C27" s="205" t="s">
        <v>254</v>
      </c>
      <c r="D27" s="205"/>
      <c r="E27" s="206">
        <v>34.69</v>
      </c>
    </row>
    <row r="28" spans="1:8" x14ac:dyDescent="0.25">
      <c r="A28" s="212">
        <v>200160</v>
      </c>
      <c r="B28" s="204" t="s">
        <v>277</v>
      </c>
      <c r="C28" s="205" t="s">
        <v>254</v>
      </c>
      <c r="D28" s="205"/>
      <c r="E28" s="206">
        <v>26.1</v>
      </c>
    </row>
    <row r="29" spans="1:8" x14ac:dyDescent="0.25">
      <c r="A29" s="212">
        <v>200260</v>
      </c>
      <c r="B29" s="204" t="s">
        <v>278</v>
      </c>
      <c r="C29" s="205" t="s">
        <v>254</v>
      </c>
      <c r="D29" s="205"/>
      <c r="E29" s="206">
        <v>34.69</v>
      </c>
    </row>
    <row r="30" spans="1:8" x14ac:dyDescent="0.25">
      <c r="A30" s="212">
        <v>200270</v>
      </c>
      <c r="B30" s="204" t="s">
        <v>279</v>
      </c>
      <c r="C30" s="205" t="s">
        <v>254</v>
      </c>
      <c r="D30" s="205"/>
      <c r="E30" s="206">
        <v>34.69</v>
      </c>
    </row>
    <row r="31" spans="1:8" x14ac:dyDescent="0.25">
      <c r="A31" s="212">
        <v>210070</v>
      </c>
      <c r="B31" s="204" t="s">
        <v>280</v>
      </c>
      <c r="C31" s="205" t="s">
        <v>254</v>
      </c>
      <c r="D31" s="205"/>
      <c r="E31" s="206">
        <v>34.69</v>
      </c>
    </row>
    <row r="32" spans="1:8" x14ac:dyDescent="0.25">
      <c r="A32" s="212">
        <v>210090</v>
      </c>
      <c r="B32" s="204" t="s">
        <v>281</v>
      </c>
      <c r="C32" s="205" t="s">
        <v>254</v>
      </c>
      <c r="D32" s="205"/>
      <c r="E32" s="206">
        <v>34.69</v>
      </c>
    </row>
    <row r="33" spans="1:8" x14ac:dyDescent="0.25">
      <c r="A33" s="212">
        <v>200130</v>
      </c>
      <c r="B33" s="204" t="s">
        <v>282</v>
      </c>
      <c r="C33" s="205" t="s">
        <v>254</v>
      </c>
      <c r="D33" s="205"/>
      <c r="E33" s="206">
        <v>25.41</v>
      </c>
    </row>
    <row r="34" spans="1:8" x14ac:dyDescent="0.25">
      <c r="A34" s="212">
        <v>200280</v>
      </c>
      <c r="B34" s="204" t="s">
        <v>283</v>
      </c>
      <c r="C34" s="205" t="s">
        <v>254</v>
      </c>
      <c r="D34" s="205"/>
      <c r="E34" s="206">
        <v>34.69</v>
      </c>
    </row>
    <row r="35" spans="1:8" x14ac:dyDescent="0.25">
      <c r="A35" s="212">
        <v>210060</v>
      </c>
      <c r="B35" s="204" t="s">
        <v>396</v>
      </c>
      <c r="C35" s="205" t="s">
        <v>254</v>
      </c>
      <c r="D35" s="205"/>
      <c r="E35" s="206">
        <v>44.99</v>
      </c>
    </row>
    <row r="36" spans="1:8" x14ac:dyDescent="0.25">
      <c r="A36" s="212">
        <v>200250</v>
      </c>
      <c r="B36" s="204" t="s">
        <v>395</v>
      </c>
      <c r="C36" s="205" t="s">
        <v>254</v>
      </c>
      <c r="D36" s="205"/>
      <c r="E36" s="206">
        <v>40.700000000000003</v>
      </c>
    </row>
    <row r="37" spans="1:8" x14ac:dyDescent="0.25">
      <c r="A37" s="213">
        <v>210080</v>
      </c>
      <c r="B37" s="208" t="s">
        <v>284</v>
      </c>
      <c r="C37" s="209" t="s">
        <v>254</v>
      </c>
      <c r="D37" s="209"/>
      <c r="E37" s="210">
        <v>39.33</v>
      </c>
    </row>
    <row r="38" spans="1:8" x14ac:dyDescent="0.25">
      <c r="A38" s="446" t="s">
        <v>285</v>
      </c>
      <c r="B38" s="447"/>
      <c r="C38" s="447"/>
      <c r="D38" s="447"/>
      <c r="E38" s="157">
        <v>0.98509999999999998</v>
      </c>
    </row>
    <row r="39" spans="1:8" x14ac:dyDescent="0.25">
      <c r="A39" s="99" t="s">
        <v>286</v>
      </c>
      <c r="B39" s="96" t="s">
        <v>287</v>
      </c>
      <c r="C39" s="97" t="s">
        <v>288</v>
      </c>
      <c r="D39" s="97"/>
      <c r="E39" s="141">
        <f>TRUNC((15.3*$E$2)*1.9851,2)</f>
        <v>46104.74</v>
      </c>
      <c r="H39" s="156"/>
    </row>
    <row r="40" spans="1:8" x14ac:dyDescent="0.25">
      <c r="A40" s="100" t="s">
        <v>289</v>
      </c>
      <c r="B40" s="69" t="s">
        <v>290</v>
      </c>
      <c r="C40" s="98" t="s">
        <v>288</v>
      </c>
      <c r="D40" s="97"/>
      <c r="E40" s="141">
        <f>TRUNC((11.1*$E$2)*1.9851,2)</f>
        <v>33448.53</v>
      </c>
    </row>
    <row r="41" spans="1:8" x14ac:dyDescent="0.25">
      <c r="A41" s="100" t="s">
        <v>291</v>
      </c>
      <c r="B41" s="69" t="s">
        <v>397</v>
      </c>
      <c r="C41" s="98" t="s">
        <v>288</v>
      </c>
      <c r="D41" s="97"/>
      <c r="E41" s="141">
        <f>TRUNC((8.5*$E$2)*1.9851,2)</f>
        <v>25613.74</v>
      </c>
    </row>
    <row r="42" spans="1:8" x14ac:dyDescent="0.25">
      <c r="A42" s="100" t="s">
        <v>292</v>
      </c>
      <c r="B42" s="69" t="s">
        <v>293</v>
      </c>
      <c r="C42" s="98" t="s">
        <v>288</v>
      </c>
      <c r="D42" s="97"/>
      <c r="E42" s="141">
        <f>TRUNC((2.6*$E$2)*1.9851,2)</f>
        <v>7834.79</v>
      </c>
    </row>
    <row r="43" spans="1:8" x14ac:dyDescent="0.25">
      <c r="A43" s="100" t="s">
        <v>294</v>
      </c>
      <c r="B43" s="69" t="s">
        <v>295</v>
      </c>
      <c r="C43" s="98" t="s">
        <v>288</v>
      </c>
      <c r="D43" s="97"/>
      <c r="E43" s="141">
        <f>TRUNC((2.6*$E$2)*1.9851,2)</f>
        <v>7834.79</v>
      </c>
    </row>
    <row r="44" spans="1:8" x14ac:dyDescent="0.25">
      <c r="A44" s="100" t="s">
        <v>296</v>
      </c>
      <c r="B44" s="69" t="s">
        <v>398</v>
      </c>
      <c r="C44" s="98" t="s">
        <v>288</v>
      </c>
      <c r="D44" s="97"/>
      <c r="E44" s="141">
        <f>TRUNC((8.5*$E$2)*1.9851,2)</f>
        <v>25613.74</v>
      </c>
    </row>
    <row r="45" spans="1:8" x14ac:dyDescent="0.25">
      <c r="A45" s="100" t="s">
        <v>297</v>
      </c>
      <c r="B45" s="69" t="s">
        <v>298</v>
      </c>
      <c r="C45" s="98" t="s">
        <v>288</v>
      </c>
      <c r="D45" s="97"/>
      <c r="E45" s="141">
        <f>TRUNC((3.4*$E$2)*1.9851,2)</f>
        <v>10245.49</v>
      </c>
    </row>
    <row r="46" spans="1:8" x14ac:dyDescent="0.25">
      <c r="A46" s="100" t="s">
        <v>299</v>
      </c>
      <c r="B46" s="69" t="s">
        <v>300</v>
      </c>
      <c r="C46" s="98" t="s">
        <v>288</v>
      </c>
      <c r="D46" s="97"/>
      <c r="E46" s="141">
        <f>TRUNC((9.4*$E$2)*1.9851,2)</f>
        <v>28325.78</v>
      </c>
    </row>
    <row r="47" spans="1:8" x14ac:dyDescent="0.25">
      <c r="A47" s="100" t="s">
        <v>301</v>
      </c>
      <c r="B47" s="69" t="s">
        <v>302</v>
      </c>
      <c r="C47" s="98" t="s">
        <v>288</v>
      </c>
      <c r="D47" s="97"/>
      <c r="E47" s="141">
        <f>TRUNC((8.5*$E$2)*1.9851,2)</f>
        <v>25613.74</v>
      </c>
    </row>
    <row r="48" spans="1:8" x14ac:dyDescent="0.25">
      <c r="A48" s="100" t="s">
        <v>303</v>
      </c>
      <c r="B48" s="69" t="s">
        <v>304</v>
      </c>
      <c r="C48" s="98" t="s">
        <v>288</v>
      </c>
      <c r="D48" s="97"/>
      <c r="E48" s="141">
        <f>TRUNC((2.6*$E$2)*1.9851,2)</f>
        <v>7834.79</v>
      </c>
    </row>
    <row r="49" spans="1:5" x14ac:dyDescent="0.25">
      <c r="A49" s="100" t="s">
        <v>305</v>
      </c>
      <c r="B49" s="69" t="s">
        <v>284</v>
      </c>
      <c r="C49" s="98" t="s">
        <v>288</v>
      </c>
      <c r="D49" s="97"/>
      <c r="E49" s="141">
        <f>TRUNC((2.6*$E$2)*1.9851,2)</f>
        <v>7834.79</v>
      </c>
    </row>
    <row r="50" spans="1:5" x14ac:dyDescent="0.25">
      <c r="A50" s="100" t="s">
        <v>306</v>
      </c>
      <c r="B50" s="69" t="s">
        <v>307</v>
      </c>
      <c r="C50" s="98" t="s">
        <v>288</v>
      </c>
      <c r="D50" s="97"/>
      <c r="E50" s="141">
        <f>TRUNC((1.79*$E$2)*1.9851,2)</f>
        <v>5393.95</v>
      </c>
    </row>
    <row r="51" spans="1:5" x14ac:dyDescent="0.25">
      <c r="A51" s="100" t="s">
        <v>308</v>
      </c>
      <c r="B51" s="69" t="s">
        <v>309</v>
      </c>
      <c r="C51" s="98" t="s">
        <v>288</v>
      </c>
      <c r="D51" s="97"/>
      <c r="E51" s="141">
        <f>TRUNC((2.6*$E$2)*1.9851,2)</f>
        <v>7834.79</v>
      </c>
    </row>
    <row r="52" spans="1:5" x14ac:dyDescent="0.25">
      <c r="A52" s="100" t="s">
        <v>310</v>
      </c>
      <c r="B52" s="69" t="s">
        <v>311</v>
      </c>
      <c r="C52" s="98" t="s">
        <v>288</v>
      </c>
      <c r="D52" s="97"/>
      <c r="E52" s="167">
        <f>TRUNC((1.8*$E$2)*1.9851,2)</f>
        <v>5424.08</v>
      </c>
    </row>
    <row r="53" spans="1:5" x14ac:dyDescent="0.25">
      <c r="A53" s="100" t="s">
        <v>312</v>
      </c>
      <c r="B53" s="69" t="s">
        <v>313</v>
      </c>
      <c r="C53" s="98" t="s">
        <v>288</v>
      </c>
      <c r="D53" s="97"/>
      <c r="E53" s="141">
        <f>TRUNC((5.1*$E$2)*1.9851,2)</f>
        <v>15368.24</v>
      </c>
    </row>
    <row r="54" spans="1:5" x14ac:dyDescent="0.25">
      <c r="A54" s="100" t="s">
        <v>314</v>
      </c>
      <c r="B54" s="69" t="s">
        <v>315</v>
      </c>
      <c r="C54" s="98" t="s">
        <v>288</v>
      </c>
      <c r="D54" s="97"/>
      <c r="E54" s="141">
        <f>TRUNC((3.4*$E$2)*1.9851,2)</f>
        <v>10245.49</v>
      </c>
    </row>
    <row r="55" spans="1:5" x14ac:dyDescent="0.25">
      <c r="A55" s="100" t="s">
        <v>316</v>
      </c>
      <c r="B55" s="69" t="s">
        <v>253</v>
      </c>
      <c r="C55" s="98" t="s">
        <v>288</v>
      </c>
      <c r="D55" s="97"/>
      <c r="E55" s="141">
        <f>TRUNC((1.7*$E$2)*1.9851,2)</f>
        <v>5122.74</v>
      </c>
    </row>
    <row r="56" spans="1:5" x14ac:dyDescent="0.25">
      <c r="A56" s="100" t="s">
        <v>317</v>
      </c>
      <c r="B56" s="69" t="s">
        <v>318</v>
      </c>
      <c r="C56" s="98" t="s">
        <v>288</v>
      </c>
      <c r="D56" s="97"/>
      <c r="E56" s="141">
        <f>TRUNC((1.7*$E$2)*1.9851,2)</f>
        <v>5122.74</v>
      </c>
    </row>
    <row r="57" spans="1:5" x14ac:dyDescent="0.25">
      <c r="A57" s="100" t="s">
        <v>319</v>
      </c>
      <c r="B57" s="69" t="s">
        <v>320</v>
      </c>
      <c r="C57" s="98" t="s">
        <v>288</v>
      </c>
      <c r="D57" s="97"/>
      <c r="E57" s="141">
        <f>TRUNC((4.3*$E$2)*1.9851,2)</f>
        <v>12957.54</v>
      </c>
    </row>
    <row r="58" spans="1:5" x14ac:dyDescent="0.25">
      <c r="A58" s="100" t="s">
        <v>321</v>
      </c>
      <c r="B58" s="69" t="s">
        <v>322</v>
      </c>
      <c r="C58" s="98" t="s">
        <v>288</v>
      </c>
      <c r="D58" s="97"/>
      <c r="E58" s="141">
        <f>TRUNC((2.6*$E$2)*1.9851,2)</f>
        <v>7834.79</v>
      </c>
    </row>
    <row r="59" spans="1:5" x14ac:dyDescent="0.25">
      <c r="A59" s="100" t="s">
        <v>323</v>
      </c>
      <c r="B59" s="69" t="s">
        <v>324</v>
      </c>
      <c r="C59" s="98" t="s">
        <v>288</v>
      </c>
      <c r="D59" s="97"/>
      <c r="E59" s="141">
        <f t="shared" ref="E59:E64" si="0">TRUNC((1.7*$E$2)*1.9851,2)</f>
        <v>5122.74</v>
      </c>
    </row>
    <row r="60" spans="1:5" x14ac:dyDescent="0.25">
      <c r="A60" s="100" t="s">
        <v>325</v>
      </c>
      <c r="B60" s="69" t="s">
        <v>326</v>
      </c>
      <c r="C60" s="98" t="s">
        <v>288</v>
      </c>
      <c r="D60" s="97"/>
      <c r="E60" s="141">
        <f t="shared" si="0"/>
        <v>5122.74</v>
      </c>
    </row>
    <row r="61" spans="1:5" x14ac:dyDescent="0.25">
      <c r="A61" s="100" t="s">
        <v>327</v>
      </c>
      <c r="B61" s="69" t="s">
        <v>328</v>
      </c>
      <c r="C61" s="98" t="s">
        <v>288</v>
      </c>
      <c r="D61" s="97"/>
      <c r="E61" s="141">
        <f t="shared" si="0"/>
        <v>5122.74</v>
      </c>
    </row>
    <row r="62" spans="1:5" x14ac:dyDescent="0.25">
      <c r="A62" s="100" t="s">
        <v>329</v>
      </c>
      <c r="B62" s="69" t="s">
        <v>330</v>
      </c>
      <c r="C62" s="98" t="s">
        <v>288</v>
      </c>
      <c r="D62" s="97"/>
      <c r="E62" s="141">
        <f t="shared" si="0"/>
        <v>5122.74</v>
      </c>
    </row>
    <row r="63" spans="1:5" x14ac:dyDescent="0.25">
      <c r="A63" s="100" t="s">
        <v>331</v>
      </c>
      <c r="B63" s="69" t="s">
        <v>332</v>
      </c>
      <c r="C63" s="98" t="s">
        <v>288</v>
      </c>
      <c r="D63" s="97"/>
      <c r="E63" s="141">
        <f t="shared" si="0"/>
        <v>5122.74</v>
      </c>
    </row>
    <row r="64" spans="1:5" x14ac:dyDescent="0.25">
      <c r="A64" s="100" t="s">
        <v>399</v>
      </c>
      <c r="B64" s="69" t="s">
        <v>282</v>
      </c>
      <c r="C64" s="98" t="s">
        <v>288</v>
      </c>
      <c r="D64" s="97"/>
      <c r="E64" s="141">
        <f t="shared" si="0"/>
        <v>5122.74</v>
      </c>
    </row>
    <row r="65" spans="1:5" x14ac:dyDescent="0.25">
      <c r="A65" s="100" t="s">
        <v>400</v>
      </c>
      <c r="B65" s="69" t="s">
        <v>261</v>
      </c>
      <c r="C65" s="98" t="s">
        <v>288</v>
      </c>
      <c r="D65" s="97"/>
      <c r="E65" s="141">
        <f>TRUNC((2.6*$E$2)*1.9851,2)</f>
        <v>7834.79</v>
      </c>
    </row>
    <row r="66" spans="1:5" x14ac:dyDescent="0.25">
      <c r="A66" s="100" t="s">
        <v>442</v>
      </c>
      <c r="B66" s="69" t="s">
        <v>260</v>
      </c>
      <c r="C66" s="98" t="s">
        <v>288</v>
      </c>
      <c r="D66" s="97"/>
      <c r="E66" s="141">
        <f>TRUNC((2.6*$E$2)*1.9851,2)</f>
        <v>7834.79</v>
      </c>
    </row>
    <row r="68" spans="1:5" x14ac:dyDescent="0.25">
      <c r="B68" s="101" t="s">
        <v>251</v>
      </c>
    </row>
    <row r="69" spans="1:5" x14ac:dyDescent="0.25">
      <c r="B69" s="102" t="s">
        <v>333</v>
      </c>
    </row>
    <row r="70" spans="1:5" x14ac:dyDescent="0.25">
      <c r="B70" s="102" t="s">
        <v>255</v>
      </c>
    </row>
    <row r="72" spans="1:5" x14ac:dyDescent="0.25">
      <c r="B72" s="101" t="s">
        <v>334</v>
      </c>
      <c r="C72" s="101" t="s">
        <v>335</v>
      </c>
    </row>
    <row r="73" spans="1:5" x14ac:dyDescent="0.25">
      <c r="A73" s="1" t="s">
        <v>336</v>
      </c>
      <c r="B73" s="102" t="s">
        <v>337</v>
      </c>
      <c r="C73" s="103">
        <v>0</v>
      </c>
    </row>
    <row r="74" spans="1:5" x14ac:dyDescent="0.25">
      <c r="A74" s="1" t="s">
        <v>336</v>
      </c>
      <c r="B74" s="102" t="s">
        <v>338</v>
      </c>
      <c r="C74" s="103">
        <v>0</v>
      </c>
    </row>
    <row r="75" spans="1:5" x14ac:dyDescent="0.25">
      <c r="A75" s="1" t="s">
        <v>336</v>
      </c>
      <c r="B75" s="102" t="s">
        <v>339</v>
      </c>
      <c r="C75" s="103">
        <v>0</v>
      </c>
    </row>
    <row r="76" spans="1:5" x14ac:dyDescent="0.25">
      <c r="A76" s="1" t="s">
        <v>336</v>
      </c>
      <c r="B76" s="102" t="s">
        <v>340</v>
      </c>
      <c r="C76" s="103">
        <v>0</v>
      </c>
    </row>
    <row r="77" spans="1:5" x14ac:dyDescent="0.25">
      <c r="A77" s="1" t="s">
        <v>341</v>
      </c>
      <c r="B77" s="102" t="s">
        <v>342</v>
      </c>
      <c r="C77" s="104"/>
    </row>
    <row r="78" spans="1:5" x14ac:dyDescent="0.25">
      <c r="A78" s="1" t="s">
        <v>341</v>
      </c>
      <c r="B78" s="102" t="s">
        <v>343</v>
      </c>
      <c r="C78" s="104"/>
    </row>
    <row r="79" spans="1:5" x14ac:dyDescent="0.25">
      <c r="A79" s="1" t="s">
        <v>341</v>
      </c>
      <c r="B79" s="102" t="s">
        <v>344</v>
      </c>
      <c r="C79" s="104"/>
    </row>
    <row r="80" spans="1:5" x14ac:dyDescent="0.25">
      <c r="A80" s="1" t="s">
        <v>341</v>
      </c>
      <c r="B80" s="102" t="s">
        <v>345</v>
      </c>
      <c r="C80" s="104"/>
    </row>
  </sheetData>
  <mergeCells count="3">
    <mergeCell ref="A1:B1"/>
    <mergeCell ref="A5:D5"/>
    <mergeCell ref="A38:D38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1"/>
  </sheetPr>
  <dimension ref="A1:AMJ92"/>
  <sheetViews>
    <sheetView showGridLines="0" zoomScale="90" zoomScaleNormal="90" workbookViewId="0">
      <selection activeCell="E10" sqref="E10:E37"/>
    </sheetView>
  </sheetViews>
  <sheetFormatPr defaultColWidth="9.140625" defaultRowHeight="15" x14ac:dyDescent="0.25"/>
  <cols>
    <col min="1" max="1" width="10.28515625" style="75" customWidth="1"/>
    <col min="2" max="2" width="40" style="75" customWidth="1"/>
    <col min="3" max="3" width="10.5703125" style="75" bestFit="1" customWidth="1"/>
    <col min="4" max="4" width="12.7109375" style="75" customWidth="1"/>
    <col min="5" max="5" width="15.42578125" style="75" customWidth="1"/>
    <col min="6" max="6" width="16.28515625" style="75" customWidth="1"/>
    <col min="7" max="7" width="15.85546875" style="75" customWidth="1"/>
    <col min="8" max="8" width="13.28515625" style="75" bestFit="1" customWidth="1"/>
    <col min="9" max="9" width="15.85546875" style="75" bestFit="1" customWidth="1"/>
    <col min="10" max="10" width="16" style="75" bestFit="1" customWidth="1"/>
    <col min="11" max="11" width="17.42578125" style="75" customWidth="1"/>
    <col min="12" max="12" width="15.7109375" style="75" bestFit="1" customWidth="1"/>
    <col min="13" max="13" width="15.28515625" style="75" customWidth="1"/>
    <col min="14" max="14" width="7.85546875" style="75" customWidth="1"/>
    <col min="15" max="1024" width="9.140625" style="75"/>
    <col min="1025" max="16384" width="9.140625" style="88"/>
  </cols>
  <sheetData>
    <row r="1" spans="1:14" ht="27.75" x14ac:dyDescent="0.25">
      <c r="A1" s="449" t="str">
        <f>MD_EQ!A1</f>
        <v>TRECHO - Pavimentação e Recape Asfáltico da Avenida Guadalajara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1"/>
      <c r="N1" s="76"/>
    </row>
    <row r="2" spans="1:14" ht="23.25" x14ac:dyDescent="0.25">
      <c r="A2" s="452" t="str">
        <f>MD_EQ!A2</f>
        <v>GUAPIRAMA/PR</v>
      </c>
      <c r="B2" s="453"/>
      <c r="C2" s="453"/>
      <c r="D2" s="453"/>
      <c r="E2" s="453"/>
      <c r="F2" s="453"/>
      <c r="G2" s="453"/>
      <c r="H2" s="453"/>
      <c r="I2" s="453"/>
      <c r="J2" s="453"/>
      <c r="K2" s="453"/>
      <c r="L2" s="454"/>
    </row>
    <row r="3" spans="1:14" s="75" customFormat="1" ht="15" customHeight="1" x14ac:dyDescent="0.25">
      <c r="A3" s="433" t="s">
        <v>469</v>
      </c>
      <c r="B3" s="434"/>
      <c r="C3" s="434"/>
      <c r="D3" s="434"/>
      <c r="E3" s="434"/>
      <c r="F3" s="434"/>
      <c r="G3" s="434"/>
      <c r="H3" s="434"/>
      <c r="I3" s="434"/>
      <c r="J3" s="434"/>
      <c r="K3" s="434"/>
      <c r="L3" s="435"/>
    </row>
    <row r="4" spans="1:14" x14ac:dyDescent="0.25">
      <c r="A4" s="437" t="s">
        <v>226</v>
      </c>
      <c r="B4" s="437"/>
      <c r="C4" s="437"/>
      <c r="D4" s="437"/>
      <c r="E4" s="437"/>
      <c r="F4" s="437"/>
      <c r="G4" s="437"/>
      <c r="H4" s="437"/>
      <c r="I4" s="437"/>
      <c r="J4" s="437"/>
      <c r="K4" s="437"/>
      <c r="L4" s="137">
        <v>10</v>
      </c>
    </row>
    <row r="5" spans="1:14" x14ac:dyDescent="0.25">
      <c r="A5" s="437" t="s">
        <v>227</v>
      </c>
      <c r="B5" s="437"/>
      <c r="C5" s="437"/>
      <c r="D5" s="437"/>
      <c r="E5" s="437"/>
      <c r="F5" s="437"/>
      <c r="G5" s="437"/>
      <c r="H5" s="437"/>
      <c r="I5" s="437"/>
      <c r="J5" s="437"/>
      <c r="K5" s="437"/>
      <c r="L5" s="77">
        <v>182.49</v>
      </c>
    </row>
    <row r="6" spans="1:14" x14ac:dyDescent="0.25">
      <c r="A6" s="437" t="s">
        <v>346</v>
      </c>
      <c r="B6" s="437"/>
      <c r="C6" s="437"/>
      <c r="D6" s="437"/>
      <c r="E6" s="437"/>
      <c r="F6" s="437"/>
      <c r="G6" s="437"/>
      <c r="H6" s="437"/>
      <c r="I6" s="437"/>
      <c r="J6" s="437"/>
      <c r="K6" s="437"/>
      <c r="L6" s="77">
        <v>1</v>
      </c>
    </row>
    <row r="7" spans="1:14" s="75" customFormat="1" ht="15" customHeight="1" x14ac:dyDescent="0.25">
      <c r="A7" s="448"/>
      <c r="B7" s="448"/>
      <c r="C7" s="448"/>
      <c r="D7" s="448"/>
      <c r="E7" s="448"/>
      <c r="F7" s="448"/>
      <c r="G7" s="448"/>
      <c r="H7" s="448"/>
      <c r="I7" s="448"/>
      <c r="J7" s="448"/>
      <c r="K7" s="448"/>
      <c r="L7" s="448"/>
    </row>
    <row r="8" spans="1:14" s="75" customFormat="1" ht="20.100000000000001" customHeight="1" x14ac:dyDescent="0.25">
      <c r="A8" s="438" t="s">
        <v>347</v>
      </c>
      <c r="B8" s="438"/>
      <c r="C8" s="438"/>
      <c r="D8" s="438"/>
      <c r="E8" s="438"/>
      <c r="F8" s="438"/>
      <c r="G8" s="438"/>
      <c r="H8" s="438"/>
      <c r="I8" s="438"/>
      <c r="J8" s="438"/>
      <c r="K8" s="438"/>
      <c r="L8" s="438"/>
    </row>
    <row r="9" spans="1:14" s="75" customFormat="1" ht="44.25" customHeight="1" x14ac:dyDescent="0.25">
      <c r="A9" s="78" t="s">
        <v>229</v>
      </c>
      <c r="B9" s="78" t="s">
        <v>230</v>
      </c>
      <c r="C9" s="105" t="s">
        <v>250</v>
      </c>
      <c r="D9" s="105" t="s">
        <v>251</v>
      </c>
      <c r="E9" s="89" t="s">
        <v>348</v>
      </c>
      <c r="F9" s="89" t="s">
        <v>239</v>
      </c>
      <c r="G9" s="78" t="s">
        <v>231</v>
      </c>
      <c r="H9" s="78" t="s">
        <v>349</v>
      </c>
      <c r="I9" s="79" t="s">
        <v>350</v>
      </c>
      <c r="J9" s="79" t="s">
        <v>334</v>
      </c>
      <c r="K9" s="79" t="s">
        <v>351</v>
      </c>
      <c r="L9" s="79" t="s">
        <v>236</v>
      </c>
    </row>
    <row r="10" spans="1:14" s="75" customFormat="1" ht="14.25" x14ac:dyDescent="0.2">
      <c r="A10" s="100" t="s">
        <v>286</v>
      </c>
      <c r="B10" s="69" t="str">
        <f>VLOOKUP(A10,MO!$A:$C,2,0)</f>
        <v>Engenheiro Chefe</v>
      </c>
      <c r="C10" s="98" t="str">
        <f>VLOOKUP(A10,MO!$A:$C,3,0)</f>
        <v>mês</v>
      </c>
      <c r="D10" s="98">
        <f>VLOOKUP(A10,MO!$A:$D,4,0)</f>
        <v>0</v>
      </c>
      <c r="E10" s="92"/>
      <c r="F10" s="92"/>
      <c r="G10" s="80">
        <f>ROUNDUP(IF(C10="mês",E10,(F10/($L$4*$L$5))),0)</f>
        <v>0</v>
      </c>
      <c r="H10" s="81"/>
      <c r="I10" s="106"/>
      <c r="J10" s="107"/>
      <c r="K10" s="83"/>
      <c r="L10" s="84"/>
    </row>
    <row r="11" spans="1:14" s="75" customFormat="1" ht="14.25" x14ac:dyDescent="0.2">
      <c r="A11" s="100" t="s">
        <v>289</v>
      </c>
      <c r="B11" s="69" t="str">
        <f>VLOOKUP(A11,MO!$A:$C,2,0)</f>
        <v>Engenheiro Pleno</v>
      </c>
      <c r="C11" s="98" t="str">
        <f>VLOOKUP(A11,MO!$A:$C,3,0)</f>
        <v>mês</v>
      </c>
      <c r="D11" s="98">
        <f>VLOOKUP(A11,MO!$A:$D,4,0)</f>
        <v>0</v>
      </c>
      <c r="E11" s="92"/>
      <c r="F11" s="92"/>
      <c r="G11" s="80">
        <f t="shared" ref="G11:G68" si="0">ROUNDUP(IF(C11="mês",E11,(F11/($L$4*$L$5))),0)</f>
        <v>0</v>
      </c>
      <c r="H11" s="81"/>
      <c r="I11" s="106"/>
      <c r="J11" s="107"/>
      <c r="K11" s="83"/>
      <c r="L11" s="84"/>
    </row>
    <row r="12" spans="1:14" s="75" customFormat="1" ht="14.25" x14ac:dyDescent="0.2">
      <c r="A12" s="100" t="s">
        <v>291</v>
      </c>
      <c r="B12" s="69" t="str">
        <f>VLOOKUP(A12,MO!$A:$C,2,0)</f>
        <v>Engenheiro Auxiliar</v>
      </c>
      <c r="C12" s="98" t="str">
        <f>VLOOKUP(A12,MO!$A:$C,3,0)</f>
        <v>mês</v>
      </c>
      <c r="D12" s="98">
        <f>VLOOKUP(A12,MO!$A:$D,4,0)</f>
        <v>0</v>
      </c>
      <c r="E12" s="92">
        <v>1</v>
      </c>
      <c r="F12" s="92"/>
      <c r="G12" s="80">
        <f t="shared" si="0"/>
        <v>1</v>
      </c>
      <c r="H12" s="81"/>
      <c r="I12" s="106"/>
      <c r="J12" s="107"/>
      <c r="K12" s="83"/>
      <c r="L12" s="84"/>
    </row>
    <row r="13" spans="1:14" s="75" customFormat="1" ht="14.25" x14ac:dyDescent="0.2">
      <c r="A13" s="100" t="s">
        <v>292</v>
      </c>
      <c r="B13" s="69" t="str">
        <f>VLOOKUP(A13,MO!$A:$C,2,0)</f>
        <v>Técnico Nível Médio Estradas</v>
      </c>
      <c r="C13" s="98" t="str">
        <f>VLOOKUP(A13,MO!$A:$C,3,0)</f>
        <v>mês</v>
      </c>
      <c r="D13" s="98">
        <f>VLOOKUP(A13,MO!$A:$D,4,0)</f>
        <v>0</v>
      </c>
      <c r="E13" s="92">
        <v>1</v>
      </c>
      <c r="F13" s="92"/>
      <c r="G13" s="80">
        <f t="shared" si="0"/>
        <v>1</v>
      </c>
      <c r="H13" s="81"/>
      <c r="I13" s="106"/>
      <c r="J13" s="107"/>
      <c r="K13" s="83"/>
      <c r="L13" s="84"/>
    </row>
    <row r="14" spans="1:14" s="75" customFormat="1" ht="14.25" x14ac:dyDescent="0.2">
      <c r="A14" s="100" t="s">
        <v>294</v>
      </c>
      <c r="B14" s="69" t="str">
        <f>VLOOKUP(A14,MO!$A:$C,2,0)</f>
        <v>Desenhista</v>
      </c>
      <c r="C14" s="98" t="str">
        <f>VLOOKUP(A14,MO!$A:$C,3,0)</f>
        <v>mês</v>
      </c>
      <c r="D14" s="98">
        <f>VLOOKUP(A14,MO!$A:$D,4,0)</f>
        <v>0</v>
      </c>
      <c r="E14" s="92"/>
      <c r="F14" s="92"/>
      <c r="G14" s="80">
        <f t="shared" si="0"/>
        <v>0</v>
      </c>
      <c r="H14" s="81"/>
      <c r="I14" s="106"/>
      <c r="J14" s="107"/>
      <c r="K14" s="83"/>
      <c r="L14" s="84"/>
    </row>
    <row r="15" spans="1:14" s="75" customFormat="1" ht="14.25" x14ac:dyDescent="0.2">
      <c r="A15" s="100" t="s">
        <v>296</v>
      </c>
      <c r="B15" s="69" t="str">
        <f>VLOOKUP(A15,MO!$A:$C,2,0)</f>
        <v>Engenheiro em Meio Ambiente</v>
      </c>
      <c r="C15" s="98" t="str">
        <f>VLOOKUP(A15,MO!$A:$C,3,0)</f>
        <v>mês</v>
      </c>
      <c r="D15" s="98">
        <f>VLOOKUP(A15,MO!$A:$D,4,0)</f>
        <v>0</v>
      </c>
      <c r="E15" s="92"/>
      <c r="F15" s="92"/>
      <c r="G15" s="80">
        <f t="shared" si="0"/>
        <v>0</v>
      </c>
      <c r="H15" s="81"/>
      <c r="I15" s="106"/>
      <c r="J15" s="107"/>
      <c r="K15" s="83"/>
      <c r="L15" s="84"/>
    </row>
    <row r="16" spans="1:14" s="75" customFormat="1" ht="14.25" x14ac:dyDescent="0.2">
      <c r="A16" s="100" t="s">
        <v>297</v>
      </c>
      <c r="B16" s="69" t="str">
        <f>VLOOKUP(A16,MO!$A:$C,2,0)</f>
        <v>Técnico Especializado</v>
      </c>
      <c r="C16" s="98" t="str">
        <f>VLOOKUP(A16,MO!$A:$C,3,0)</f>
        <v>mês</v>
      </c>
      <c r="D16" s="98">
        <f>VLOOKUP(A16,MO!$A:$D,4,0)</f>
        <v>0</v>
      </c>
      <c r="E16" s="92"/>
      <c r="F16" s="92"/>
      <c r="G16" s="80">
        <f t="shared" si="0"/>
        <v>0</v>
      </c>
      <c r="H16" s="81"/>
      <c r="I16" s="106"/>
      <c r="J16" s="107"/>
      <c r="K16" s="83"/>
      <c r="L16" s="84"/>
    </row>
    <row r="17" spans="1:12" s="75" customFormat="1" ht="14.25" x14ac:dyDescent="0.2">
      <c r="A17" s="100" t="s">
        <v>299</v>
      </c>
      <c r="B17" s="69" t="str">
        <f>VLOOKUP(A17,MO!$A:$C,2,0)</f>
        <v>Engenheiro de Segurança do Trabalho</v>
      </c>
      <c r="C17" s="98" t="str">
        <f>VLOOKUP(A17,MO!$A:$C,3,0)</f>
        <v>mês</v>
      </c>
      <c r="D17" s="98">
        <f>VLOOKUP(A17,MO!$A:$D,4,0)</f>
        <v>0</v>
      </c>
      <c r="E17" s="92"/>
      <c r="F17" s="92"/>
      <c r="G17" s="80">
        <f t="shared" si="0"/>
        <v>0</v>
      </c>
      <c r="H17" s="81"/>
      <c r="I17" s="106"/>
      <c r="J17" s="107"/>
      <c r="K17" s="83"/>
      <c r="L17" s="84"/>
    </row>
    <row r="18" spans="1:12" s="75" customFormat="1" ht="14.25" x14ac:dyDescent="0.2">
      <c r="A18" s="100" t="s">
        <v>301</v>
      </c>
      <c r="B18" s="69" t="str">
        <f>VLOOKUP(A18,MO!$A:$C,2,0)</f>
        <v>Médico de Segurança do Trabalho</v>
      </c>
      <c r="C18" s="98" t="str">
        <f>VLOOKUP(A18,MO!$A:$C,3,0)</f>
        <v>mês</v>
      </c>
      <c r="D18" s="98">
        <f>VLOOKUP(A18,MO!$A:$D,4,0)</f>
        <v>0</v>
      </c>
      <c r="E18" s="92"/>
      <c r="F18" s="92"/>
      <c r="G18" s="80">
        <f t="shared" si="0"/>
        <v>0</v>
      </c>
      <c r="H18" s="81"/>
      <c r="I18" s="106"/>
      <c r="J18" s="107"/>
      <c r="K18" s="83"/>
      <c r="L18" s="84"/>
    </row>
    <row r="19" spans="1:12" s="75" customFormat="1" ht="14.25" x14ac:dyDescent="0.2">
      <c r="A19" s="100" t="s">
        <v>303</v>
      </c>
      <c r="B19" s="69" t="str">
        <f>VLOOKUP(A19,MO!$A:$C,2,0)</f>
        <v>Técnico de Segurança do Trabalho</v>
      </c>
      <c r="C19" s="98" t="str">
        <f>VLOOKUP(A19,MO!$A:$C,3,0)</f>
        <v>mês</v>
      </c>
      <c r="D19" s="98">
        <f>VLOOKUP(A19,MO!$A:$D,4,0)</f>
        <v>0</v>
      </c>
      <c r="E19" s="92"/>
      <c r="F19" s="92"/>
      <c r="G19" s="80">
        <f t="shared" si="0"/>
        <v>0</v>
      </c>
      <c r="H19" s="81"/>
      <c r="I19" s="106"/>
      <c r="J19" s="107"/>
      <c r="K19" s="83"/>
      <c r="L19" s="84"/>
    </row>
    <row r="20" spans="1:12" s="75" customFormat="1" ht="14.25" x14ac:dyDescent="0.2">
      <c r="A20" s="100" t="s">
        <v>305</v>
      </c>
      <c r="B20" s="69" t="str">
        <f>VLOOKUP(A20,MO!$A:$C,2,0)</f>
        <v>Topógrafo</v>
      </c>
      <c r="C20" s="98" t="str">
        <f>VLOOKUP(A20,MO!$A:$C,3,0)</f>
        <v>mês</v>
      </c>
      <c r="D20" s="98">
        <f>VLOOKUP(A20,MO!$A:$D,4,0)</f>
        <v>0</v>
      </c>
      <c r="E20" s="92"/>
      <c r="F20" s="92"/>
      <c r="G20" s="80">
        <f t="shared" si="0"/>
        <v>0</v>
      </c>
      <c r="H20" s="81"/>
      <c r="I20" s="106"/>
      <c r="J20" s="107"/>
      <c r="K20" s="83"/>
      <c r="L20" s="84"/>
    </row>
    <row r="21" spans="1:12" s="75" customFormat="1" ht="14.25" x14ac:dyDescent="0.2">
      <c r="A21" s="100" t="s">
        <v>306</v>
      </c>
      <c r="B21" s="69" t="str">
        <f>VLOOKUP(A21,MO!$A:$C,2,0)</f>
        <v>Auxiliar de Topografia</v>
      </c>
      <c r="C21" s="98" t="str">
        <f>VLOOKUP(A21,MO!$A:$C,3,0)</f>
        <v>mês</v>
      </c>
      <c r="D21" s="98">
        <f>VLOOKUP(A21,MO!$A:$D,4,0)</f>
        <v>0</v>
      </c>
      <c r="E21" s="92">
        <v>1</v>
      </c>
      <c r="F21" s="92"/>
      <c r="G21" s="80">
        <f t="shared" si="0"/>
        <v>1</v>
      </c>
      <c r="H21" s="81"/>
      <c r="I21" s="106"/>
      <c r="J21" s="107"/>
      <c r="K21" s="83"/>
      <c r="L21" s="84"/>
    </row>
    <row r="22" spans="1:12" s="75" customFormat="1" ht="14.25" x14ac:dyDescent="0.2">
      <c r="A22" s="100" t="s">
        <v>308</v>
      </c>
      <c r="B22" s="69" t="str">
        <f>VLOOKUP(A22,MO!$A:$C,2,0)</f>
        <v>Laboratorista</v>
      </c>
      <c r="C22" s="98" t="str">
        <f>VLOOKUP(A22,MO!$A:$C,3,0)</f>
        <v>mês</v>
      </c>
      <c r="D22" s="98">
        <f>VLOOKUP(A22,MO!$A:$D,4,0)</f>
        <v>0</v>
      </c>
      <c r="E22" s="92">
        <v>1</v>
      </c>
      <c r="F22" s="92"/>
      <c r="G22" s="80">
        <f t="shared" si="0"/>
        <v>1</v>
      </c>
      <c r="H22" s="81"/>
      <c r="I22" s="106"/>
      <c r="J22" s="107"/>
      <c r="K22" s="83"/>
      <c r="L22" s="84"/>
    </row>
    <row r="23" spans="1:12" s="75" customFormat="1" ht="14.25" x14ac:dyDescent="0.2">
      <c r="A23" s="100" t="s">
        <v>310</v>
      </c>
      <c r="B23" s="69" t="str">
        <f>VLOOKUP(A23,MO!$A:$C,2,0)</f>
        <v>Auxiliar de Laboratorista</v>
      </c>
      <c r="C23" s="98" t="str">
        <f>VLOOKUP(A23,MO!$A:$C,3,0)</f>
        <v>mês</v>
      </c>
      <c r="D23" s="98">
        <f>VLOOKUP(A23,MO!$A:$D,4,0)</f>
        <v>0</v>
      </c>
      <c r="E23" s="92"/>
      <c r="F23" s="92"/>
      <c r="G23" s="80">
        <f t="shared" si="0"/>
        <v>0</v>
      </c>
      <c r="H23" s="81"/>
      <c r="I23" s="106"/>
      <c r="J23" s="107"/>
      <c r="K23" s="83"/>
      <c r="L23" s="84"/>
    </row>
    <row r="24" spans="1:12" s="75" customFormat="1" ht="14.25" x14ac:dyDescent="0.2">
      <c r="A24" s="100" t="s">
        <v>312</v>
      </c>
      <c r="B24" s="69" t="str">
        <f>VLOOKUP(A24,MO!$A:$C,2,0)</f>
        <v>Encarregado Geral</v>
      </c>
      <c r="C24" s="98" t="str">
        <f>VLOOKUP(A24,MO!$A:$C,3,0)</f>
        <v>mês</v>
      </c>
      <c r="D24" s="98">
        <f>VLOOKUP(A24,MO!$A:$D,4,0)</f>
        <v>0</v>
      </c>
      <c r="E24" s="92">
        <v>1</v>
      </c>
      <c r="F24" s="92"/>
      <c r="G24" s="80">
        <f t="shared" si="0"/>
        <v>1</v>
      </c>
      <c r="H24" s="81"/>
      <c r="I24" s="106"/>
      <c r="J24" s="107"/>
      <c r="K24" s="83"/>
      <c r="L24" s="84"/>
    </row>
    <row r="25" spans="1:12" s="75" customFormat="1" ht="14.25" x14ac:dyDescent="0.2">
      <c r="A25" s="100" t="s">
        <v>314</v>
      </c>
      <c r="B25" s="69" t="str">
        <f>VLOOKUP(A25,MO!$A:$C,2,0)</f>
        <v>Encarregado Especializado</v>
      </c>
      <c r="C25" s="98" t="str">
        <f>VLOOKUP(A25,MO!$A:$C,3,0)</f>
        <v>mês</v>
      </c>
      <c r="D25" s="98">
        <f>VLOOKUP(A25,MO!$A:$D,4,0)</f>
        <v>0</v>
      </c>
      <c r="E25" s="92"/>
      <c r="F25" s="92"/>
      <c r="G25" s="80">
        <f t="shared" si="0"/>
        <v>0</v>
      </c>
      <c r="H25" s="81"/>
      <c r="I25" s="106"/>
      <c r="J25" s="107"/>
      <c r="K25" s="83"/>
      <c r="L25" s="84"/>
    </row>
    <row r="26" spans="1:12" s="75" customFormat="1" ht="14.25" x14ac:dyDescent="0.2">
      <c r="A26" s="100" t="s">
        <v>316</v>
      </c>
      <c r="B26" s="69" t="str">
        <f>VLOOKUP(A26,MO!$A:$C,2,0)</f>
        <v>Apontador</v>
      </c>
      <c r="C26" s="98" t="str">
        <f>VLOOKUP(A26,MO!$A:$C,3,0)</f>
        <v>mês</v>
      </c>
      <c r="D26" s="98">
        <f>VLOOKUP(A26,MO!$A:$D,4,0)</f>
        <v>0</v>
      </c>
      <c r="E26" s="92"/>
      <c r="F26" s="92"/>
      <c r="G26" s="80">
        <f t="shared" si="0"/>
        <v>0</v>
      </c>
      <c r="H26" s="81"/>
      <c r="I26" s="106"/>
      <c r="J26" s="107"/>
      <c r="K26" s="83"/>
      <c r="L26" s="84"/>
    </row>
    <row r="27" spans="1:12" s="75" customFormat="1" ht="14.25" x14ac:dyDescent="0.2">
      <c r="A27" s="100" t="s">
        <v>317</v>
      </c>
      <c r="B27" s="69" t="str">
        <f>VLOOKUP(A27,MO!$A:$C,2,0)</f>
        <v>Motorista de veículo leve</v>
      </c>
      <c r="C27" s="98" t="str">
        <f>VLOOKUP(A27,MO!$A:$C,3,0)</f>
        <v>mês</v>
      </c>
      <c r="D27" s="98">
        <f>VLOOKUP(A27,MO!$A:$D,4,0)</f>
        <v>0</v>
      </c>
      <c r="E27" s="92"/>
      <c r="F27" s="92"/>
      <c r="G27" s="80">
        <f t="shared" si="0"/>
        <v>0</v>
      </c>
      <c r="H27" s="81"/>
      <c r="I27" s="106"/>
      <c r="J27" s="107"/>
      <c r="K27" s="83"/>
      <c r="L27" s="84"/>
    </row>
    <row r="28" spans="1:12" s="75" customFormat="1" ht="14.25" x14ac:dyDescent="0.2">
      <c r="A28" s="100" t="s">
        <v>319</v>
      </c>
      <c r="B28" s="69" t="str">
        <f>VLOOKUP(A28,MO!$A:$C,2,0)</f>
        <v>Encarregado Administrativo</v>
      </c>
      <c r="C28" s="98" t="str">
        <f>VLOOKUP(A28,MO!$A:$C,3,0)</f>
        <v>mês</v>
      </c>
      <c r="D28" s="98">
        <f>VLOOKUP(A28,MO!$A:$D,4,0)</f>
        <v>0</v>
      </c>
      <c r="E28" s="92"/>
      <c r="F28" s="92"/>
      <c r="G28" s="80">
        <f t="shared" si="0"/>
        <v>0</v>
      </c>
      <c r="H28" s="81"/>
      <c r="I28" s="106"/>
      <c r="J28" s="107"/>
      <c r="K28" s="83"/>
      <c r="L28" s="84"/>
    </row>
    <row r="29" spans="1:12" s="75" customFormat="1" ht="14.25" x14ac:dyDescent="0.2">
      <c r="A29" s="100" t="s">
        <v>321</v>
      </c>
      <c r="B29" s="69" t="str">
        <f>VLOOKUP(A29,MO!$A:$C,2,0)</f>
        <v>Auxiliar Administrativo</v>
      </c>
      <c r="C29" s="98" t="str">
        <f>VLOOKUP(A29,MO!$A:$C,3,0)</f>
        <v>mês</v>
      </c>
      <c r="D29" s="98">
        <f>VLOOKUP(A29,MO!$A:$D,4,0)</f>
        <v>0</v>
      </c>
      <c r="E29" s="92"/>
      <c r="F29" s="92"/>
      <c r="G29" s="80">
        <f t="shared" si="0"/>
        <v>0</v>
      </c>
      <c r="H29" s="81"/>
      <c r="I29" s="106"/>
      <c r="J29" s="107"/>
      <c r="K29" s="83"/>
      <c r="L29" s="84"/>
    </row>
    <row r="30" spans="1:12" s="75" customFormat="1" ht="14.25" x14ac:dyDescent="0.2">
      <c r="A30" s="100" t="s">
        <v>323</v>
      </c>
      <c r="B30" s="69" t="str">
        <f>VLOOKUP(A30,MO!$A:$C,2,0)</f>
        <v>Almoxarife/Comprador</v>
      </c>
      <c r="C30" s="98" t="str">
        <f>VLOOKUP(A30,MO!$A:$C,3,0)</f>
        <v>mês</v>
      </c>
      <c r="D30" s="98">
        <f>VLOOKUP(A30,MO!$A:$D,4,0)</f>
        <v>0</v>
      </c>
      <c r="E30" s="92"/>
      <c r="F30" s="92"/>
      <c r="G30" s="80">
        <f t="shared" si="0"/>
        <v>0</v>
      </c>
      <c r="H30" s="81"/>
      <c r="I30" s="106"/>
      <c r="J30" s="107"/>
      <c r="K30" s="83"/>
      <c r="L30" s="84"/>
    </row>
    <row r="31" spans="1:12" s="75" customFormat="1" ht="14.25" x14ac:dyDescent="0.2">
      <c r="A31" s="100" t="s">
        <v>325</v>
      </c>
      <c r="B31" s="69" t="str">
        <f>VLOOKUP(A31,MO!$A:$C,2,0)</f>
        <v>Recepcionista/ Telefonista</v>
      </c>
      <c r="C31" s="98" t="str">
        <f>VLOOKUP(A31,MO!$A:$C,3,0)</f>
        <v>mês</v>
      </c>
      <c r="D31" s="98">
        <f>VLOOKUP(A31,MO!$A:$D,4,0)</f>
        <v>0</v>
      </c>
      <c r="E31" s="92"/>
      <c r="F31" s="92"/>
      <c r="G31" s="80">
        <f t="shared" si="0"/>
        <v>0</v>
      </c>
      <c r="H31" s="81"/>
      <c r="I31" s="106"/>
      <c r="J31" s="107"/>
      <c r="K31" s="83"/>
      <c r="L31" s="84"/>
    </row>
    <row r="32" spans="1:12" s="75" customFormat="1" ht="14.25" x14ac:dyDescent="0.2">
      <c r="A32" s="100" t="s">
        <v>327</v>
      </c>
      <c r="B32" s="69" t="str">
        <f>VLOOKUP(A32,MO!$A:$C,2,0)</f>
        <v>Faxineira</v>
      </c>
      <c r="C32" s="98" t="str">
        <f>VLOOKUP(A32,MO!$A:$C,3,0)</f>
        <v>mês</v>
      </c>
      <c r="D32" s="98">
        <f>VLOOKUP(A32,MO!$A:$D,4,0)</f>
        <v>0</v>
      </c>
      <c r="E32" s="92"/>
      <c r="F32" s="92"/>
      <c r="G32" s="80">
        <f t="shared" si="0"/>
        <v>0</v>
      </c>
      <c r="H32" s="81"/>
      <c r="I32" s="106"/>
      <c r="J32" s="107"/>
      <c r="K32" s="83"/>
      <c r="L32" s="84"/>
    </row>
    <row r="33" spans="1:12" s="75" customFormat="1" ht="14.25" x14ac:dyDescent="0.2">
      <c r="A33" s="100" t="s">
        <v>329</v>
      </c>
      <c r="B33" s="69" t="str">
        <f>VLOOKUP(A33,MO!$A:$C,2,0)</f>
        <v>Vigia Diurno</v>
      </c>
      <c r="C33" s="98" t="str">
        <f>VLOOKUP(A33,MO!$A:$C,3,0)</f>
        <v>mês</v>
      </c>
      <c r="D33" s="98">
        <f>VLOOKUP(A33,MO!$A:$D,4,0)</f>
        <v>0</v>
      </c>
      <c r="E33" s="92"/>
      <c r="F33" s="92"/>
      <c r="G33" s="80">
        <f t="shared" si="0"/>
        <v>0</v>
      </c>
      <c r="H33" s="81"/>
      <c r="I33" s="106"/>
      <c r="J33" s="107"/>
      <c r="K33" s="83"/>
      <c r="L33" s="84"/>
    </row>
    <row r="34" spans="1:12" s="75" customFormat="1" ht="14.25" x14ac:dyDescent="0.2">
      <c r="A34" s="100" t="s">
        <v>331</v>
      </c>
      <c r="B34" s="69" t="str">
        <f>VLOOKUP(A34,MO!$A:$C,2,0)</f>
        <v>Vigia Noturno</v>
      </c>
      <c r="C34" s="98" t="str">
        <f>VLOOKUP(A34,MO!$A:$C,3,0)</f>
        <v>mês</v>
      </c>
      <c r="D34" s="98">
        <f>VLOOKUP(A34,MO!$A:$D,4,0)</f>
        <v>0</v>
      </c>
      <c r="E34" s="92"/>
      <c r="F34" s="92"/>
      <c r="G34" s="80">
        <f t="shared" si="0"/>
        <v>0</v>
      </c>
      <c r="H34" s="81"/>
      <c r="I34" s="106"/>
      <c r="J34" s="107"/>
      <c r="K34" s="83"/>
      <c r="L34" s="84"/>
    </row>
    <row r="35" spans="1:12" s="75" customFormat="1" ht="14.25" x14ac:dyDescent="0.2">
      <c r="A35" s="100" t="s">
        <v>399</v>
      </c>
      <c r="B35" s="69" t="str">
        <f>VLOOKUP(A35,MO!$A:$C,2,0)</f>
        <v>Servente</v>
      </c>
      <c r="C35" s="98" t="str">
        <f>VLOOKUP(A35,MO!$A:$C,3,0)</f>
        <v>mês</v>
      </c>
      <c r="D35" s="98">
        <f>VLOOKUP(A35,MO!$A:$D,4,0)</f>
        <v>0</v>
      </c>
      <c r="E35" s="92"/>
      <c r="F35" s="92"/>
      <c r="G35" s="80">
        <f t="shared" si="0"/>
        <v>0</v>
      </c>
      <c r="H35" s="81"/>
      <c r="I35" s="106"/>
      <c r="J35" s="107"/>
      <c r="K35" s="83"/>
      <c r="L35" s="84"/>
    </row>
    <row r="36" spans="1:12" s="75" customFormat="1" ht="14.25" x14ac:dyDescent="0.2">
      <c r="A36" s="100" t="s">
        <v>400</v>
      </c>
      <c r="B36" s="69" t="str">
        <f>VLOOKUP(A36,MO!$A:$C,2,0)</f>
        <v>Eletricista</v>
      </c>
      <c r="C36" s="98" t="str">
        <f>VLOOKUP(A36,MO!$A:$C,3,0)</f>
        <v>mês</v>
      </c>
      <c r="D36" s="98">
        <f>VLOOKUP(A36,MO!$A:$D,4,0)</f>
        <v>0</v>
      </c>
      <c r="E36" s="92"/>
      <c r="F36" s="92"/>
      <c r="G36" s="80">
        <f t="shared" si="0"/>
        <v>0</v>
      </c>
      <c r="H36" s="81"/>
      <c r="I36" s="106"/>
      <c r="J36" s="107"/>
      <c r="K36" s="83"/>
      <c r="L36" s="84"/>
    </row>
    <row r="37" spans="1:12" s="75" customFormat="1" thickBot="1" x14ac:dyDescent="0.25">
      <c r="A37" s="142" t="s">
        <v>442</v>
      </c>
      <c r="B37" s="143" t="str">
        <f>VLOOKUP(A37,MO!$A:$C,2,0)</f>
        <v>Carpinteiro</v>
      </c>
      <c r="C37" s="144" t="str">
        <f>VLOOKUP(A37,MO!$A:$C,3,0)</f>
        <v>mês</v>
      </c>
      <c r="D37" s="144">
        <f>VLOOKUP(A37,MO!$A:$D,4,0)</f>
        <v>0</v>
      </c>
      <c r="E37" s="145"/>
      <c r="F37" s="145"/>
      <c r="G37" s="146">
        <f t="shared" si="0"/>
        <v>0</v>
      </c>
      <c r="H37" s="147"/>
      <c r="I37" s="148"/>
      <c r="J37" s="149"/>
      <c r="K37" s="150"/>
      <c r="L37" s="151"/>
    </row>
    <row r="38" spans="1:12" s="75" customFormat="1" thickTop="1" x14ac:dyDescent="0.2">
      <c r="A38" s="140">
        <v>200230</v>
      </c>
      <c r="B38" s="69" t="str">
        <f>VLOOKUP(A38,MO!$A:$C,2,0)</f>
        <v>Armador</v>
      </c>
      <c r="C38" s="98" t="str">
        <f>VLOOKUP(A38,MO!$A:$C,3,0)</f>
        <v>hora</v>
      </c>
      <c r="D38" s="98">
        <f>VLOOKUP(A38,MO!$A:$D,4,0)</f>
        <v>0</v>
      </c>
      <c r="E38" s="92"/>
      <c r="F38" s="396">
        <f>IFERROR(VLOOKUP(A38,'hora.mo.obra'!$A$2:$C$29,3,0),0)</f>
        <v>1815.5373</v>
      </c>
      <c r="G38" s="80">
        <f>ROUNDUP(IF(C38="mês",E38,(F38/($L$4*$L$5))),0)</f>
        <v>1</v>
      </c>
      <c r="H38" s="81"/>
      <c r="I38" s="106"/>
      <c r="J38" s="107"/>
      <c r="K38" s="83"/>
      <c r="L38" s="84"/>
    </row>
    <row r="39" spans="1:12" s="75" customFormat="1" ht="14.25" x14ac:dyDescent="0.2">
      <c r="A39" s="140">
        <v>210040</v>
      </c>
      <c r="B39" s="69" t="str">
        <f>VLOOKUP(A39,MO!$A:$C,2,0)</f>
        <v>Blaster</v>
      </c>
      <c r="C39" s="98" t="str">
        <f>VLOOKUP(A39,MO!$A:$C,3,0)</f>
        <v>hora</v>
      </c>
      <c r="D39" s="98">
        <f>VLOOKUP(A39,MO!$A:$D,4,0)</f>
        <v>0</v>
      </c>
      <c r="E39" s="92"/>
      <c r="F39" s="396">
        <f>IFERROR(VLOOKUP(A39,'hora.mo.obra'!$A$2:$C$29,3,0),0)</f>
        <v>0</v>
      </c>
      <c r="G39" s="80">
        <f t="shared" si="0"/>
        <v>0</v>
      </c>
      <c r="H39" s="81"/>
      <c r="I39" s="106"/>
      <c r="J39" s="107"/>
      <c r="K39" s="83"/>
      <c r="L39" s="84"/>
    </row>
    <row r="40" spans="1:12" s="75" customFormat="1" ht="14.25" x14ac:dyDescent="0.2">
      <c r="A40" s="140">
        <v>200110</v>
      </c>
      <c r="B40" s="69" t="str">
        <f>VLOOKUP(A40,MO!$A:$C,2,0)</f>
        <v>Calceteiro</v>
      </c>
      <c r="C40" s="98" t="str">
        <f>VLOOKUP(A40,MO!$A:$C,3,0)</f>
        <v>hora</v>
      </c>
      <c r="D40" s="98">
        <f>VLOOKUP(A40,MO!$A:$D,4,0)</f>
        <v>0</v>
      </c>
      <c r="E40" s="92"/>
      <c r="F40" s="396">
        <f>IFERROR(VLOOKUP(A40,'hora.mo.obra'!$A$2:$C$29,3,0),0)</f>
        <v>0</v>
      </c>
      <c r="G40" s="80">
        <f t="shared" si="0"/>
        <v>0</v>
      </c>
      <c r="H40" s="81"/>
      <c r="I40" s="106"/>
      <c r="J40" s="107"/>
      <c r="K40" s="83"/>
      <c r="L40" s="84"/>
    </row>
    <row r="41" spans="1:12" s="75" customFormat="1" ht="14.25" x14ac:dyDescent="0.2">
      <c r="A41" s="140">
        <v>200210</v>
      </c>
      <c r="B41" s="69" t="str">
        <f>VLOOKUP(A41,MO!$A:$C,2,0)</f>
        <v>Cancheiro</v>
      </c>
      <c r="C41" s="98" t="str">
        <f>VLOOKUP(A41,MO!$A:$C,3,0)</f>
        <v>hora</v>
      </c>
      <c r="D41" s="98">
        <f>VLOOKUP(A41,MO!$A:$D,4,0)</f>
        <v>0</v>
      </c>
      <c r="E41" s="92"/>
      <c r="F41" s="396">
        <f>IFERROR(VLOOKUP(A41,'hora.mo.obra'!$A$2:$C$29,3,0),0)</f>
        <v>0</v>
      </c>
      <c r="G41" s="80">
        <f t="shared" si="0"/>
        <v>0</v>
      </c>
      <c r="H41" s="81"/>
      <c r="I41" s="106"/>
      <c r="J41" s="107"/>
      <c r="K41" s="83"/>
      <c r="L41" s="84"/>
    </row>
    <row r="42" spans="1:12" s="75" customFormat="1" ht="14.25" x14ac:dyDescent="0.2">
      <c r="A42" s="140">
        <v>200240</v>
      </c>
      <c r="B42" s="69" t="str">
        <f>VLOOKUP(A42,MO!$A:$C,2,0)</f>
        <v>Carpinteiro</v>
      </c>
      <c r="C42" s="98" t="str">
        <f>VLOOKUP(A42,MO!$A:$C,3,0)</f>
        <v>hora</v>
      </c>
      <c r="D42" s="98">
        <f>VLOOKUP(A42,MO!$A:$D,4,0)</f>
        <v>0</v>
      </c>
      <c r="E42" s="92"/>
      <c r="F42" s="396">
        <f>IFERROR(VLOOKUP(A42,'hora.mo.obra'!$A$2:$C$29,3,0),0)</f>
        <v>1472.008</v>
      </c>
      <c r="G42" s="80">
        <f t="shared" si="0"/>
        <v>1</v>
      </c>
      <c r="H42" s="81"/>
      <c r="I42" s="106"/>
      <c r="J42" s="107"/>
      <c r="K42" s="83"/>
      <c r="L42" s="84"/>
    </row>
    <row r="43" spans="1:12" s="75" customFormat="1" ht="14.25" x14ac:dyDescent="0.2">
      <c r="A43" s="140">
        <v>200311</v>
      </c>
      <c r="B43" s="69" t="str">
        <f>VLOOKUP(A43,MO!$A:$C,2,0)</f>
        <v>Classificador de madeira</v>
      </c>
      <c r="C43" s="98" t="str">
        <f>VLOOKUP(A43,MO!$A:$C,3,0)</f>
        <v>hora</v>
      </c>
      <c r="D43" s="98">
        <f>VLOOKUP(A43,MO!$A:$D,4,0)</f>
        <v>0</v>
      </c>
      <c r="E43" s="92"/>
      <c r="F43" s="396">
        <f>IFERROR(VLOOKUP(A43,'hora.mo.obra'!$A$2:$C$29,3,0),0)</f>
        <v>0</v>
      </c>
      <c r="G43" s="80">
        <f t="shared" si="0"/>
        <v>0</v>
      </c>
      <c r="H43" s="81"/>
      <c r="I43" s="106"/>
      <c r="J43" s="107"/>
      <c r="K43" s="83"/>
      <c r="L43" s="84"/>
    </row>
    <row r="44" spans="1:12" s="75" customFormat="1" ht="14.25" x14ac:dyDescent="0.2">
      <c r="A44" s="140">
        <v>210150</v>
      </c>
      <c r="B44" s="69" t="str">
        <f>VLOOKUP(A44,MO!$A:$C,2,0)</f>
        <v>Eletricista</v>
      </c>
      <c r="C44" s="98" t="str">
        <f>VLOOKUP(A44,MO!$A:$C,3,0)</f>
        <v>hora</v>
      </c>
      <c r="D44" s="98">
        <f>VLOOKUP(A44,MO!$A:$D,4,0)</f>
        <v>0</v>
      </c>
      <c r="E44" s="92"/>
      <c r="F44" s="396">
        <f>IFERROR(VLOOKUP(A44,'hora.mo.obra'!$A$2:$C$29,3,0),0)</f>
        <v>0</v>
      </c>
      <c r="G44" s="80">
        <f t="shared" si="0"/>
        <v>0</v>
      </c>
      <c r="H44" s="81"/>
      <c r="I44" s="106"/>
      <c r="J44" s="107"/>
      <c r="K44" s="83"/>
      <c r="L44" s="84"/>
    </row>
    <row r="45" spans="1:12" s="75" customFormat="1" ht="14.25" x14ac:dyDescent="0.2">
      <c r="A45" s="140">
        <v>200150</v>
      </c>
      <c r="B45" s="69" t="str">
        <f>VLOOKUP(A45,MO!$A:$C,2,0)</f>
        <v>Equipe Carreta Perfuração</v>
      </c>
      <c r="C45" s="98" t="str">
        <f>VLOOKUP(A45,MO!$A:$C,3,0)</f>
        <v>hora</v>
      </c>
      <c r="D45" s="98">
        <f>VLOOKUP(A45,MO!$A:$D,4,0)</f>
        <v>0</v>
      </c>
      <c r="E45" s="92"/>
      <c r="F45" s="396">
        <f>IFERROR(VLOOKUP(A45,'hora.mo.obra'!$A$2:$C$29,3,0),0)</f>
        <v>0</v>
      </c>
      <c r="G45" s="80">
        <f>ROUNDUP(IF(C45="mês",E45,(F45/($L$4*$L$5))),0)*2</f>
        <v>0</v>
      </c>
      <c r="H45" s="81"/>
      <c r="I45" s="106"/>
      <c r="J45" s="107"/>
      <c r="K45" s="83"/>
      <c r="L45" s="84"/>
    </row>
    <row r="46" spans="1:12" s="75" customFormat="1" ht="14.25" x14ac:dyDescent="0.2">
      <c r="A46" s="140">
        <v>200100</v>
      </c>
      <c r="B46" s="69" t="str">
        <f>VLOOKUP(A46,MO!$A:$C,2,0)</f>
        <v>Equipe Conjunto de Britagem</v>
      </c>
      <c r="C46" s="98" t="str">
        <f>VLOOKUP(A46,MO!$A:$C,3,0)</f>
        <v>hora</v>
      </c>
      <c r="D46" s="98">
        <f>VLOOKUP(A46,MO!$A:$D,4,0)</f>
        <v>0</v>
      </c>
      <c r="E46" s="92"/>
      <c r="F46" s="396">
        <f>IFERROR(VLOOKUP(A46,'hora.mo.obra'!$A$2:$C$29,3,0),0)</f>
        <v>0</v>
      </c>
      <c r="G46" s="80">
        <f>ROUNDUP(IF(C46="mês",E46,(F46/($L$4*$L$5))),0)*3</f>
        <v>0</v>
      </c>
      <c r="H46" s="81"/>
      <c r="I46" s="106"/>
      <c r="J46" s="107"/>
      <c r="K46" s="83"/>
      <c r="L46" s="84"/>
    </row>
    <row r="47" spans="1:12" s="75" customFormat="1" ht="14.25" x14ac:dyDescent="0.2">
      <c r="A47" s="140">
        <v>200000</v>
      </c>
      <c r="B47" s="69" t="str">
        <f>VLOOKUP(A47,MO!$A:$C,2,0)</f>
        <v>Equipe Usina Asfalto</v>
      </c>
      <c r="C47" s="98" t="str">
        <f>VLOOKUP(A47,MO!$A:$C,3,0)</f>
        <v>hora</v>
      </c>
      <c r="D47" s="98">
        <f>VLOOKUP(A47,MO!$A:$D,4,0)</f>
        <v>0</v>
      </c>
      <c r="E47" s="92"/>
      <c r="F47" s="396">
        <f>IFERROR(VLOOKUP(A47,'hora.mo.obra'!$A$2:$C$29,3,0),0)</f>
        <v>110.324</v>
      </c>
      <c r="G47" s="80">
        <f>ROUNDUP(IF(C47="mês",E47,(F47/($L$4*$L$5))),0)*5</f>
        <v>5</v>
      </c>
      <c r="H47" s="81"/>
      <c r="I47" s="106"/>
      <c r="J47" s="107"/>
      <c r="K47" s="83"/>
      <c r="L47" s="84"/>
    </row>
    <row r="48" spans="1:12" s="75" customFormat="1" ht="14.25" x14ac:dyDescent="0.2">
      <c r="A48" s="140">
        <v>200070</v>
      </c>
      <c r="B48" s="69" t="str">
        <f>VLOOKUP(A48,MO!$A:$C,2,0)</f>
        <v>Equipe Usina Solos B. Graduada</v>
      </c>
      <c r="C48" s="98" t="str">
        <f>VLOOKUP(A48,MO!$A:$C,3,0)</f>
        <v>hora</v>
      </c>
      <c r="D48" s="98">
        <f>VLOOKUP(A48,MO!$A:$D,4,0)</f>
        <v>0</v>
      </c>
      <c r="E48" s="92"/>
      <c r="F48" s="396">
        <f>IFERROR(VLOOKUP(A48,'hora.mo.obra'!$A$2:$C$29,3,0),0)</f>
        <v>83.746700000000004</v>
      </c>
      <c r="G48" s="80">
        <f>ROUNDUP(IF(C48="mês",E48,(F48/($L$4*$L$5))),0)*3</f>
        <v>3</v>
      </c>
      <c r="H48" s="81"/>
      <c r="I48" s="106"/>
      <c r="J48" s="107"/>
      <c r="K48" s="83"/>
      <c r="L48" s="84"/>
    </row>
    <row r="49" spans="1:12" s="75" customFormat="1" ht="14.25" x14ac:dyDescent="0.2">
      <c r="A49" s="140">
        <v>200080</v>
      </c>
      <c r="B49" s="69" t="str">
        <f>VLOOKUP(A49,MO!$A:$C,2,0)</f>
        <v>Equipe Usina Solos c/dosador asfalto</v>
      </c>
      <c r="C49" s="98" t="str">
        <f>VLOOKUP(A49,MO!$A:$C,3,0)</f>
        <v>hora</v>
      </c>
      <c r="D49" s="98">
        <f>VLOOKUP(A49,MO!$A:$D,4,0)</f>
        <v>0</v>
      </c>
      <c r="E49" s="92"/>
      <c r="F49" s="396">
        <f>IFERROR(VLOOKUP(A49,'hora.mo.obra'!$A$2:$C$29,3,0),0)</f>
        <v>0</v>
      </c>
      <c r="G49" s="80">
        <f>ROUNDUP(IF(C49="mês",E49,(F49/($L$4*$L$5))),0)*3</f>
        <v>0</v>
      </c>
      <c r="H49" s="81"/>
      <c r="I49" s="106"/>
      <c r="J49" s="107"/>
      <c r="K49" s="83"/>
      <c r="L49" s="84"/>
    </row>
    <row r="50" spans="1:12" s="75" customFormat="1" ht="14.25" x14ac:dyDescent="0.2">
      <c r="A50" s="140">
        <v>200090</v>
      </c>
      <c r="B50" s="69" t="str">
        <f>VLOOKUP(A50,MO!$A:$C,2,0)</f>
        <v>Equipe Usina Solos c/dosador cimento</v>
      </c>
      <c r="C50" s="98" t="str">
        <f>VLOOKUP(A50,MO!$A:$C,3,0)</f>
        <v>hora</v>
      </c>
      <c r="D50" s="98">
        <f>VLOOKUP(A50,MO!$A:$D,4,0)</f>
        <v>0</v>
      </c>
      <c r="E50" s="92"/>
      <c r="F50" s="396">
        <f>IFERROR(VLOOKUP(A50,'hora.mo.obra'!$A$2:$C$29,3,0),0)</f>
        <v>0</v>
      </c>
      <c r="G50" s="80">
        <f>ROUNDUP(IF(C50="mês",E50,(F50/($L$4*$L$5))),0)*3</f>
        <v>0</v>
      </c>
      <c r="H50" s="81"/>
      <c r="I50" s="106"/>
      <c r="J50" s="107"/>
      <c r="K50" s="83"/>
      <c r="L50" s="84"/>
    </row>
    <row r="51" spans="1:12" s="75" customFormat="1" ht="14.25" x14ac:dyDescent="0.2">
      <c r="A51" s="140">
        <v>200200</v>
      </c>
      <c r="B51" s="69" t="str">
        <f>VLOOKUP(A51,MO!$A:$C,2,0)</f>
        <v>Marroeiro</v>
      </c>
      <c r="C51" s="98" t="str">
        <f>VLOOKUP(A51,MO!$A:$C,3,0)</f>
        <v>hora</v>
      </c>
      <c r="D51" s="98">
        <f>VLOOKUP(A51,MO!$A:$D,4,0)</f>
        <v>0</v>
      </c>
      <c r="E51" s="92"/>
      <c r="F51" s="396">
        <f>IFERROR(VLOOKUP(A51,'hora.mo.obra'!$A$2:$C$29,3,0),0)</f>
        <v>0</v>
      </c>
      <c r="G51" s="80">
        <f t="shared" si="0"/>
        <v>0</v>
      </c>
      <c r="H51" s="81"/>
      <c r="I51" s="106"/>
      <c r="J51" s="107"/>
      <c r="K51" s="83"/>
      <c r="L51" s="84"/>
    </row>
    <row r="52" spans="1:12" s="75" customFormat="1" ht="14.25" x14ac:dyDescent="0.2">
      <c r="A52" s="140">
        <v>200060</v>
      </c>
      <c r="B52" s="69" t="str">
        <f>VLOOKUP(A52,MO!$A:$C,2,0)</f>
        <v>Marteleteiro</v>
      </c>
      <c r="C52" s="98" t="str">
        <f>VLOOKUP(A52,MO!$A:$C,3,0)</f>
        <v>hora</v>
      </c>
      <c r="D52" s="98">
        <f>VLOOKUP(A52,MO!$A:$D,4,0)</f>
        <v>0</v>
      </c>
      <c r="E52" s="92"/>
      <c r="F52" s="396">
        <f>IFERROR(VLOOKUP(A52,'hora.mo.obra'!$A$2:$C$29,3,0),0)</f>
        <v>0</v>
      </c>
      <c r="G52" s="80">
        <f t="shared" si="0"/>
        <v>0</v>
      </c>
      <c r="H52" s="81"/>
      <c r="I52" s="106"/>
      <c r="J52" s="107"/>
      <c r="K52" s="83"/>
      <c r="L52" s="84"/>
    </row>
    <row r="53" spans="1:12" s="75" customFormat="1" ht="14.25" x14ac:dyDescent="0.2">
      <c r="A53" s="140">
        <v>200290</v>
      </c>
      <c r="B53" s="69" t="str">
        <f>VLOOKUP(A53,MO!$A:$C,2,0)</f>
        <v>Montador</v>
      </c>
      <c r="C53" s="98" t="str">
        <f>VLOOKUP(A53,MO!$A:$C,3,0)</f>
        <v>hora</v>
      </c>
      <c r="D53" s="98">
        <f>VLOOKUP(A53,MO!$A:$D,4,0)</f>
        <v>0</v>
      </c>
      <c r="E53" s="92"/>
      <c r="F53" s="396">
        <f>IFERROR(VLOOKUP(A53,'hora.mo.obra'!$A$2:$C$29,3,0),0)</f>
        <v>0</v>
      </c>
      <c r="G53" s="80">
        <f t="shared" si="0"/>
        <v>0</v>
      </c>
      <c r="H53" s="81"/>
      <c r="I53" s="106"/>
      <c r="J53" s="107"/>
      <c r="K53" s="83"/>
      <c r="L53" s="84"/>
    </row>
    <row r="54" spans="1:12" s="75" customFormat="1" ht="14.25" x14ac:dyDescent="0.2">
      <c r="A54" s="140">
        <v>200170</v>
      </c>
      <c r="B54" s="69" t="str">
        <f>VLOOKUP(A54,MO!$A:$C,2,0)</f>
        <v>Motorista transp. asfalto</v>
      </c>
      <c r="C54" s="98" t="str">
        <f>VLOOKUP(A54,MO!$A:$C,3,0)</f>
        <v>hora</v>
      </c>
      <c r="D54" s="98">
        <f>VLOOKUP(A54,MO!$A:$D,4,0)</f>
        <v>0</v>
      </c>
      <c r="E54" s="92"/>
      <c r="F54" s="396">
        <f>IFERROR(VLOOKUP(A54,'hora.mo.obra'!$A$2:$C$29,3,0),0)</f>
        <v>138.78749999999999</v>
      </c>
      <c r="G54" s="80">
        <f t="shared" si="0"/>
        <v>1</v>
      </c>
      <c r="H54" s="81"/>
      <c r="I54" s="106"/>
      <c r="J54" s="107"/>
      <c r="K54" s="83"/>
      <c r="L54" s="84"/>
    </row>
    <row r="55" spans="1:12" s="75" customFormat="1" ht="14.25" x14ac:dyDescent="0.2">
      <c r="A55" s="140">
        <v>200140</v>
      </c>
      <c r="B55" s="69" t="str">
        <f>VLOOKUP(A55,MO!$A:$C,2,0)</f>
        <v>Motorista veículo leve</v>
      </c>
      <c r="C55" s="98" t="str">
        <f>VLOOKUP(A55,MO!$A:$C,3,0)</f>
        <v>hora</v>
      </c>
      <c r="D55" s="98">
        <f>VLOOKUP(A55,MO!$A:$D,4,0)</f>
        <v>0</v>
      </c>
      <c r="E55" s="92"/>
      <c r="F55" s="396">
        <f>IFERROR(VLOOKUP(A55,'hora.mo.obra'!$A$2:$C$29,3,0),0)</f>
        <v>0</v>
      </c>
      <c r="G55" s="80">
        <f t="shared" si="0"/>
        <v>0</v>
      </c>
      <c r="H55" s="81"/>
      <c r="I55" s="106"/>
      <c r="J55" s="107"/>
      <c r="K55" s="83"/>
      <c r="L55" s="84"/>
    </row>
    <row r="56" spans="1:12" s="75" customFormat="1" ht="14.25" x14ac:dyDescent="0.2">
      <c r="A56" s="140">
        <v>200180</v>
      </c>
      <c r="B56" s="69" t="str">
        <f>VLOOKUP(A56,MO!$A:$C,2,0)</f>
        <v>Motorista veículo médio</v>
      </c>
      <c r="C56" s="98" t="str">
        <f>VLOOKUP(A56,MO!$A:$C,3,0)</f>
        <v>hora</v>
      </c>
      <c r="D56" s="98">
        <f>VLOOKUP(A56,MO!$A:$D,4,0)</f>
        <v>0</v>
      </c>
      <c r="E56" s="92"/>
      <c r="F56" s="396">
        <f>IFERROR(VLOOKUP(A56,'hora.mo.obra'!$A$2:$C$29,3,0),0)</f>
        <v>42.581200000000003</v>
      </c>
      <c r="G56" s="80">
        <f t="shared" si="0"/>
        <v>1</v>
      </c>
      <c r="H56" s="81"/>
      <c r="I56" s="106"/>
      <c r="J56" s="107"/>
      <c r="K56" s="83"/>
      <c r="L56" s="84"/>
    </row>
    <row r="57" spans="1:12" s="75" customFormat="1" ht="14.25" x14ac:dyDescent="0.2">
      <c r="A57" s="140">
        <v>210020</v>
      </c>
      <c r="B57" s="69" t="str">
        <f>VLOOKUP(A57,MO!$A:$C,2,0)</f>
        <v>Motorista veículo pesado</v>
      </c>
      <c r="C57" s="98" t="str">
        <f>VLOOKUP(A57,MO!$A:$C,3,0)</f>
        <v>hora</v>
      </c>
      <c r="D57" s="98">
        <f>VLOOKUP(A57,MO!$A:$D,4,0)</f>
        <v>0</v>
      </c>
      <c r="E57" s="92"/>
      <c r="F57" s="396">
        <f>IFERROR(VLOOKUP(A57,'hora.mo.obra'!$A$2:$C$29,3,0),0)</f>
        <v>4018.5154000000002</v>
      </c>
      <c r="G57" s="80">
        <f t="shared" si="0"/>
        <v>3</v>
      </c>
      <c r="H57" s="81"/>
      <c r="I57" s="106"/>
      <c r="J57" s="107"/>
      <c r="K57" s="83"/>
      <c r="L57" s="84"/>
    </row>
    <row r="58" spans="1:12" s="75" customFormat="1" ht="14.25" x14ac:dyDescent="0.2">
      <c r="A58" s="140">
        <v>200120</v>
      </c>
      <c r="B58" s="69" t="str">
        <f>VLOOKUP(A58,MO!$A:$C,2,0)</f>
        <v>Operador da leve</v>
      </c>
      <c r="C58" s="98" t="str">
        <f>VLOOKUP(A58,MO!$A:$C,3,0)</f>
        <v>hora</v>
      </c>
      <c r="D58" s="98">
        <f>VLOOKUP(A58,MO!$A:$D,4,0)</f>
        <v>0</v>
      </c>
      <c r="E58" s="92"/>
      <c r="F58" s="396">
        <f>IFERROR(VLOOKUP(A58,'hora.mo.obra'!$A$2:$C$29,3,0),0)</f>
        <v>1627.1084000000001</v>
      </c>
      <c r="G58" s="80">
        <f t="shared" si="0"/>
        <v>1</v>
      </c>
      <c r="H58" s="81"/>
      <c r="I58" s="106"/>
      <c r="J58" s="107"/>
      <c r="K58" s="83"/>
      <c r="L58" s="84"/>
    </row>
    <row r="59" spans="1:12" s="75" customFormat="1" ht="14.25" x14ac:dyDescent="0.2">
      <c r="A59" s="140">
        <v>210050</v>
      </c>
      <c r="B59" s="69" t="str">
        <f>VLOOKUP(A59,MO!$A:$C,2,0)</f>
        <v>Operador da pesada</v>
      </c>
      <c r="C59" s="98" t="str">
        <f>VLOOKUP(A59,MO!$A:$C,3,0)</f>
        <v>hora</v>
      </c>
      <c r="D59" s="98">
        <f>VLOOKUP(A59,MO!$A:$D,4,0)</f>
        <v>0</v>
      </c>
      <c r="E59" s="92"/>
      <c r="F59" s="396">
        <f>IFERROR(VLOOKUP(A59,'hora.mo.obra'!$A$2:$C$29,3,0),0)</f>
        <v>1291.0994000000001</v>
      </c>
      <c r="G59" s="80">
        <f t="shared" si="0"/>
        <v>1</v>
      </c>
      <c r="H59" s="81"/>
      <c r="I59" s="106"/>
      <c r="J59" s="107"/>
      <c r="K59" s="83"/>
      <c r="L59" s="84"/>
    </row>
    <row r="60" spans="1:12" s="75" customFormat="1" ht="14.25" x14ac:dyDescent="0.2">
      <c r="A60" s="140">
        <v>200160</v>
      </c>
      <c r="B60" s="69" t="str">
        <f>VLOOKUP(A60,MO!$A:$C,2,0)</f>
        <v>Operador de equipamentos manuais</v>
      </c>
      <c r="C60" s="98" t="str">
        <f>VLOOKUP(A60,MO!$A:$C,3,0)</f>
        <v>hora</v>
      </c>
      <c r="D60" s="98">
        <f>VLOOKUP(A60,MO!$A:$D,4,0)</f>
        <v>0</v>
      </c>
      <c r="E60" s="92"/>
      <c r="F60" s="396">
        <f>IFERROR(VLOOKUP(A60,'hora.mo.obra'!$A$2:$C$29,3,0),0)</f>
        <v>651.52560000000005</v>
      </c>
      <c r="G60" s="80">
        <f t="shared" si="0"/>
        <v>1</v>
      </c>
      <c r="H60" s="81"/>
      <c r="I60" s="106"/>
      <c r="J60" s="107"/>
      <c r="K60" s="83"/>
      <c r="L60" s="84"/>
    </row>
    <row r="61" spans="1:12" s="75" customFormat="1" ht="14.25" x14ac:dyDescent="0.2">
      <c r="A61" s="140">
        <v>200260</v>
      </c>
      <c r="B61" s="69" t="str">
        <f>VLOOKUP(A61,MO!$A:$C,2,0)</f>
        <v>Pedreiro</v>
      </c>
      <c r="C61" s="98" t="str">
        <f>VLOOKUP(A61,MO!$A:$C,3,0)</f>
        <v>hora</v>
      </c>
      <c r="D61" s="98">
        <f>VLOOKUP(A61,MO!$A:$D,4,0)</f>
        <v>0</v>
      </c>
      <c r="E61" s="92"/>
      <c r="F61" s="396">
        <f>IFERROR(VLOOKUP(A61,'hora.mo.obra'!$A$2:$C$29,3,0),0)</f>
        <v>2856.0837999999999</v>
      </c>
      <c r="G61" s="80">
        <f t="shared" si="0"/>
        <v>2</v>
      </c>
      <c r="H61" s="81"/>
      <c r="I61" s="106"/>
      <c r="J61" s="107"/>
      <c r="K61" s="83"/>
      <c r="L61" s="84"/>
    </row>
    <row r="62" spans="1:12" s="75" customFormat="1" ht="14.25" x14ac:dyDescent="0.2">
      <c r="A62" s="140">
        <v>200270</v>
      </c>
      <c r="B62" s="69" t="str">
        <f>VLOOKUP(A62,MO!$A:$C,2,0)</f>
        <v>Pintor</v>
      </c>
      <c r="C62" s="98" t="str">
        <f>VLOOKUP(A62,MO!$A:$C,3,0)</f>
        <v>hora</v>
      </c>
      <c r="D62" s="98">
        <f>VLOOKUP(A62,MO!$A:$D,4,0)</f>
        <v>0</v>
      </c>
      <c r="E62" s="92"/>
      <c r="F62" s="396">
        <f>IFERROR(VLOOKUP(A62,'hora.mo.obra'!$A$2:$C$29,3,0),0)</f>
        <v>2.4047000000000001</v>
      </c>
      <c r="G62" s="80">
        <f t="shared" si="0"/>
        <v>1</v>
      </c>
      <c r="H62" s="81"/>
      <c r="I62" s="106"/>
      <c r="J62" s="107"/>
      <c r="K62" s="83"/>
      <c r="L62" s="84"/>
    </row>
    <row r="63" spans="1:12" s="75" customFormat="1" ht="14.25" x14ac:dyDescent="0.2">
      <c r="A63" s="140">
        <v>210070</v>
      </c>
      <c r="B63" s="69" t="str">
        <f>VLOOKUP(A63,MO!$A:$C,2,0)</f>
        <v>Pré-marcador (Sinalização)</v>
      </c>
      <c r="C63" s="98" t="str">
        <f>VLOOKUP(A63,MO!$A:$C,3,0)</f>
        <v>hora</v>
      </c>
      <c r="D63" s="98">
        <f>VLOOKUP(A63,MO!$A:$D,4,0)</f>
        <v>0</v>
      </c>
      <c r="E63" s="92"/>
      <c r="F63" s="396">
        <f>IFERROR(VLOOKUP(A63,'hora.mo.obra'!$A$2:$C$29,3,0),0)</f>
        <v>0</v>
      </c>
      <c r="G63" s="80">
        <f t="shared" si="0"/>
        <v>0</v>
      </c>
      <c r="H63" s="81"/>
      <c r="I63" s="106"/>
      <c r="J63" s="107"/>
      <c r="K63" s="83"/>
      <c r="L63" s="84"/>
    </row>
    <row r="64" spans="1:12" s="75" customFormat="1" ht="14.25" x14ac:dyDescent="0.2">
      <c r="A64" s="140">
        <v>210090</v>
      </c>
      <c r="B64" s="69" t="str">
        <f>VLOOKUP(A64,MO!$A:$C,2,0)</f>
        <v>Serralheiro</v>
      </c>
      <c r="C64" s="98" t="str">
        <f>VLOOKUP(A64,MO!$A:$C,3,0)</f>
        <v>hora</v>
      </c>
      <c r="D64" s="98">
        <f>VLOOKUP(A64,MO!$A:$D,4,0)</f>
        <v>0</v>
      </c>
      <c r="E64" s="92"/>
      <c r="F64" s="396">
        <f>IFERROR(VLOOKUP(A64,'hora.mo.obra'!$A$2:$C$29,3,0),0)</f>
        <v>6</v>
      </c>
      <c r="G64" s="80">
        <f t="shared" si="0"/>
        <v>1</v>
      </c>
      <c r="H64" s="81"/>
      <c r="I64" s="106"/>
      <c r="J64" s="107"/>
      <c r="K64" s="83"/>
      <c r="L64" s="84"/>
    </row>
    <row r="65" spans="1:12" s="75" customFormat="1" ht="14.25" x14ac:dyDescent="0.2">
      <c r="A65" s="140">
        <v>200130</v>
      </c>
      <c r="B65" s="69" t="str">
        <f>VLOOKUP(A65,MO!$A:$C,2,0)</f>
        <v>Servente</v>
      </c>
      <c r="C65" s="98" t="str">
        <f>VLOOKUP(A65,MO!$A:$C,3,0)</f>
        <v>hora</v>
      </c>
      <c r="D65" s="98">
        <f>VLOOKUP(A65,MO!$A:$D,4,0)</f>
        <v>0</v>
      </c>
      <c r="E65" s="92"/>
      <c r="F65" s="396">
        <f>IFERROR(VLOOKUP(A65,'hora.mo.obra'!$A$2:$C$29,3,0),0)</f>
        <v>30297.7441</v>
      </c>
      <c r="G65" s="80">
        <f>ROUNDUP(IF(C65="mês",E65,(F65/($L$4*$L$5))),0)</f>
        <v>17</v>
      </c>
      <c r="H65" s="81"/>
      <c r="I65" s="106"/>
      <c r="J65" s="107"/>
      <c r="K65" s="83"/>
      <c r="L65" s="84"/>
    </row>
    <row r="66" spans="1:12" s="75" customFormat="1" ht="14.25" x14ac:dyDescent="0.2">
      <c r="A66" s="140">
        <v>200280</v>
      </c>
      <c r="B66" s="69" t="str">
        <f>VLOOKUP(A66,MO!$A:$C,2,0)</f>
        <v>Soldador</v>
      </c>
      <c r="C66" s="98" t="str">
        <f>VLOOKUP(A66,MO!$A:$C,3,0)</f>
        <v>hora</v>
      </c>
      <c r="D66" s="98">
        <f>VLOOKUP(A66,MO!$A:$D,4,0)</f>
        <v>0</v>
      </c>
      <c r="E66" s="92"/>
      <c r="F66" s="396">
        <f>IFERROR(VLOOKUP(A66,'hora.mo.obra'!$A$2:$C$29,3,0),0)</f>
        <v>0</v>
      </c>
      <c r="G66" s="80">
        <f t="shared" si="0"/>
        <v>0</v>
      </c>
      <c r="H66" s="81"/>
      <c r="I66" s="106"/>
      <c r="J66" s="107"/>
      <c r="K66" s="83"/>
      <c r="L66" s="84"/>
    </row>
    <row r="67" spans="1:12" s="75" customFormat="1" ht="14.25" x14ac:dyDescent="0.2">
      <c r="A67" s="140">
        <v>210060</v>
      </c>
      <c r="B67" s="69" t="str">
        <f>VLOOKUP(A67,MO!$A:$C,2,0)</f>
        <v>Técnico de Campo I</v>
      </c>
      <c r="C67" s="98" t="str">
        <f>VLOOKUP(A67,MO!$A:$C,3,0)</f>
        <v>hora</v>
      </c>
      <c r="D67" s="98">
        <f>VLOOKUP(A67,MO!$A:$D,4,0)</f>
        <v>0</v>
      </c>
      <c r="E67" s="92"/>
      <c r="F67" s="396">
        <f>IFERROR(VLOOKUP(A67,'hora.mo.obra'!$A$2:$C$29,3,0),0)</f>
        <v>2012.8244</v>
      </c>
      <c r="G67" s="80">
        <f t="shared" si="0"/>
        <v>2</v>
      </c>
      <c r="H67" s="81"/>
      <c r="I67" s="106"/>
      <c r="J67" s="107"/>
      <c r="K67" s="83"/>
      <c r="L67" s="84"/>
    </row>
    <row r="68" spans="1:12" s="75" customFormat="1" ht="14.25" x14ac:dyDescent="0.2">
      <c r="A68" s="140">
        <v>200250</v>
      </c>
      <c r="B68" s="69" t="str">
        <f>VLOOKUP(A68,MO!$A:$C,2,0)</f>
        <v>Técnico de Campo III</v>
      </c>
      <c r="C68" s="98" t="str">
        <f>VLOOKUP(A68,MO!$A:$C,3,0)</f>
        <v>hora</v>
      </c>
      <c r="D68" s="98">
        <f>VLOOKUP(A68,MO!$A:$D,4,0)</f>
        <v>0</v>
      </c>
      <c r="E68" s="92"/>
      <c r="F68" s="396">
        <f>IFERROR(VLOOKUP(A68,'hora.mo.obra'!$A$2:$C$29,3,0),0)</f>
        <v>57.088200000000001</v>
      </c>
      <c r="G68" s="80">
        <f t="shared" si="0"/>
        <v>1</v>
      </c>
      <c r="H68" s="81"/>
      <c r="I68" s="106"/>
      <c r="J68" s="107"/>
      <c r="K68" s="83"/>
      <c r="L68" s="84"/>
    </row>
    <row r="69" spans="1:12" s="75" customFormat="1" ht="15.75" customHeight="1" x14ac:dyDescent="0.2">
      <c r="A69" s="140">
        <v>210080</v>
      </c>
      <c r="B69" s="69" t="str">
        <f>VLOOKUP(A69,MO!$A:$C,2,0)</f>
        <v>Topógrafo</v>
      </c>
      <c r="C69" s="98" t="str">
        <f>VLOOKUP(A69,MO!$A:$C,3,0)</f>
        <v>hora</v>
      </c>
      <c r="D69" s="98">
        <f>VLOOKUP(A69,MO!$A:$D,4,0)</f>
        <v>0</v>
      </c>
      <c r="E69" s="92"/>
      <c r="F69" s="396">
        <f>IFERROR(VLOOKUP(A69,'hora.mo.obra'!$A$2:$C$29,3,0),0)</f>
        <v>3.9527000000000001</v>
      </c>
      <c r="G69" s="80">
        <f>ROUNDUP(IF(C69="mês",E69,(F69/($L$4*$L$5))),0)</f>
        <v>1</v>
      </c>
      <c r="H69" s="81"/>
      <c r="I69" s="106"/>
      <c r="J69" s="107"/>
      <c r="K69" s="83"/>
      <c r="L69" s="84"/>
    </row>
    <row r="70" spans="1:12" s="75" customFormat="1" ht="25.5" customHeight="1" x14ac:dyDescent="0.25">
      <c r="A70" s="429" t="s">
        <v>352</v>
      </c>
      <c r="B70" s="429"/>
      <c r="C70" s="429"/>
      <c r="D70" s="429"/>
      <c r="E70" s="429"/>
      <c r="F70" s="429"/>
      <c r="G70" s="429"/>
      <c r="H70" s="429"/>
      <c r="I70" s="429"/>
      <c r="J70" s="429"/>
      <c r="K70" s="429"/>
      <c r="L70" s="87"/>
    </row>
    <row r="71" spans="1:12" s="75" customFormat="1" ht="19.5" customHeight="1" x14ac:dyDescent="0.25">
      <c r="A71" s="436" t="s">
        <v>246</v>
      </c>
      <c r="B71" s="436"/>
      <c r="C71" s="436"/>
      <c r="D71" s="436"/>
      <c r="E71" s="436"/>
      <c r="F71" s="436"/>
      <c r="G71" s="436"/>
      <c r="H71" s="436"/>
      <c r="I71" s="436"/>
      <c r="J71" s="436"/>
      <c r="K71" s="436"/>
      <c r="L71" s="436"/>
    </row>
    <row r="72" spans="1:12" x14ac:dyDescent="0.25">
      <c r="C72" s="130" t="s">
        <v>443</v>
      </c>
      <c r="E72" s="123">
        <f>SUM(G10:G37)</f>
        <v>5</v>
      </c>
      <c r="F72" s="124"/>
      <c r="G72" s="123">
        <f>SUM(G38:G69)</f>
        <v>43</v>
      </c>
      <c r="H72" s="124"/>
      <c r="I72" s="123">
        <f>E72+G72</f>
        <v>48</v>
      </c>
    </row>
    <row r="73" spans="1:12" x14ac:dyDescent="0.25">
      <c r="C73" s="130"/>
      <c r="E73" s="126" t="s">
        <v>444</v>
      </c>
      <c r="G73" s="126" t="s">
        <v>445</v>
      </c>
      <c r="H73" s="128"/>
      <c r="I73" s="126" t="s">
        <v>446</v>
      </c>
    </row>
    <row r="74" spans="1:12" x14ac:dyDescent="0.25">
      <c r="F74" s="129"/>
      <c r="G74" s="130"/>
      <c r="H74" s="124"/>
      <c r="I74" s="124"/>
    </row>
    <row r="75" spans="1:12" hidden="1" x14ac:dyDescent="0.25">
      <c r="B75" s="457" t="s">
        <v>553</v>
      </c>
      <c r="C75" s="457"/>
      <c r="D75" s="457"/>
      <c r="G75" s="158" t="s">
        <v>447</v>
      </c>
    </row>
    <row r="76" spans="1:12" hidden="1" x14ac:dyDescent="0.25">
      <c r="B76" s="457"/>
      <c r="C76" s="457"/>
      <c r="D76" s="457"/>
      <c r="G76" s="126">
        <f>H76*16</f>
        <v>0</v>
      </c>
      <c r="H76" s="191">
        <v>0</v>
      </c>
      <c r="I76" s="75" t="s">
        <v>470</v>
      </c>
    </row>
    <row r="77" spans="1:12" hidden="1" x14ac:dyDescent="0.25">
      <c r="B77" s="457"/>
      <c r="C77" s="457"/>
      <c r="D77" s="457"/>
      <c r="G77" s="126">
        <f>H77*30</f>
        <v>30</v>
      </c>
      <c r="H77" s="191">
        <v>1</v>
      </c>
      <c r="I77" s="75" t="s">
        <v>471</v>
      </c>
    </row>
    <row r="78" spans="1:12" hidden="1" x14ac:dyDescent="0.25">
      <c r="B78" s="457"/>
      <c r="C78" s="457"/>
      <c r="D78" s="457"/>
      <c r="G78" s="126">
        <f>H78*40</f>
        <v>0</v>
      </c>
      <c r="H78" s="191">
        <v>0</v>
      </c>
      <c r="I78" s="75" t="s">
        <v>472</v>
      </c>
    </row>
    <row r="79" spans="1:12" hidden="1" x14ac:dyDescent="0.25">
      <c r="B79" s="457"/>
      <c r="C79" s="457"/>
      <c r="D79" s="457"/>
      <c r="F79" s="192" t="s">
        <v>473</v>
      </c>
      <c r="G79" s="159">
        <f>SUM(G76:G78)</f>
        <v>30</v>
      </c>
    </row>
    <row r="80" spans="1:12" hidden="1" x14ac:dyDescent="0.25">
      <c r="B80" s="457"/>
      <c r="C80" s="457"/>
      <c r="D80" s="457"/>
      <c r="F80" s="75" t="s">
        <v>551</v>
      </c>
      <c r="G80" s="193">
        <f>G79/$G$72</f>
        <v>0.69767441860465118</v>
      </c>
      <c r="H80" s="75" t="str">
        <f>IF(G80&gt;75%,"Atende","Recalcular")</f>
        <v>Recalcular</v>
      </c>
    </row>
    <row r="81" spans="1:13" hidden="1" x14ac:dyDescent="0.25">
      <c r="B81" s="457"/>
      <c r="C81" s="457"/>
      <c r="D81" s="457"/>
    </row>
    <row r="82" spans="1:13" hidden="1" x14ac:dyDescent="0.25">
      <c r="B82" s="457"/>
      <c r="C82" s="457"/>
      <c r="D82" s="457"/>
      <c r="H82" s="126">
        <v>16</v>
      </c>
      <c r="I82" s="76">
        <v>0</v>
      </c>
      <c r="J82" s="126">
        <f>H82*I82</f>
        <v>0</v>
      </c>
      <c r="K82" s="126">
        <f>I82*44*$L$4</f>
        <v>0</v>
      </c>
      <c r="L82" s="126">
        <f>CHP!$C$113</f>
        <v>226.94</v>
      </c>
      <c r="M82" s="125">
        <f>TRUNC(K82*L82,2)</f>
        <v>0</v>
      </c>
    </row>
    <row r="83" spans="1:13" hidden="1" x14ac:dyDescent="0.25">
      <c r="B83" s="457"/>
      <c r="C83" s="457"/>
      <c r="D83" s="457"/>
      <c r="H83" s="126">
        <v>30</v>
      </c>
      <c r="I83" s="76">
        <v>1</v>
      </c>
      <c r="J83" s="126">
        <f>H83*I83</f>
        <v>30</v>
      </c>
      <c r="K83" s="126">
        <f t="shared" ref="K83:K84" si="1">I83*44*$L$4</f>
        <v>440</v>
      </c>
      <c r="L83" s="126">
        <f>CHP!$C$114</f>
        <v>230.02</v>
      </c>
      <c r="M83" s="125">
        <f t="shared" ref="M83:M84" si="2">TRUNC(K83*L83,2)</f>
        <v>101208.8</v>
      </c>
    </row>
    <row r="84" spans="1:13" hidden="1" x14ac:dyDescent="0.25">
      <c r="B84" s="457"/>
      <c r="C84" s="457"/>
      <c r="D84" s="457"/>
      <c r="H84" s="126">
        <v>40</v>
      </c>
      <c r="I84" s="76">
        <v>0</v>
      </c>
      <c r="J84" s="126">
        <f t="shared" ref="J84" si="3">H84*I84</f>
        <v>0</v>
      </c>
      <c r="K84" s="126">
        <f t="shared" si="1"/>
        <v>0</v>
      </c>
      <c r="L84" s="126">
        <f>CHP!$C$206</f>
        <v>391.07</v>
      </c>
      <c r="M84" s="125">
        <f t="shared" si="2"/>
        <v>0</v>
      </c>
    </row>
    <row r="85" spans="1:13" hidden="1" x14ac:dyDescent="0.25">
      <c r="B85" s="457"/>
      <c r="C85" s="457"/>
      <c r="D85" s="457"/>
      <c r="J85" s="130">
        <f>SUM(J82:J84)</f>
        <v>30</v>
      </c>
      <c r="M85" s="194">
        <f>SUM(M82:M84)</f>
        <v>101208.8</v>
      </c>
    </row>
    <row r="86" spans="1:13" hidden="1" x14ac:dyDescent="0.25">
      <c r="B86" s="457"/>
      <c r="C86" s="457"/>
      <c r="D86" s="457"/>
      <c r="J86" s="75">
        <f>J85/$G$72</f>
        <v>0.69767441860465118</v>
      </c>
    </row>
    <row r="90" spans="1:13" x14ac:dyDescent="0.25">
      <c r="A90" s="480" t="s">
        <v>552</v>
      </c>
      <c r="B90" s="480"/>
      <c r="C90" s="480"/>
    </row>
    <row r="91" spans="1:13" x14ac:dyDescent="0.25">
      <c r="A91" s="455" t="s">
        <v>556</v>
      </c>
      <c r="B91" s="455"/>
      <c r="C91" s="455"/>
    </row>
    <row r="92" spans="1:13" x14ac:dyDescent="0.25">
      <c r="A92" s="456" t="s">
        <v>557</v>
      </c>
      <c r="B92" s="456"/>
      <c r="C92" s="456"/>
    </row>
  </sheetData>
  <mergeCells count="14">
    <mergeCell ref="B75:D86"/>
    <mergeCell ref="A71:L71"/>
    <mergeCell ref="A90:C90"/>
    <mergeCell ref="A91:C91"/>
    <mergeCell ref="A92:C92"/>
    <mergeCell ref="A6:K6"/>
    <mergeCell ref="A7:L7"/>
    <mergeCell ref="A8:L8"/>
    <mergeCell ref="A70:K70"/>
    <mergeCell ref="A1:L1"/>
    <mergeCell ref="A2:L2"/>
    <mergeCell ref="A3:L3"/>
    <mergeCell ref="A4:K4"/>
    <mergeCell ref="A5:K5"/>
  </mergeCells>
  <printOptions horizontalCentered="1" verticalCentered="1"/>
  <pageMargins left="0.19685039370078741" right="0.19685039370078741" top="0.23622047244094491" bottom="0.19685039370078741" header="0.51181102362204722" footer="0.59055118110236227"/>
  <pageSetup paperSize="8" fitToHeight="0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600-000000000000}">
          <x14:formula1>
            <xm:f>MO!$B$73:$B$80</xm:f>
          </x14:formula1>
          <xm:sqref>J10:J69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1F3F5D-C89F-4621-8CFB-A551B40F164E}">
  <dimension ref="A1:C55"/>
  <sheetViews>
    <sheetView topLeftCell="A21" zoomScale="90" zoomScaleNormal="90" workbookViewId="0">
      <selection activeCell="A46" sqref="A46:C55"/>
    </sheetView>
  </sheetViews>
  <sheetFormatPr defaultRowHeight="15" x14ac:dyDescent="0.25"/>
  <cols>
    <col min="1" max="1" width="9.140625" style="1"/>
    <col min="2" max="2" width="39.7109375" style="395" customWidth="1"/>
    <col min="3" max="3" width="15.28515625" style="1" customWidth="1"/>
  </cols>
  <sheetData>
    <row r="1" spans="1:3" ht="23.25" customHeight="1" x14ac:dyDescent="0.25">
      <c r="A1" s="217" t="s">
        <v>30</v>
      </c>
      <c r="B1" s="218" t="s">
        <v>31</v>
      </c>
      <c r="C1" s="217" t="s">
        <v>483</v>
      </c>
    </row>
    <row r="2" spans="1:3" ht="15" customHeight="1" x14ac:dyDescent="0.25">
      <c r="A2" s="481">
        <v>373200</v>
      </c>
      <c r="B2" s="482" t="s">
        <v>194</v>
      </c>
      <c r="C2" s="483">
        <v>921.96360000000004</v>
      </c>
    </row>
    <row r="3" spans="1:3" ht="15" customHeight="1" x14ac:dyDescent="0.25">
      <c r="A3" s="481">
        <v>313180</v>
      </c>
      <c r="B3" s="482" t="s">
        <v>164</v>
      </c>
      <c r="C3" s="483">
        <v>372.32929999999999</v>
      </c>
    </row>
    <row r="4" spans="1:3" ht="15" customHeight="1" x14ac:dyDescent="0.25">
      <c r="A4" s="481">
        <v>323514</v>
      </c>
      <c r="B4" s="482" t="s">
        <v>448</v>
      </c>
      <c r="C4" s="484">
        <v>2068.4403000000002</v>
      </c>
    </row>
    <row r="5" spans="1:3" ht="15" customHeight="1" x14ac:dyDescent="0.25">
      <c r="A5" s="481">
        <v>321820</v>
      </c>
      <c r="B5" s="482" t="s">
        <v>154</v>
      </c>
      <c r="C5" s="483">
        <v>205.13470000000001</v>
      </c>
    </row>
    <row r="6" spans="1:3" ht="15" customHeight="1" x14ac:dyDescent="0.25">
      <c r="A6" s="481">
        <v>346050</v>
      </c>
      <c r="B6" s="482" t="s">
        <v>177</v>
      </c>
      <c r="C6" s="485">
        <v>38.238</v>
      </c>
    </row>
    <row r="7" spans="1:3" ht="15" customHeight="1" x14ac:dyDescent="0.25">
      <c r="A7" s="481">
        <v>346000</v>
      </c>
      <c r="B7" s="482" t="s">
        <v>157</v>
      </c>
      <c r="C7" s="484">
        <v>1215.3185000000001</v>
      </c>
    </row>
    <row r="8" spans="1:3" ht="15" customHeight="1" x14ac:dyDescent="0.25">
      <c r="A8" s="481">
        <v>346080</v>
      </c>
      <c r="B8" s="482" t="s">
        <v>171</v>
      </c>
      <c r="C8" s="486">
        <v>7.8121</v>
      </c>
    </row>
    <row r="9" spans="1:3" ht="15" customHeight="1" x14ac:dyDescent="0.25">
      <c r="A9" s="481">
        <v>346060</v>
      </c>
      <c r="B9" s="482" t="s">
        <v>184</v>
      </c>
      <c r="C9" s="483">
        <v>378.44920000000002</v>
      </c>
    </row>
    <row r="10" spans="1:3" ht="15" customHeight="1" x14ac:dyDescent="0.25">
      <c r="A10" s="481">
        <v>340030</v>
      </c>
      <c r="B10" s="482" t="s">
        <v>449</v>
      </c>
      <c r="C10" s="485">
        <v>32.628700000000002</v>
      </c>
    </row>
    <row r="11" spans="1:3" ht="15" customHeight="1" x14ac:dyDescent="0.25">
      <c r="A11" s="481">
        <v>300110</v>
      </c>
      <c r="B11" s="482" t="s">
        <v>147</v>
      </c>
      <c r="C11" s="483">
        <v>138.78749999999999</v>
      </c>
    </row>
    <row r="12" spans="1:3" ht="15" customHeight="1" x14ac:dyDescent="0.25">
      <c r="A12" s="481">
        <v>329300</v>
      </c>
      <c r="B12" s="482" t="s">
        <v>37</v>
      </c>
      <c r="C12" s="483">
        <v>128.49279999999999</v>
      </c>
    </row>
    <row r="13" spans="1:3" ht="15" customHeight="1" x14ac:dyDescent="0.25">
      <c r="A13" s="481">
        <v>301800</v>
      </c>
      <c r="B13" s="482" t="s">
        <v>196</v>
      </c>
      <c r="C13" s="484">
        <v>2503.6111000000001</v>
      </c>
    </row>
    <row r="14" spans="1:3" ht="15" customHeight="1" x14ac:dyDescent="0.25">
      <c r="A14" s="481">
        <v>340200</v>
      </c>
      <c r="B14" s="482" t="s">
        <v>197</v>
      </c>
      <c r="C14" s="483">
        <v>235.39699999999999</v>
      </c>
    </row>
    <row r="15" spans="1:3" ht="15" customHeight="1" x14ac:dyDescent="0.25">
      <c r="A15" s="481">
        <v>311500</v>
      </c>
      <c r="B15" s="482" t="s">
        <v>55</v>
      </c>
      <c r="C15" s="485">
        <v>52.5</v>
      </c>
    </row>
    <row r="16" spans="1:3" ht="15" customHeight="1" x14ac:dyDescent="0.25">
      <c r="A16" s="481">
        <v>313200</v>
      </c>
      <c r="B16" s="482" t="s">
        <v>46</v>
      </c>
      <c r="C16" s="483">
        <v>159.62960000000001</v>
      </c>
    </row>
    <row r="17" spans="1:3" ht="15" customHeight="1" x14ac:dyDescent="0.25">
      <c r="A17" s="481">
        <v>310800</v>
      </c>
      <c r="B17" s="482" t="s">
        <v>418</v>
      </c>
      <c r="C17" s="483">
        <v>127.22629999999999</v>
      </c>
    </row>
    <row r="18" spans="1:3" ht="15" customHeight="1" x14ac:dyDescent="0.25">
      <c r="A18" s="481">
        <v>370060</v>
      </c>
      <c r="B18" s="482" t="s">
        <v>148</v>
      </c>
      <c r="C18" s="485">
        <v>38.237699999999997</v>
      </c>
    </row>
    <row r="19" spans="1:3" ht="15" customHeight="1" x14ac:dyDescent="0.25">
      <c r="A19" s="481">
        <v>390100</v>
      </c>
      <c r="B19" s="482" t="s">
        <v>60</v>
      </c>
      <c r="C19" s="483">
        <v>119.7471</v>
      </c>
    </row>
    <row r="20" spans="1:3" ht="15" customHeight="1" x14ac:dyDescent="0.25">
      <c r="A20" s="481">
        <v>300240</v>
      </c>
      <c r="B20" s="482" t="s">
        <v>203</v>
      </c>
      <c r="C20" s="483">
        <v>201.68549999999999</v>
      </c>
    </row>
    <row r="21" spans="1:3" ht="15" customHeight="1" x14ac:dyDescent="0.25">
      <c r="A21" s="481">
        <v>340300</v>
      </c>
      <c r="B21" s="482" t="s">
        <v>421</v>
      </c>
      <c r="C21" s="483">
        <v>252.35480000000001</v>
      </c>
    </row>
    <row r="22" spans="1:3" ht="15" customHeight="1" x14ac:dyDescent="0.25">
      <c r="A22" s="481">
        <v>341810</v>
      </c>
      <c r="B22" s="482" t="s">
        <v>206</v>
      </c>
      <c r="C22" s="485">
        <v>83.745699999999999</v>
      </c>
    </row>
    <row r="23" spans="1:3" ht="15" customHeight="1" x14ac:dyDescent="0.25">
      <c r="A23" s="481">
        <v>343600</v>
      </c>
      <c r="B23" s="482" t="s">
        <v>207</v>
      </c>
      <c r="C23" s="483">
        <v>110.324</v>
      </c>
    </row>
    <row r="24" spans="1:3" ht="15" customHeight="1" x14ac:dyDescent="0.25">
      <c r="A24" s="481">
        <v>370440</v>
      </c>
      <c r="B24" s="482" t="s">
        <v>162</v>
      </c>
      <c r="C24" s="485">
        <v>33.296399999999998</v>
      </c>
    </row>
    <row r="25" spans="1:3" ht="15" customHeight="1" x14ac:dyDescent="0.25">
      <c r="A25" s="481">
        <v>321400</v>
      </c>
      <c r="B25" s="482" t="s">
        <v>74</v>
      </c>
      <c r="C25" s="483">
        <v>138.2876</v>
      </c>
    </row>
    <row r="26" spans="1:3" ht="15" customHeight="1" x14ac:dyDescent="0.25">
      <c r="A26" s="481">
        <v>311200</v>
      </c>
      <c r="B26" s="482" t="s">
        <v>67</v>
      </c>
      <c r="C26" s="485">
        <v>92.176900000000003</v>
      </c>
    </row>
    <row r="27" spans="1:3" ht="15" customHeight="1" x14ac:dyDescent="0.25">
      <c r="A27" s="481">
        <v>321200</v>
      </c>
      <c r="B27" s="482" t="s">
        <v>68</v>
      </c>
      <c r="C27" s="485">
        <v>61.1646</v>
      </c>
    </row>
    <row r="28" spans="1:3" ht="15" customHeight="1" x14ac:dyDescent="0.25">
      <c r="A28" s="481">
        <v>310400</v>
      </c>
      <c r="B28" s="482" t="s">
        <v>70</v>
      </c>
      <c r="C28" s="485">
        <v>30.017099999999999</v>
      </c>
    </row>
    <row r="29" spans="1:3" ht="15" customHeight="1" x14ac:dyDescent="0.25">
      <c r="A29" s="481">
        <v>312520</v>
      </c>
      <c r="B29" s="482" t="s">
        <v>83</v>
      </c>
      <c r="C29" s="483">
        <v>203.33080000000001</v>
      </c>
    </row>
    <row r="30" spans="1:3" ht="15" customHeight="1" x14ac:dyDescent="0.25">
      <c r="A30" s="481">
        <v>322520</v>
      </c>
      <c r="B30" s="482" t="s">
        <v>84</v>
      </c>
      <c r="C30" s="485">
        <v>27.599900000000002</v>
      </c>
    </row>
    <row r="31" spans="1:3" ht="15" customHeight="1" x14ac:dyDescent="0.25">
      <c r="A31" s="481">
        <v>340270</v>
      </c>
      <c r="B31" s="482" t="s">
        <v>90</v>
      </c>
      <c r="C31" s="483">
        <v>232.48050000000001</v>
      </c>
    </row>
    <row r="32" spans="1:3" ht="15" customHeight="1" x14ac:dyDescent="0.25">
      <c r="A32" s="481">
        <v>342220</v>
      </c>
      <c r="B32" s="482" t="s">
        <v>427</v>
      </c>
      <c r="C32" s="485">
        <v>82.361599999999996</v>
      </c>
    </row>
    <row r="33" spans="1:3" x14ac:dyDescent="0.25">
      <c r="A33" s="481">
        <v>341840</v>
      </c>
      <c r="B33" s="482" t="s">
        <v>95</v>
      </c>
      <c r="C33" s="483">
        <v>195.83279999999999</v>
      </c>
    </row>
    <row r="34" spans="1:3" x14ac:dyDescent="0.25">
      <c r="A34" s="481">
        <v>340250</v>
      </c>
      <c r="B34" s="482" t="s">
        <v>429</v>
      </c>
      <c r="C34" s="483">
        <v>109.03</v>
      </c>
    </row>
    <row r="35" spans="1:3" x14ac:dyDescent="0.25">
      <c r="A35" s="481">
        <v>370130</v>
      </c>
      <c r="B35" s="482" t="s">
        <v>216</v>
      </c>
      <c r="C35" s="483">
        <v>252.39279999999999</v>
      </c>
    </row>
    <row r="36" spans="1:3" x14ac:dyDescent="0.25">
      <c r="A36" s="481">
        <v>300200</v>
      </c>
      <c r="B36" s="482" t="s">
        <v>102</v>
      </c>
      <c r="C36" s="485">
        <v>76.475999999999999</v>
      </c>
    </row>
    <row r="37" spans="1:3" x14ac:dyDescent="0.25">
      <c r="A37" s="481">
        <v>300210</v>
      </c>
      <c r="B37" s="482" t="s">
        <v>103</v>
      </c>
      <c r="C37" s="483">
        <v>220.64789999999999</v>
      </c>
    </row>
    <row r="38" spans="1:3" x14ac:dyDescent="0.25">
      <c r="A38" s="481">
        <v>341000</v>
      </c>
      <c r="B38" s="482" t="s">
        <v>104</v>
      </c>
      <c r="C38" s="483">
        <v>139.792</v>
      </c>
    </row>
    <row r="39" spans="1:3" x14ac:dyDescent="0.25">
      <c r="A39" s="481">
        <v>341100</v>
      </c>
      <c r="B39" s="482" t="s">
        <v>105</v>
      </c>
      <c r="C39" s="483">
        <v>201.6883</v>
      </c>
    </row>
    <row r="40" spans="1:3" x14ac:dyDescent="0.25">
      <c r="A40" s="481">
        <v>320060</v>
      </c>
      <c r="B40" s="482" t="s">
        <v>437</v>
      </c>
      <c r="C40" s="485">
        <v>49.258099999999999</v>
      </c>
    </row>
    <row r="41" spans="1:3" x14ac:dyDescent="0.25">
      <c r="A41" s="481">
        <v>300140</v>
      </c>
      <c r="B41" s="482" t="s">
        <v>168</v>
      </c>
      <c r="C41" s="483">
        <v>110.324</v>
      </c>
    </row>
    <row r="42" spans="1:3" x14ac:dyDescent="0.25">
      <c r="A42" s="481">
        <v>303500</v>
      </c>
      <c r="B42" s="482" t="s">
        <v>129</v>
      </c>
      <c r="C42" s="485">
        <v>83.746799999999993</v>
      </c>
    </row>
    <row r="43" spans="1:3" x14ac:dyDescent="0.25">
      <c r="A43" s="481">
        <v>300090</v>
      </c>
      <c r="B43" s="482" t="s">
        <v>221</v>
      </c>
      <c r="C43" s="483">
        <v>165.67259999999999</v>
      </c>
    </row>
    <row r="44" spans="1:3" x14ac:dyDescent="0.25">
      <c r="A44" s="481">
        <v>370450</v>
      </c>
      <c r="B44" s="482" t="s">
        <v>223</v>
      </c>
      <c r="C44" s="484">
        <v>1843.8095000000001</v>
      </c>
    </row>
    <row r="45" spans="1:3" x14ac:dyDescent="0.25">
      <c r="A45" s="481">
        <v>340410</v>
      </c>
      <c r="B45" s="482" t="s">
        <v>131</v>
      </c>
      <c r="C45" s="485">
        <v>69.824399999999997</v>
      </c>
    </row>
    <row r="46" spans="1:3" x14ac:dyDescent="0.25">
      <c r="A46" s="398"/>
      <c r="B46" s="399"/>
      <c r="C46" s="400"/>
    </row>
    <row r="47" spans="1:3" x14ac:dyDescent="0.25">
      <c r="A47" s="398"/>
      <c r="B47" s="399"/>
      <c r="C47" s="401"/>
    </row>
    <row r="48" spans="1:3" x14ac:dyDescent="0.25">
      <c r="A48" s="398"/>
      <c r="B48" s="399"/>
      <c r="C48" s="401"/>
    </row>
    <row r="49" spans="1:3" x14ac:dyDescent="0.25">
      <c r="A49" s="398"/>
      <c r="B49" s="399"/>
      <c r="C49" s="401"/>
    </row>
    <row r="50" spans="1:3" x14ac:dyDescent="0.25">
      <c r="A50" s="398"/>
      <c r="B50" s="399"/>
      <c r="C50" s="401"/>
    </row>
    <row r="51" spans="1:3" x14ac:dyDescent="0.25">
      <c r="A51" s="398"/>
      <c r="B51" s="399"/>
      <c r="C51" s="401"/>
    </row>
    <row r="52" spans="1:3" x14ac:dyDescent="0.25">
      <c r="A52" s="398"/>
      <c r="B52" s="399"/>
      <c r="C52" s="402"/>
    </row>
    <row r="53" spans="1:3" x14ac:dyDescent="0.25">
      <c r="A53" s="398"/>
      <c r="B53" s="399"/>
      <c r="C53" s="400"/>
    </row>
    <row r="54" spans="1:3" x14ac:dyDescent="0.25">
      <c r="A54" s="398"/>
      <c r="B54" s="399"/>
      <c r="C54" s="400"/>
    </row>
    <row r="55" spans="1:3" x14ac:dyDescent="0.25">
      <c r="A55" s="398"/>
      <c r="B55" s="399"/>
      <c r="C55" s="401"/>
    </row>
  </sheetData>
  <pageMargins left="0.511811024" right="0.511811024" top="0.78740157499999996" bottom="0.78740157499999996" header="0.31496062000000002" footer="0.3149606200000000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325CC9-39EE-478B-94DF-9DF15A32FB48}">
  <dimension ref="A1:AQ208"/>
  <sheetViews>
    <sheetView zoomScale="80" zoomScaleNormal="80" workbookViewId="0">
      <selection activeCell="H44" sqref="H44"/>
    </sheetView>
  </sheetViews>
  <sheetFormatPr defaultColWidth="9.140625" defaultRowHeight="15" x14ac:dyDescent="0.25"/>
  <cols>
    <col min="1" max="1" width="9.140625" style="223"/>
    <col min="2" max="2" width="54.42578125" style="223" customWidth="1"/>
    <col min="3" max="3" width="6.85546875" style="223" bestFit="1" customWidth="1"/>
    <col min="4" max="4" width="17.85546875" style="220" customWidth="1"/>
    <col min="5" max="5" width="20" style="220" customWidth="1"/>
    <col min="6" max="6" width="15.5703125" style="221" customWidth="1"/>
    <col min="7" max="7" width="12" style="222" customWidth="1"/>
    <col min="8" max="8" width="11.7109375" style="222" customWidth="1"/>
    <col min="9" max="9" width="10" style="222" customWidth="1"/>
    <col min="10" max="11" width="9.140625" style="222"/>
    <col min="12" max="12" width="10.7109375" style="222" customWidth="1"/>
    <col min="13" max="13" width="11.5703125" style="222" customWidth="1"/>
    <col min="14" max="14" width="9.140625" style="222"/>
    <col min="15" max="15" width="11.140625" style="222" customWidth="1"/>
    <col min="16" max="16" width="9.140625" style="222"/>
    <col min="17" max="17" width="10.42578125" style="222" customWidth="1"/>
    <col min="18" max="18" width="2.85546875" style="222" customWidth="1"/>
    <col min="19" max="20" width="10.42578125" style="222" customWidth="1"/>
    <col min="21" max="21" width="12" style="222" customWidth="1"/>
    <col min="22" max="22" width="2.140625" style="220" customWidth="1"/>
    <col min="23" max="28" width="10.42578125" style="220" customWidth="1"/>
    <col min="29" max="29" width="10.7109375" style="220" customWidth="1"/>
    <col min="30" max="30" width="1.85546875" style="220" customWidth="1"/>
    <col min="31" max="31" width="13.42578125" style="220" customWidth="1"/>
    <col min="32" max="39" width="10.5703125" style="220" customWidth="1"/>
    <col min="40" max="40" width="1.85546875" style="220" customWidth="1"/>
    <col min="41" max="41" width="13" style="223" customWidth="1"/>
    <col min="42" max="42" width="7" style="223" customWidth="1"/>
    <col min="43" max="43" width="42.28515625" style="223" customWidth="1"/>
    <col min="44" max="16384" width="9.140625" style="223"/>
  </cols>
  <sheetData>
    <row r="1" spans="1:43" ht="12.75" customHeight="1" x14ac:dyDescent="0.25">
      <c r="A1" s="219"/>
      <c r="B1" s="219"/>
      <c r="C1" s="219"/>
    </row>
    <row r="2" spans="1:43" ht="12.75" customHeight="1" x14ac:dyDescent="0.25">
      <c r="A2" s="219"/>
      <c r="B2" s="219"/>
      <c r="C2" s="219"/>
    </row>
    <row r="3" spans="1:43" ht="12.75" customHeight="1" x14ac:dyDescent="0.25">
      <c r="A3" s="224"/>
      <c r="B3" s="225"/>
      <c r="C3" s="225"/>
    </row>
    <row r="4" spans="1:43" ht="3.75" customHeight="1" x14ac:dyDescent="0.25">
      <c r="A4" s="226"/>
      <c r="B4" s="219"/>
      <c r="C4" s="219"/>
    </row>
    <row r="5" spans="1:43" ht="13.35" customHeight="1" x14ac:dyDescent="0.25">
      <c r="A5" s="227" t="s">
        <v>484</v>
      </c>
      <c r="B5" s="227"/>
      <c r="C5" s="228"/>
    </row>
    <row r="6" spans="1:43" ht="18.75" customHeight="1" x14ac:dyDescent="0.25">
      <c r="A6" s="229"/>
      <c r="B6" s="229"/>
      <c r="C6" s="229"/>
      <c r="G6" s="460" t="s">
        <v>485</v>
      </c>
      <c r="H6" s="461"/>
      <c r="I6" s="461"/>
      <c r="J6" s="461"/>
      <c r="K6" s="461"/>
      <c r="L6" s="461"/>
      <c r="M6" s="461"/>
      <c r="N6" s="461"/>
      <c r="O6" s="461"/>
      <c r="P6" s="461"/>
      <c r="Q6" s="461"/>
      <c r="R6" s="461"/>
      <c r="S6" s="461"/>
      <c r="T6" s="461"/>
      <c r="U6" s="461"/>
      <c r="V6" s="461"/>
      <c r="W6" s="461"/>
      <c r="X6" s="461"/>
      <c r="Y6" s="461"/>
      <c r="Z6" s="461"/>
      <c r="AA6" s="461"/>
      <c r="AB6" s="461"/>
      <c r="AC6" s="461"/>
      <c r="AD6" s="461"/>
      <c r="AE6" s="461"/>
      <c r="AF6" s="461"/>
      <c r="AG6" s="461"/>
      <c r="AH6" s="461"/>
      <c r="AI6" s="461"/>
      <c r="AJ6" s="461"/>
      <c r="AK6" s="461"/>
      <c r="AL6" s="461"/>
      <c r="AM6" s="462"/>
      <c r="AN6" s="230"/>
      <c r="AQ6" s="231">
        <v>45392</v>
      </c>
    </row>
    <row r="7" spans="1:43" ht="28.5" customHeight="1" x14ac:dyDescent="0.25">
      <c r="A7" s="229"/>
      <c r="B7" s="229"/>
      <c r="C7" s="229"/>
      <c r="G7" s="463" t="s">
        <v>486</v>
      </c>
      <c r="H7" s="464"/>
      <c r="I7" s="464"/>
      <c r="J7" s="464"/>
      <c r="K7" s="465"/>
      <c r="L7" s="466" t="s">
        <v>487</v>
      </c>
      <c r="M7" s="467"/>
      <c r="N7" s="467"/>
      <c r="O7" s="467"/>
      <c r="P7" s="467"/>
      <c r="Q7" s="468"/>
      <c r="R7" s="232"/>
      <c r="S7" s="466" t="s">
        <v>488</v>
      </c>
      <c r="T7" s="468"/>
      <c r="U7" s="233" t="s">
        <v>489</v>
      </c>
      <c r="V7" s="232"/>
      <c r="W7" s="469" t="s">
        <v>490</v>
      </c>
      <c r="X7" s="470"/>
      <c r="Y7" s="470"/>
      <c r="Z7" s="470"/>
      <c r="AA7" s="470"/>
      <c r="AB7" s="470"/>
      <c r="AC7" s="471"/>
      <c r="AD7" s="232"/>
      <c r="AE7" s="472" t="s">
        <v>491</v>
      </c>
      <c r="AF7" s="473"/>
      <c r="AG7" s="473"/>
      <c r="AH7" s="473"/>
      <c r="AI7" s="473"/>
      <c r="AJ7" s="473"/>
      <c r="AK7" s="473"/>
      <c r="AL7" s="473"/>
      <c r="AM7" s="474"/>
      <c r="AN7" s="230"/>
      <c r="AQ7" s="231"/>
    </row>
    <row r="8" spans="1:43" ht="63.75" customHeight="1" x14ac:dyDescent="0.25">
      <c r="A8" s="234" t="s">
        <v>30</v>
      </c>
      <c r="B8" s="234" t="s">
        <v>31</v>
      </c>
      <c r="C8" s="234" t="s">
        <v>355</v>
      </c>
      <c r="D8" s="234" t="s">
        <v>32</v>
      </c>
      <c r="E8" s="234" t="s">
        <v>492</v>
      </c>
      <c r="F8" s="234" t="s">
        <v>493</v>
      </c>
      <c r="G8" s="235" t="s">
        <v>494</v>
      </c>
      <c r="H8" s="236" t="s">
        <v>495</v>
      </c>
      <c r="I8" s="236" t="s">
        <v>496</v>
      </c>
      <c r="J8" s="236" t="s">
        <v>497</v>
      </c>
      <c r="K8" s="237" t="s">
        <v>498</v>
      </c>
      <c r="L8" s="238" t="s">
        <v>499</v>
      </c>
      <c r="M8" s="239" t="s">
        <v>500</v>
      </c>
      <c r="N8" s="239" t="s">
        <v>501</v>
      </c>
      <c r="O8" s="239" t="s">
        <v>502</v>
      </c>
      <c r="P8" s="239" t="s">
        <v>503</v>
      </c>
      <c r="Q8" s="240" t="s">
        <v>504</v>
      </c>
      <c r="R8" s="232"/>
      <c r="S8" s="241" t="s">
        <v>505</v>
      </c>
      <c r="T8" s="242" t="s">
        <v>506</v>
      </c>
      <c r="U8" s="243" t="s">
        <v>507</v>
      </c>
      <c r="V8" s="232"/>
      <c r="W8" s="241" t="s">
        <v>508</v>
      </c>
      <c r="X8" s="244" t="s">
        <v>509</v>
      </c>
      <c r="Y8" s="244" t="s">
        <v>510</v>
      </c>
      <c r="Z8" s="244" t="s">
        <v>511</v>
      </c>
      <c r="AA8" s="244" t="s">
        <v>512</v>
      </c>
      <c r="AB8" s="244" t="s">
        <v>513</v>
      </c>
      <c r="AC8" s="242" t="s">
        <v>514</v>
      </c>
      <c r="AD8" s="232"/>
      <c r="AE8" s="241" t="s">
        <v>515</v>
      </c>
      <c r="AF8" s="244" t="s">
        <v>516</v>
      </c>
      <c r="AG8" s="244" t="s">
        <v>517</v>
      </c>
      <c r="AH8" s="244" t="s">
        <v>518</v>
      </c>
      <c r="AI8" s="244" t="s">
        <v>519</v>
      </c>
      <c r="AJ8" s="244" t="s">
        <v>520</v>
      </c>
      <c r="AK8" s="244" t="s">
        <v>521</v>
      </c>
      <c r="AL8" s="244" t="s">
        <v>522</v>
      </c>
      <c r="AM8" s="242" t="s">
        <v>523</v>
      </c>
      <c r="AN8" s="230"/>
      <c r="AO8" s="245" t="s">
        <v>524</v>
      </c>
      <c r="AP8" s="245" t="s">
        <v>492</v>
      </c>
      <c r="AQ8" s="245" t="s">
        <v>525</v>
      </c>
    </row>
    <row r="9" spans="1:43" s="256" customFormat="1" ht="63.75" customHeight="1" x14ac:dyDescent="0.25">
      <c r="A9" s="475" t="s">
        <v>526</v>
      </c>
      <c r="B9" s="476"/>
      <c r="C9" s="476"/>
      <c r="D9" s="476"/>
      <c r="E9" s="476"/>
      <c r="F9" s="477"/>
      <c r="G9" s="246" t="s">
        <v>527</v>
      </c>
      <c r="H9" s="247"/>
      <c r="I9" s="247"/>
      <c r="J9" s="247"/>
      <c r="K9" s="248"/>
      <c r="L9" s="246"/>
      <c r="M9" s="247"/>
      <c r="N9" s="247"/>
      <c r="O9" s="247"/>
      <c r="P9" s="247"/>
      <c r="Q9" s="248"/>
      <c r="R9" s="249"/>
      <c r="S9" s="250"/>
      <c r="T9" s="251"/>
      <c r="U9" s="252"/>
      <c r="V9" s="249"/>
      <c r="W9" s="250" t="s">
        <v>527</v>
      </c>
      <c r="X9" s="253" t="s">
        <v>527</v>
      </c>
      <c r="Y9" s="253"/>
      <c r="Z9" s="253"/>
      <c r="AA9" s="253"/>
      <c r="AB9" s="253"/>
      <c r="AC9" s="251"/>
      <c r="AD9" s="249"/>
      <c r="AE9" s="250"/>
      <c r="AF9" s="253"/>
      <c r="AG9" s="253"/>
      <c r="AH9" s="253"/>
      <c r="AI9" s="253"/>
      <c r="AJ9" s="253"/>
      <c r="AK9" s="253"/>
      <c r="AL9" s="253"/>
      <c r="AM9" s="251"/>
      <c r="AN9" s="254"/>
      <c r="AO9" s="255"/>
      <c r="AP9" s="255"/>
      <c r="AQ9" s="255"/>
    </row>
    <row r="10" spans="1:43" ht="16.5" customHeight="1" x14ac:dyDescent="0.25">
      <c r="A10" s="257">
        <v>303280</v>
      </c>
      <c r="B10" s="258" t="s">
        <v>192</v>
      </c>
      <c r="C10" s="259" t="s">
        <v>528</v>
      </c>
      <c r="D10" s="260" t="s">
        <v>529</v>
      </c>
      <c r="E10" s="261"/>
      <c r="F10" s="262" cm="1">
        <f t="array" ref="F10">SUMPRODUCT((1*($G$9:$AM$9="x")),G10:AM10)</f>
        <v>0</v>
      </c>
      <c r="G10" s="263"/>
      <c r="H10" s="264"/>
      <c r="I10" s="264"/>
      <c r="J10" s="264"/>
      <c r="K10" s="265"/>
      <c r="L10" s="263"/>
      <c r="M10" s="264"/>
      <c r="N10" s="264"/>
      <c r="O10" s="264"/>
      <c r="P10" s="264"/>
      <c r="Q10" s="265"/>
      <c r="S10" s="263"/>
      <c r="T10" s="265"/>
      <c r="U10" s="266"/>
      <c r="V10" s="222"/>
      <c r="W10" s="263"/>
      <c r="X10" s="264"/>
      <c r="Y10" s="264"/>
      <c r="Z10" s="264"/>
      <c r="AA10" s="264"/>
      <c r="AB10" s="264"/>
      <c r="AC10" s="265"/>
      <c r="AD10" s="222"/>
      <c r="AE10" s="263"/>
      <c r="AF10" s="264"/>
      <c r="AG10" s="264"/>
      <c r="AH10" s="264"/>
      <c r="AI10" s="264"/>
      <c r="AJ10" s="264"/>
      <c r="AK10" s="264"/>
      <c r="AL10" s="264"/>
      <c r="AM10" s="265"/>
      <c r="AN10" s="222"/>
      <c r="AO10" s="267"/>
      <c r="AP10" s="267"/>
      <c r="AQ10" s="267"/>
    </row>
    <row r="11" spans="1:43" ht="51" x14ac:dyDescent="0.25">
      <c r="A11" s="268">
        <v>370070</v>
      </c>
      <c r="B11" s="269" t="s">
        <v>401</v>
      </c>
      <c r="C11" s="270" t="s">
        <v>528</v>
      </c>
      <c r="D11" s="260">
        <f>A11</f>
        <v>370070</v>
      </c>
      <c r="E11" s="261"/>
      <c r="F11" s="262" cm="1">
        <f t="array" ref="F11">SUMPRODUCT((1*($G$9:$AM$9="x")),G11:AM11)</f>
        <v>34.1</v>
      </c>
      <c r="G11" s="271">
        <v>9.3000000000000007</v>
      </c>
      <c r="H11" s="272">
        <v>11.7</v>
      </c>
      <c r="I11" s="272">
        <v>10.9</v>
      </c>
      <c r="J11" s="272">
        <v>10.7</v>
      </c>
      <c r="K11" s="273">
        <v>12.3</v>
      </c>
      <c r="L11" s="271">
        <v>24</v>
      </c>
      <c r="M11" s="274">
        <v>12.8</v>
      </c>
      <c r="N11" s="274">
        <v>12.1</v>
      </c>
      <c r="O11" s="275">
        <v>8</v>
      </c>
      <c r="P11" s="274">
        <v>7.7</v>
      </c>
      <c r="Q11" s="273">
        <v>13.8</v>
      </c>
      <c r="S11" s="263">
        <v>5.7</v>
      </c>
      <c r="T11" s="265">
        <v>5.7</v>
      </c>
      <c r="U11" s="266">
        <v>8.4</v>
      </c>
      <c r="V11" s="222"/>
      <c r="W11" s="263">
        <v>12</v>
      </c>
      <c r="X11" s="264">
        <v>12.8</v>
      </c>
      <c r="Y11" s="264">
        <v>12.8</v>
      </c>
      <c r="Z11" s="264">
        <v>11.8</v>
      </c>
      <c r="AA11" s="264"/>
      <c r="AB11" s="264"/>
      <c r="AC11" s="265">
        <v>12.8</v>
      </c>
      <c r="AD11" s="222"/>
      <c r="AE11" s="263">
        <v>16.7</v>
      </c>
      <c r="AF11" s="264">
        <v>16.100000000000001</v>
      </c>
      <c r="AG11" s="264">
        <v>15.2</v>
      </c>
      <c r="AH11" s="264">
        <v>15.1</v>
      </c>
      <c r="AI11" s="264">
        <v>15.2</v>
      </c>
      <c r="AJ11" s="264">
        <v>17.399999999999999</v>
      </c>
      <c r="AK11" s="264"/>
      <c r="AL11" s="264"/>
      <c r="AM11" s="265"/>
      <c r="AN11" s="222"/>
      <c r="AO11" s="276" t="s">
        <v>530</v>
      </c>
      <c r="AP11" s="277">
        <v>1</v>
      </c>
      <c r="AQ11" s="278" t="s">
        <v>531</v>
      </c>
    </row>
    <row r="12" spans="1:43" ht="19.5" customHeight="1" x14ac:dyDescent="0.25">
      <c r="A12" s="257">
        <v>370080</v>
      </c>
      <c r="B12" s="258" t="s">
        <v>402</v>
      </c>
      <c r="C12" s="259" t="s">
        <v>528</v>
      </c>
      <c r="D12" s="260">
        <f>A12</f>
        <v>370080</v>
      </c>
      <c r="E12" s="261"/>
      <c r="F12" s="262" cm="1">
        <f t="array" ref="F12">SUMPRODUCT((1*($G$9:$AM$9="x")),G12:AM12)</f>
        <v>34.1</v>
      </c>
      <c r="G12" s="279">
        <f>G11</f>
        <v>9.3000000000000007</v>
      </c>
      <c r="H12" s="280">
        <f t="shared" ref="H12:Q12" si="0">H11</f>
        <v>11.7</v>
      </c>
      <c r="I12" s="280">
        <f t="shared" si="0"/>
        <v>10.9</v>
      </c>
      <c r="J12" s="280">
        <f t="shared" si="0"/>
        <v>10.7</v>
      </c>
      <c r="K12" s="281">
        <f t="shared" si="0"/>
        <v>12.3</v>
      </c>
      <c r="L12" s="279">
        <f t="shared" si="0"/>
        <v>24</v>
      </c>
      <c r="M12" s="282">
        <f t="shared" si="0"/>
        <v>12.8</v>
      </c>
      <c r="N12" s="282">
        <f t="shared" si="0"/>
        <v>12.1</v>
      </c>
      <c r="O12" s="283">
        <f>O11</f>
        <v>8</v>
      </c>
      <c r="P12" s="282">
        <f>P11</f>
        <v>7.7</v>
      </c>
      <c r="Q12" s="281">
        <f t="shared" si="0"/>
        <v>13.8</v>
      </c>
      <c r="S12" s="263">
        <f>S11</f>
        <v>5.7</v>
      </c>
      <c r="T12" s="265">
        <f>T11</f>
        <v>5.7</v>
      </c>
      <c r="U12" s="266">
        <f>U11</f>
        <v>8.4</v>
      </c>
      <c r="V12" s="222"/>
      <c r="W12" s="263">
        <f>W11</f>
        <v>12</v>
      </c>
      <c r="X12" s="264">
        <f>X11</f>
        <v>12.8</v>
      </c>
      <c r="Y12" s="264">
        <f>Y11</f>
        <v>12.8</v>
      </c>
      <c r="Z12" s="264">
        <f>Z11</f>
        <v>11.8</v>
      </c>
      <c r="AA12" s="264"/>
      <c r="AB12" s="264"/>
      <c r="AC12" s="265">
        <f>AC11</f>
        <v>12.8</v>
      </c>
      <c r="AD12" s="222"/>
      <c r="AE12" s="263">
        <f t="shared" ref="AE12:AJ12" si="1">AE11</f>
        <v>16.7</v>
      </c>
      <c r="AF12" s="264">
        <f t="shared" si="1"/>
        <v>16.100000000000001</v>
      </c>
      <c r="AG12" s="264">
        <f t="shared" si="1"/>
        <v>15.2</v>
      </c>
      <c r="AH12" s="264">
        <f t="shared" si="1"/>
        <v>15.1</v>
      </c>
      <c r="AI12" s="264">
        <f t="shared" si="1"/>
        <v>15.2</v>
      </c>
      <c r="AJ12" s="264">
        <f t="shared" si="1"/>
        <v>17.399999999999999</v>
      </c>
      <c r="AK12" s="264"/>
      <c r="AL12" s="264"/>
      <c r="AM12" s="265"/>
      <c r="AN12" s="222"/>
      <c r="AO12" s="284"/>
      <c r="AP12" s="277"/>
      <c r="AQ12" s="278"/>
    </row>
    <row r="13" spans="1:43" ht="27.75" customHeight="1" x14ac:dyDescent="0.25">
      <c r="A13" s="257">
        <v>304100</v>
      </c>
      <c r="B13" s="258" t="s">
        <v>137</v>
      </c>
      <c r="C13" s="259" t="s">
        <v>528</v>
      </c>
      <c r="D13" s="260" t="s">
        <v>529</v>
      </c>
      <c r="E13" s="261"/>
      <c r="F13" s="262" cm="1">
        <f t="array" ref="F13">SUMPRODUCT((1*($G$9:$AM$9="x")),G13:AM13)</f>
        <v>0</v>
      </c>
      <c r="G13" s="263"/>
      <c r="H13" s="264"/>
      <c r="I13" s="264"/>
      <c r="J13" s="264"/>
      <c r="K13" s="265"/>
      <c r="L13" s="263"/>
      <c r="M13" s="264"/>
      <c r="N13" s="264"/>
      <c r="O13" s="285"/>
      <c r="P13" s="264"/>
      <c r="Q13" s="286"/>
      <c r="S13" s="263"/>
      <c r="T13" s="265"/>
      <c r="U13" s="266"/>
      <c r="V13" s="222"/>
      <c r="W13" s="263"/>
      <c r="X13" s="264"/>
      <c r="Y13" s="264"/>
      <c r="Z13" s="264"/>
      <c r="AA13" s="264"/>
      <c r="AB13" s="264"/>
      <c r="AC13" s="265"/>
      <c r="AD13" s="222"/>
      <c r="AE13" s="263"/>
      <c r="AF13" s="264"/>
      <c r="AG13" s="264"/>
      <c r="AH13" s="264"/>
      <c r="AI13" s="264"/>
      <c r="AJ13" s="264"/>
      <c r="AK13" s="264"/>
      <c r="AL13" s="264"/>
      <c r="AM13" s="265"/>
      <c r="AN13" s="222"/>
      <c r="AO13" s="284"/>
      <c r="AP13" s="277">
        <v>2</v>
      </c>
      <c r="AQ13" s="278" t="s">
        <v>532</v>
      </c>
    </row>
    <row r="14" spans="1:43" ht="60" x14ac:dyDescent="0.25">
      <c r="A14" s="257">
        <v>304000</v>
      </c>
      <c r="B14" s="258" t="s">
        <v>135</v>
      </c>
      <c r="C14" s="259" t="s">
        <v>528</v>
      </c>
      <c r="D14" s="287" t="s">
        <v>533</v>
      </c>
      <c r="E14" s="288">
        <v>5</v>
      </c>
      <c r="F14" s="262" cm="1">
        <f t="array" ref="F14">SUMPRODUCT((1*($G$9:$AM$9="x")),G14:AM14)</f>
        <v>170.5</v>
      </c>
      <c r="G14" s="263">
        <f>$E14*G$11</f>
        <v>46.5</v>
      </c>
      <c r="H14" s="264">
        <f t="shared" ref="H14:Q14" si="2">$E14*H$11</f>
        <v>58.5</v>
      </c>
      <c r="I14" s="264">
        <f t="shared" si="2"/>
        <v>54.5</v>
      </c>
      <c r="J14" s="264">
        <f t="shared" si="2"/>
        <v>53.5</v>
      </c>
      <c r="K14" s="265">
        <f t="shared" si="2"/>
        <v>61.5</v>
      </c>
      <c r="L14" s="263">
        <f t="shared" si="2"/>
        <v>120</v>
      </c>
      <c r="M14" s="264">
        <f t="shared" si="2"/>
        <v>64</v>
      </c>
      <c r="N14" s="264">
        <f t="shared" si="2"/>
        <v>60.5</v>
      </c>
      <c r="O14" s="285">
        <f t="shared" si="2"/>
        <v>40</v>
      </c>
      <c r="P14" s="264">
        <f t="shared" si="2"/>
        <v>38.5</v>
      </c>
      <c r="Q14" s="286">
        <f t="shared" si="2"/>
        <v>69</v>
      </c>
      <c r="S14" s="263">
        <f>$E14*$S$11</f>
        <v>28.5</v>
      </c>
      <c r="T14" s="265">
        <f>E14*$T$11</f>
        <v>28.5</v>
      </c>
      <c r="U14" s="266">
        <f>E14*$U$11</f>
        <v>42</v>
      </c>
      <c r="V14" s="222"/>
      <c r="W14" s="263">
        <f>W$11*$E14</f>
        <v>60</v>
      </c>
      <c r="X14" s="264">
        <f>X$11*$E14</f>
        <v>64</v>
      </c>
      <c r="Y14" s="264">
        <f>Y$11*$E14</f>
        <v>64</v>
      </c>
      <c r="Z14" s="264">
        <f>Z$11*$E14</f>
        <v>59</v>
      </c>
      <c r="AA14" s="264"/>
      <c r="AB14" s="264"/>
      <c r="AC14" s="265">
        <f>AC$11*$E14</f>
        <v>64</v>
      </c>
      <c r="AD14" s="222"/>
      <c r="AE14" s="263">
        <f t="shared" ref="AE14:AJ14" si="3">AE$11*$E14</f>
        <v>83.5</v>
      </c>
      <c r="AF14" s="264">
        <f t="shared" si="3"/>
        <v>80.5</v>
      </c>
      <c r="AG14" s="264">
        <f t="shared" si="3"/>
        <v>76</v>
      </c>
      <c r="AH14" s="264">
        <f t="shared" si="3"/>
        <v>75.5</v>
      </c>
      <c r="AI14" s="264">
        <f t="shared" si="3"/>
        <v>76</v>
      </c>
      <c r="AJ14" s="264">
        <f t="shared" si="3"/>
        <v>87</v>
      </c>
      <c r="AK14" s="264"/>
      <c r="AL14" s="264"/>
      <c r="AM14" s="265"/>
      <c r="AN14" s="222"/>
      <c r="AO14" s="284"/>
      <c r="AP14" s="277"/>
      <c r="AQ14" s="278"/>
    </row>
    <row r="15" spans="1:43" ht="24" customHeight="1" x14ac:dyDescent="0.25">
      <c r="A15" s="257">
        <v>363200</v>
      </c>
      <c r="B15" s="258" t="s">
        <v>193</v>
      </c>
      <c r="C15" s="259" t="s">
        <v>528</v>
      </c>
      <c r="D15" s="260" t="s">
        <v>529</v>
      </c>
      <c r="E15" s="261"/>
      <c r="F15" s="262" cm="1">
        <f t="array" ref="F15">SUMPRODUCT((1*($G$9:$AM$9="x")),G15:AM15)</f>
        <v>0</v>
      </c>
      <c r="G15" s="263"/>
      <c r="H15" s="264"/>
      <c r="I15" s="264"/>
      <c r="J15" s="264"/>
      <c r="K15" s="265"/>
      <c r="L15" s="263"/>
      <c r="M15" s="264"/>
      <c r="N15" s="264"/>
      <c r="O15" s="285"/>
      <c r="P15" s="264"/>
      <c r="Q15" s="286"/>
      <c r="S15" s="263"/>
      <c r="T15" s="265"/>
      <c r="U15" s="266"/>
      <c r="V15" s="222"/>
      <c r="W15" s="263"/>
      <c r="X15" s="264"/>
      <c r="Y15" s="264"/>
      <c r="Z15" s="264"/>
      <c r="AA15" s="264"/>
      <c r="AB15" s="264"/>
      <c r="AC15" s="265"/>
      <c r="AD15" s="222"/>
      <c r="AE15" s="263"/>
      <c r="AF15" s="264"/>
      <c r="AG15" s="264"/>
      <c r="AH15" s="264"/>
      <c r="AI15" s="264"/>
      <c r="AJ15" s="264"/>
      <c r="AK15" s="264"/>
      <c r="AL15" s="264"/>
      <c r="AM15" s="265"/>
      <c r="AN15" s="222"/>
      <c r="AO15" s="284"/>
      <c r="AP15" s="277">
        <v>1.5</v>
      </c>
      <c r="AQ15" s="278" t="s">
        <v>534</v>
      </c>
    </row>
    <row r="16" spans="1:43" ht="16.5" customHeight="1" x14ac:dyDescent="0.25">
      <c r="A16" s="257">
        <v>373200</v>
      </c>
      <c r="B16" s="258" t="s">
        <v>194</v>
      </c>
      <c r="C16" s="259" t="s">
        <v>528</v>
      </c>
      <c r="D16" s="260" t="s">
        <v>529</v>
      </c>
      <c r="E16" s="261"/>
      <c r="F16" s="262" cm="1">
        <f t="array" ref="F16">SUMPRODUCT((1*($G$9:$AM$9="x")),G16:AM16)</f>
        <v>0</v>
      </c>
      <c r="G16" s="263"/>
      <c r="H16" s="264"/>
      <c r="I16" s="264"/>
      <c r="J16" s="264"/>
      <c r="K16" s="265"/>
      <c r="L16" s="263"/>
      <c r="M16" s="264"/>
      <c r="N16" s="264"/>
      <c r="O16" s="285"/>
      <c r="P16" s="264"/>
      <c r="Q16" s="286"/>
      <c r="S16" s="263"/>
      <c r="T16" s="265"/>
      <c r="U16" s="266"/>
      <c r="V16" s="222"/>
      <c r="W16" s="263"/>
      <c r="X16" s="264"/>
      <c r="Y16" s="264"/>
      <c r="Z16" s="264"/>
      <c r="AA16" s="264"/>
      <c r="AB16" s="264"/>
      <c r="AC16" s="265"/>
      <c r="AD16" s="222"/>
      <c r="AE16" s="263"/>
      <c r="AF16" s="264"/>
      <c r="AG16" s="264"/>
      <c r="AH16" s="264"/>
      <c r="AI16" s="264"/>
      <c r="AJ16" s="264"/>
      <c r="AK16" s="264"/>
      <c r="AL16" s="264"/>
      <c r="AM16" s="265"/>
      <c r="AN16" s="222"/>
      <c r="AO16" s="284"/>
      <c r="AP16" s="277"/>
      <c r="AQ16" s="278"/>
    </row>
    <row r="17" spans="1:43" ht="16.5" customHeight="1" x14ac:dyDescent="0.25">
      <c r="A17" s="257">
        <v>340310</v>
      </c>
      <c r="B17" s="258" t="s">
        <v>195</v>
      </c>
      <c r="C17" s="259" t="s">
        <v>528</v>
      </c>
      <c r="D17" s="260" t="s">
        <v>529</v>
      </c>
      <c r="E17" s="261"/>
      <c r="F17" s="262" cm="1">
        <f t="array" ref="F17">SUMPRODUCT((1*($G$9:$AM$9="x")),G17:AM17)</f>
        <v>0</v>
      </c>
      <c r="G17" s="263"/>
      <c r="H17" s="264"/>
      <c r="I17" s="264"/>
      <c r="J17" s="264"/>
      <c r="K17" s="265"/>
      <c r="L17" s="263"/>
      <c r="M17" s="264"/>
      <c r="N17" s="264"/>
      <c r="O17" s="285"/>
      <c r="P17" s="264"/>
      <c r="Q17" s="286"/>
      <c r="S17" s="263"/>
      <c r="T17" s="265"/>
      <c r="U17" s="266"/>
      <c r="V17" s="222"/>
      <c r="W17" s="263"/>
      <c r="X17" s="264"/>
      <c r="Y17" s="264"/>
      <c r="Z17" s="264"/>
      <c r="AA17" s="264"/>
      <c r="AB17" s="264"/>
      <c r="AC17" s="265"/>
      <c r="AD17" s="222"/>
      <c r="AE17" s="263"/>
      <c r="AF17" s="264"/>
      <c r="AG17" s="264"/>
      <c r="AH17" s="264"/>
      <c r="AI17" s="264"/>
      <c r="AJ17" s="264"/>
      <c r="AK17" s="264"/>
      <c r="AL17" s="264"/>
      <c r="AM17" s="265"/>
      <c r="AN17" s="222"/>
      <c r="AO17" s="284"/>
      <c r="AP17" s="277">
        <v>3</v>
      </c>
      <c r="AQ17" s="278" t="s">
        <v>535</v>
      </c>
    </row>
    <row r="18" spans="1:43" ht="16.5" customHeight="1" x14ac:dyDescent="0.25">
      <c r="A18" s="257">
        <v>306000</v>
      </c>
      <c r="B18" s="258" t="s">
        <v>403</v>
      </c>
      <c r="C18" s="259" t="s">
        <v>528</v>
      </c>
      <c r="D18" s="260" t="s">
        <v>529</v>
      </c>
      <c r="E18" s="261"/>
      <c r="F18" s="262" cm="1">
        <f t="array" ref="F18">SUMPRODUCT((1*($G$9:$AM$9="x")),G18:AM18)</f>
        <v>0</v>
      </c>
      <c r="G18" s="263"/>
      <c r="H18" s="264"/>
      <c r="I18" s="264"/>
      <c r="J18" s="264"/>
      <c r="K18" s="265"/>
      <c r="L18" s="263"/>
      <c r="M18" s="264"/>
      <c r="N18" s="264"/>
      <c r="O18" s="285"/>
      <c r="P18" s="264"/>
      <c r="Q18" s="286"/>
      <c r="S18" s="263"/>
      <c r="T18" s="265"/>
      <c r="U18" s="266"/>
      <c r="V18" s="222"/>
      <c r="W18" s="263"/>
      <c r="X18" s="264"/>
      <c r="Y18" s="264"/>
      <c r="Z18" s="264"/>
      <c r="AA18" s="264"/>
      <c r="AB18" s="264"/>
      <c r="AC18" s="265"/>
      <c r="AD18" s="222"/>
      <c r="AE18" s="263"/>
      <c r="AF18" s="264"/>
      <c r="AG18" s="264"/>
      <c r="AH18" s="264"/>
      <c r="AI18" s="264"/>
      <c r="AJ18" s="264"/>
      <c r="AK18" s="264"/>
      <c r="AL18" s="264"/>
      <c r="AM18" s="265"/>
      <c r="AN18" s="222"/>
      <c r="AO18" s="284"/>
      <c r="AP18" s="277"/>
      <c r="AQ18" s="278"/>
    </row>
    <row r="19" spans="1:43" ht="16.5" customHeight="1" x14ac:dyDescent="0.25">
      <c r="A19" s="257">
        <v>316060</v>
      </c>
      <c r="B19" s="258" t="s">
        <v>143</v>
      </c>
      <c r="C19" s="259" t="s">
        <v>536</v>
      </c>
      <c r="D19" s="260">
        <f t="shared" ref="D19:D51" si="4">A19</f>
        <v>316060</v>
      </c>
      <c r="E19" s="261">
        <v>2</v>
      </c>
      <c r="F19" s="262">
        <f>SUMPRODUCT((1*($G$9:$AM$9="x")),G19:AM19)</f>
        <v>68.2</v>
      </c>
      <c r="G19" s="263">
        <f>$E19*G$11</f>
        <v>18.600000000000001</v>
      </c>
      <c r="H19" s="264">
        <f t="shared" ref="H19:L35" si="5">$E19*H$11</f>
        <v>23.4</v>
      </c>
      <c r="I19" s="264">
        <f t="shared" si="5"/>
        <v>21.8</v>
      </c>
      <c r="J19" s="264">
        <f t="shared" si="5"/>
        <v>21.4</v>
      </c>
      <c r="K19" s="265">
        <f t="shared" si="5"/>
        <v>24.6</v>
      </c>
      <c r="L19" s="263">
        <f>$E19*L$11</f>
        <v>48</v>
      </c>
      <c r="M19" s="264">
        <f t="shared" ref="M19:Q35" si="6">$E19*M$11</f>
        <v>25.6</v>
      </c>
      <c r="N19" s="264">
        <f t="shared" si="6"/>
        <v>24.2</v>
      </c>
      <c r="O19" s="285">
        <f t="shared" si="6"/>
        <v>16</v>
      </c>
      <c r="P19" s="264">
        <f t="shared" si="6"/>
        <v>15.4</v>
      </c>
      <c r="Q19" s="286">
        <f t="shared" si="6"/>
        <v>27.6</v>
      </c>
      <c r="S19" s="263">
        <f t="shared" ref="S19:S58" si="7">$E19*$S$11</f>
        <v>11.4</v>
      </c>
      <c r="T19" s="265">
        <f t="shared" ref="T19:T58" si="8">E19*$T$11</f>
        <v>11.4</v>
      </c>
      <c r="U19" s="266">
        <f t="shared" ref="U19:U58" si="9">E19*$U$11</f>
        <v>16.8</v>
      </c>
      <c r="V19" s="222"/>
      <c r="W19" s="263">
        <f>W$11*$E19</f>
        <v>24</v>
      </c>
      <c r="X19" s="264">
        <f>X$11*$E19</f>
        <v>25.6</v>
      </c>
      <c r="Y19" s="264">
        <f>Y$11*$E19</f>
        <v>25.6</v>
      </c>
      <c r="Z19" s="264">
        <f>Z$11*$E19</f>
        <v>23.6</v>
      </c>
      <c r="AA19" s="264"/>
      <c r="AB19" s="264"/>
      <c r="AC19" s="265">
        <f>AC$11*$E19</f>
        <v>25.6</v>
      </c>
      <c r="AD19" s="222"/>
      <c r="AE19" s="263">
        <f t="shared" ref="AE19:AJ34" si="10">AE$11*$E19</f>
        <v>33.4</v>
      </c>
      <c r="AF19" s="264">
        <f t="shared" si="10"/>
        <v>32.200000000000003</v>
      </c>
      <c r="AG19" s="264">
        <f t="shared" si="10"/>
        <v>30.4</v>
      </c>
      <c r="AH19" s="264">
        <f t="shared" si="10"/>
        <v>30.2</v>
      </c>
      <c r="AI19" s="264">
        <f t="shared" si="10"/>
        <v>30.4</v>
      </c>
      <c r="AJ19" s="264">
        <f t="shared" si="10"/>
        <v>34.799999999999997</v>
      </c>
      <c r="AK19" s="264"/>
      <c r="AL19" s="264"/>
      <c r="AM19" s="265"/>
      <c r="AN19" s="222"/>
      <c r="AO19" s="284"/>
      <c r="AP19" s="277"/>
      <c r="AQ19" s="278"/>
    </row>
    <row r="20" spans="1:43" ht="16.5" customHeight="1" x14ac:dyDescent="0.25">
      <c r="A20" s="257">
        <v>326060</v>
      </c>
      <c r="B20" s="258" t="s">
        <v>389</v>
      </c>
      <c r="C20" s="259" t="s">
        <v>528</v>
      </c>
      <c r="D20" s="260">
        <f t="shared" si="4"/>
        <v>326060</v>
      </c>
      <c r="E20" s="261">
        <v>2</v>
      </c>
      <c r="F20" s="262" cm="1">
        <f t="array" ref="F20">SUMPRODUCT((1*($G$9:$AM$9="x")),G20:AM20)</f>
        <v>68.2</v>
      </c>
      <c r="G20" s="263">
        <f t="shared" ref="G20:Q53" si="11">$E20*G$11</f>
        <v>18.600000000000001</v>
      </c>
      <c r="H20" s="264">
        <f t="shared" si="5"/>
        <v>23.4</v>
      </c>
      <c r="I20" s="264">
        <f t="shared" si="5"/>
        <v>21.8</v>
      </c>
      <c r="J20" s="264">
        <f t="shared" si="5"/>
        <v>21.4</v>
      </c>
      <c r="K20" s="265">
        <f t="shared" si="5"/>
        <v>24.6</v>
      </c>
      <c r="L20" s="263">
        <f>$E20*L$11</f>
        <v>48</v>
      </c>
      <c r="M20" s="264">
        <f t="shared" si="6"/>
        <v>25.6</v>
      </c>
      <c r="N20" s="264">
        <f t="shared" si="6"/>
        <v>24.2</v>
      </c>
      <c r="O20" s="285">
        <f t="shared" si="6"/>
        <v>16</v>
      </c>
      <c r="P20" s="264">
        <f t="shared" si="6"/>
        <v>15.4</v>
      </c>
      <c r="Q20" s="286">
        <f t="shared" si="6"/>
        <v>27.6</v>
      </c>
      <c r="S20" s="263">
        <f t="shared" si="7"/>
        <v>11.4</v>
      </c>
      <c r="T20" s="265">
        <f t="shared" si="8"/>
        <v>11.4</v>
      </c>
      <c r="U20" s="266">
        <f t="shared" si="9"/>
        <v>16.8</v>
      </c>
      <c r="V20" s="222"/>
      <c r="W20" s="263">
        <f t="shared" ref="W20:Z39" si="12">W$11*$E20</f>
        <v>24</v>
      </c>
      <c r="X20" s="264">
        <f t="shared" si="12"/>
        <v>25.6</v>
      </c>
      <c r="Y20" s="264">
        <f t="shared" si="12"/>
        <v>25.6</v>
      </c>
      <c r="Z20" s="264">
        <f t="shared" si="12"/>
        <v>23.6</v>
      </c>
      <c r="AA20" s="264"/>
      <c r="AB20" s="264"/>
      <c r="AC20" s="265">
        <f t="shared" ref="AC20:AC39" si="13">AC$11*$E20</f>
        <v>25.6</v>
      </c>
      <c r="AD20" s="222"/>
      <c r="AE20" s="263">
        <f t="shared" si="10"/>
        <v>33.4</v>
      </c>
      <c r="AF20" s="264">
        <f t="shared" si="10"/>
        <v>32.200000000000003</v>
      </c>
      <c r="AG20" s="264">
        <f t="shared" si="10"/>
        <v>30.4</v>
      </c>
      <c r="AH20" s="264">
        <f t="shared" si="10"/>
        <v>30.2</v>
      </c>
      <c r="AI20" s="264">
        <f t="shared" si="10"/>
        <v>30.4</v>
      </c>
      <c r="AJ20" s="264">
        <f t="shared" si="10"/>
        <v>34.799999999999997</v>
      </c>
      <c r="AK20" s="264"/>
      <c r="AL20" s="264"/>
      <c r="AM20" s="265"/>
      <c r="AN20" s="222"/>
      <c r="AO20" s="284"/>
      <c r="AP20" s="277">
        <v>2</v>
      </c>
      <c r="AQ20" s="278" t="s">
        <v>537</v>
      </c>
    </row>
    <row r="21" spans="1:43" ht="16.5" customHeight="1" x14ac:dyDescent="0.25">
      <c r="A21" s="257">
        <v>336060</v>
      </c>
      <c r="B21" s="258" t="s">
        <v>390</v>
      </c>
      <c r="C21" s="259" t="s">
        <v>538</v>
      </c>
      <c r="D21" s="260">
        <f t="shared" si="4"/>
        <v>336060</v>
      </c>
      <c r="E21" s="261">
        <v>2</v>
      </c>
      <c r="F21" s="262" cm="1">
        <f t="array" ref="F21">SUMPRODUCT((1*($G$9:$AM$9="x")),G21:AM21)</f>
        <v>68.2</v>
      </c>
      <c r="G21" s="263">
        <f t="shared" si="11"/>
        <v>18.600000000000001</v>
      </c>
      <c r="H21" s="264">
        <f t="shared" si="5"/>
        <v>23.4</v>
      </c>
      <c r="I21" s="264">
        <f t="shared" si="5"/>
        <v>21.8</v>
      </c>
      <c r="J21" s="264">
        <f t="shared" si="5"/>
        <v>21.4</v>
      </c>
      <c r="K21" s="265">
        <f t="shared" si="5"/>
        <v>24.6</v>
      </c>
      <c r="L21" s="263">
        <f t="shared" si="5"/>
        <v>48</v>
      </c>
      <c r="M21" s="264">
        <f t="shared" si="6"/>
        <v>25.6</v>
      </c>
      <c r="N21" s="264">
        <f t="shared" si="6"/>
        <v>24.2</v>
      </c>
      <c r="O21" s="285">
        <f t="shared" si="6"/>
        <v>16</v>
      </c>
      <c r="P21" s="264">
        <f t="shared" si="6"/>
        <v>15.4</v>
      </c>
      <c r="Q21" s="286">
        <f t="shared" si="6"/>
        <v>27.6</v>
      </c>
      <c r="S21" s="263">
        <f t="shared" si="7"/>
        <v>11.4</v>
      </c>
      <c r="T21" s="265">
        <f t="shared" si="8"/>
        <v>11.4</v>
      </c>
      <c r="U21" s="266">
        <f t="shared" si="9"/>
        <v>16.8</v>
      </c>
      <c r="V21" s="222"/>
      <c r="W21" s="263">
        <f t="shared" si="12"/>
        <v>24</v>
      </c>
      <c r="X21" s="264">
        <f t="shared" si="12"/>
        <v>25.6</v>
      </c>
      <c r="Y21" s="264">
        <f t="shared" si="12"/>
        <v>25.6</v>
      </c>
      <c r="Z21" s="264">
        <f t="shared" si="12"/>
        <v>23.6</v>
      </c>
      <c r="AA21" s="264"/>
      <c r="AB21" s="264"/>
      <c r="AC21" s="265">
        <f t="shared" si="13"/>
        <v>25.6</v>
      </c>
      <c r="AD21" s="222"/>
      <c r="AE21" s="263">
        <f t="shared" si="10"/>
        <v>33.4</v>
      </c>
      <c r="AF21" s="264">
        <f t="shared" si="10"/>
        <v>32.200000000000003</v>
      </c>
      <c r="AG21" s="264">
        <f t="shared" si="10"/>
        <v>30.4</v>
      </c>
      <c r="AH21" s="264">
        <f t="shared" si="10"/>
        <v>30.2</v>
      </c>
      <c r="AI21" s="264">
        <f t="shared" si="10"/>
        <v>30.4</v>
      </c>
      <c r="AJ21" s="264">
        <f t="shared" si="10"/>
        <v>34.799999999999997</v>
      </c>
      <c r="AK21" s="264"/>
      <c r="AL21" s="264"/>
      <c r="AM21" s="265"/>
      <c r="AN21" s="222"/>
      <c r="AO21" s="284"/>
      <c r="AP21" s="277"/>
      <c r="AQ21" s="278"/>
    </row>
    <row r="22" spans="1:43" ht="16.5" customHeight="1" x14ac:dyDescent="0.25">
      <c r="A22" s="257">
        <v>313180</v>
      </c>
      <c r="B22" s="258" t="s">
        <v>164</v>
      </c>
      <c r="C22" s="259" t="s">
        <v>536</v>
      </c>
      <c r="D22" s="260">
        <f t="shared" si="4"/>
        <v>313180</v>
      </c>
      <c r="E22" s="261">
        <v>3</v>
      </c>
      <c r="F22" s="262" cm="1">
        <f t="array" ref="F22">SUMPRODUCT((1*($G$9:$AM$9="x")),G22:AM22)</f>
        <v>102.30000000000001</v>
      </c>
      <c r="G22" s="263">
        <f t="shared" si="11"/>
        <v>27.900000000000002</v>
      </c>
      <c r="H22" s="264">
        <f t="shared" si="5"/>
        <v>35.099999999999994</v>
      </c>
      <c r="I22" s="264">
        <f t="shared" si="5"/>
        <v>32.700000000000003</v>
      </c>
      <c r="J22" s="264">
        <f t="shared" si="5"/>
        <v>32.099999999999994</v>
      </c>
      <c r="K22" s="265">
        <f t="shared" si="5"/>
        <v>36.900000000000006</v>
      </c>
      <c r="L22" s="263">
        <f t="shared" si="5"/>
        <v>72</v>
      </c>
      <c r="M22" s="264">
        <f t="shared" si="6"/>
        <v>38.400000000000006</v>
      </c>
      <c r="N22" s="264">
        <f t="shared" si="6"/>
        <v>36.299999999999997</v>
      </c>
      <c r="O22" s="285">
        <f t="shared" si="6"/>
        <v>24</v>
      </c>
      <c r="P22" s="264">
        <f t="shared" si="6"/>
        <v>23.1</v>
      </c>
      <c r="Q22" s="286">
        <f t="shared" si="6"/>
        <v>41.400000000000006</v>
      </c>
      <c r="S22" s="263">
        <f t="shared" si="7"/>
        <v>17.100000000000001</v>
      </c>
      <c r="T22" s="265">
        <f t="shared" si="8"/>
        <v>17.100000000000001</v>
      </c>
      <c r="U22" s="266">
        <f t="shared" si="9"/>
        <v>25.200000000000003</v>
      </c>
      <c r="V22" s="222"/>
      <c r="W22" s="263">
        <f t="shared" si="12"/>
        <v>36</v>
      </c>
      <c r="X22" s="264">
        <f t="shared" si="12"/>
        <v>38.400000000000006</v>
      </c>
      <c r="Y22" s="264">
        <f t="shared" si="12"/>
        <v>38.400000000000006</v>
      </c>
      <c r="Z22" s="264">
        <f t="shared" si="12"/>
        <v>35.400000000000006</v>
      </c>
      <c r="AA22" s="264"/>
      <c r="AB22" s="264"/>
      <c r="AC22" s="265">
        <f t="shared" si="13"/>
        <v>38.400000000000006</v>
      </c>
      <c r="AD22" s="222"/>
      <c r="AE22" s="263">
        <f t="shared" si="10"/>
        <v>50.099999999999994</v>
      </c>
      <c r="AF22" s="264">
        <f t="shared" si="10"/>
        <v>48.300000000000004</v>
      </c>
      <c r="AG22" s="264">
        <f t="shared" si="10"/>
        <v>45.599999999999994</v>
      </c>
      <c r="AH22" s="264">
        <f t="shared" si="10"/>
        <v>45.3</v>
      </c>
      <c r="AI22" s="264">
        <f t="shared" si="10"/>
        <v>45.599999999999994</v>
      </c>
      <c r="AJ22" s="264">
        <f t="shared" si="10"/>
        <v>52.199999999999996</v>
      </c>
      <c r="AK22" s="264"/>
      <c r="AL22" s="264"/>
      <c r="AM22" s="265"/>
      <c r="AN22" s="222"/>
      <c r="AO22" s="284"/>
      <c r="AP22" s="277">
        <v>4</v>
      </c>
      <c r="AQ22" s="278" t="s">
        <v>539</v>
      </c>
    </row>
    <row r="23" spans="1:43" ht="16.5" customHeight="1" x14ac:dyDescent="0.25">
      <c r="A23" s="257">
        <v>323180</v>
      </c>
      <c r="B23" s="258" t="s">
        <v>165</v>
      </c>
      <c r="C23" s="259" t="s">
        <v>528</v>
      </c>
      <c r="D23" s="260">
        <f t="shared" si="4"/>
        <v>323180</v>
      </c>
      <c r="E23" s="261">
        <v>3</v>
      </c>
      <c r="F23" s="262" cm="1">
        <f t="array" ref="F23">SUMPRODUCT((1*($G$9:$AM$9="x")),G23:AM23)</f>
        <v>102.30000000000001</v>
      </c>
      <c r="G23" s="263">
        <f t="shared" si="11"/>
        <v>27.900000000000002</v>
      </c>
      <c r="H23" s="264">
        <f t="shared" si="5"/>
        <v>35.099999999999994</v>
      </c>
      <c r="I23" s="264">
        <f t="shared" si="5"/>
        <v>32.700000000000003</v>
      </c>
      <c r="J23" s="264">
        <f t="shared" si="5"/>
        <v>32.099999999999994</v>
      </c>
      <c r="K23" s="265">
        <f t="shared" si="5"/>
        <v>36.900000000000006</v>
      </c>
      <c r="L23" s="263">
        <f t="shared" si="5"/>
        <v>72</v>
      </c>
      <c r="M23" s="264">
        <f t="shared" si="6"/>
        <v>38.400000000000006</v>
      </c>
      <c r="N23" s="264">
        <f t="shared" si="6"/>
        <v>36.299999999999997</v>
      </c>
      <c r="O23" s="285">
        <f t="shared" si="6"/>
        <v>24</v>
      </c>
      <c r="P23" s="264">
        <f t="shared" si="6"/>
        <v>23.1</v>
      </c>
      <c r="Q23" s="286">
        <f t="shared" si="6"/>
        <v>41.400000000000006</v>
      </c>
      <c r="S23" s="263">
        <f t="shared" si="7"/>
        <v>17.100000000000001</v>
      </c>
      <c r="T23" s="265">
        <f t="shared" si="8"/>
        <v>17.100000000000001</v>
      </c>
      <c r="U23" s="266">
        <f t="shared" si="9"/>
        <v>25.200000000000003</v>
      </c>
      <c r="V23" s="222"/>
      <c r="W23" s="263">
        <f t="shared" si="12"/>
        <v>36</v>
      </c>
      <c r="X23" s="264">
        <f t="shared" si="12"/>
        <v>38.400000000000006</v>
      </c>
      <c r="Y23" s="264">
        <f t="shared" si="12"/>
        <v>38.400000000000006</v>
      </c>
      <c r="Z23" s="264">
        <f t="shared" si="12"/>
        <v>35.400000000000006</v>
      </c>
      <c r="AA23" s="264"/>
      <c r="AB23" s="264"/>
      <c r="AC23" s="265">
        <f t="shared" si="13"/>
        <v>38.400000000000006</v>
      </c>
      <c r="AD23" s="222"/>
      <c r="AE23" s="263">
        <f t="shared" si="10"/>
        <v>50.099999999999994</v>
      </c>
      <c r="AF23" s="264">
        <f t="shared" si="10"/>
        <v>48.300000000000004</v>
      </c>
      <c r="AG23" s="264">
        <f t="shared" si="10"/>
        <v>45.599999999999994</v>
      </c>
      <c r="AH23" s="264">
        <f t="shared" si="10"/>
        <v>45.3</v>
      </c>
      <c r="AI23" s="264">
        <f t="shared" si="10"/>
        <v>45.599999999999994</v>
      </c>
      <c r="AJ23" s="264">
        <f t="shared" si="10"/>
        <v>52.199999999999996</v>
      </c>
      <c r="AK23" s="264"/>
      <c r="AL23" s="264"/>
      <c r="AM23" s="265"/>
      <c r="AN23" s="222"/>
      <c r="AO23" s="284"/>
      <c r="AP23" s="277"/>
      <c r="AQ23" s="278"/>
    </row>
    <row r="24" spans="1:43" ht="16.5" customHeight="1" x14ac:dyDescent="0.25">
      <c r="A24" s="257">
        <v>333180</v>
      </c>
      <c r="B24" s="258" t="s">
        <v>166</v>
      </c>
      <c r="C24" s="259" t="s">
        <v>538</v>
      </c>
      <c r="D24" s="260">
        <f t="shared" si="4"/>
        <v>333180</v>
      </c>
      <c r="E24" s="261">
        <v>3</v>
      </c>
      <c r="F24" s="262" cm="1">
        <f t="array" ref="F24">SUMPRODUCT((1*($G$9:$AM$9="x")),G24:AM24)</f>
        <v>102.30000000000001</v>
      </c>
      <c r="G24" s="263">
        <f t="shared" si="11"/>
        <v>27.900000000000002</v>
      </c>
      <c r="H24" s="264">
        <f t="shared" si="5"/>
        <v>35.099999999999994</v>
      </c>
      <c r="I24" s="264">
        <f t="shared" si="5"/>
        <v>32.700000000000003</v>
      </c>
      <c r="J24" s="264">
        <f t="shared" si="5"/>
        <v>32.099999999999994</v>
      </c>
      <c r="K24" s="265">
        <f t="shared" si="5"/>
        <v>36.900000000000006</v>
      </c>
      <c r="L24" s="263">
        <f t="shared" si="5"/>
        <v>72</v>
      </c>
      <c r="M24" s="264">
        <f t="shared" si="6"/>
        <v>38.400000000000006</v>
      </c>
      <c r="N24" s="264">
        <f t="shared" si="6"/>
        <v>36.299999999999997</v>
      </c>
      <c r="O24" s="285">
        <f t="shared" si="6"/>
        <v>24</v>
      </c>
      <c r="P24" s="264">
        <f t="shared" si="6"/>
        <v>23.1</v>
      </c>
      <c r="Q24" s="286">
        <f t="shared" si="6"/>
        <v>41.400000000000006</v>
      </c>
      <c r="S24" s="263">
        <f t="shared" si="7"/>
        <v>17.100000000000001</v>
      </c>
      <c r="T24" s="265">
        <f t="shared" si="8"/>
        <v>17.100000000000001</v>
      </c>
      <c r="U24" s="266">
        <f t="shared" si="9"/>
        <v>25.200000000000003</v>
      </c>
      <c r="V24" s="222"/>
      <c r="W24" s="263">
        <f t="shared" si="12"/>
        <v>36</v>
      </c>
      <c r="X24" s="264">
        <f t="shared" si="12"/>
        <v>38.400000000000006</v>
      </c>
      <c r="Y24" s="264">
        <f t="shared" si="12"/>
        <v>38.400000000000006</v>
      </c>
      <c r="Z24" s="264">
        <f t="shared" si="12"/>
        <v>35.400000000000006</v>
      </c>
      <c r="AA24" s="264"/>
      <c r="AB24" s="264"/>
      <c r="AC24" s="265">
        <f t="shared" si="13"/>
        <v>38.400000000000006</v>
      </c>
      <c r="AD24" s="222"/>
      <c r="AE24" s="263">
        <f t="shared" si="10"/>
        <v>50.099999999999994</v>
      </c>
      <c r="AF24" s="264">
        <f t="shared" si="10"/>
        <v>48.300000000000004</v>
      </c>
      <c r="AG24" s="264">
        <f t="shared" si="10"/>
        <v>45.599999999999994</v>
      </c>
      <c r="AH24" s="264">
        <f t="shared" si="10"/>
        <v>45.3</v>
      </c>
      <c r="AI24" s="264">
        <f t="shared" si="10"/>
        <v>45.599999999999994</v>
      </c>
      <c r="AJ24" s="264">
        <f t="shared" si="10"/>
        <v>52.199999999999996</v>
      </c>
      <c r="AK24" s="264"/>
      <c r="AL24" s="264"/>
      <c r="AM24" s="265"/>
      <c r="AN24" s="222"/>
      <c r="AO24" s="284"/>
      <c r="AP24" s="277"/>
      <c r="AQ24" s="278"/>
    </row>
    <row r="25" spans="1:43" ht="16.5" customHeight="1" x14ac:dyDescent="0.25">
      <c r="A25" s="257">
        <v>323514</v>
      </c>
      <c r="B25" s="258" t="s">
        <v>448</v>
      </c>
      <c r="C25" s="259" t="s">
        <v>528</v>
      </c>
      <c r="D25" s="260">
        <f t="shared" si="4"/>
        <v>323514</v>
      </c>
      <c r="E25" s="261">
        <v>3</v>
      </c>
      <c r="F25" s="262" cm="1">
        <f t="array" ref="F25">SUMPRODUCT((1*($G$9:$AM$9="x")),G25:AM25)</f>
        <v>102.30000000000001</v>
      </c>
      <c r="G25" s="263">
        <f t="shared" si="11"/>
        <v>27.900000000000002</v>
      </c>
      <c r="H25" s="264">
        <f t="shared" si="5"/>
        <v>35.099999999999994</v>
      </c>
      <c r="I25" s="264">
        <f t="shared" si="5"/>
        <v>32.700000000000003</v>
      </c>
      <c r="J25" s="264">
        <f t="shared" si="5"/>
        <v>32.099999999999994</v>
      </c>
      <c r="K25" s="265">
        <f t="shared" si="5"/>
        <v>36.900000000000006</v>
      </c>
      <c r="L25" s="263">
        <f t="shared" si="5"/>
        <v>72</v>
      </c>
      <c r="M25" s="264">
        <f t="shared" si="6"/>
        <v>38.400000000000006</v>
      </c>
      <c r="N25" s="264">
        <f t="shared" si="6"/>
        <v>36.299999999999997</v>
      </c>
      <c r="O25" s="285">
        <f t="shared" si="6"/>
        <v>24</v>
      </c>
      <c r="P25" s="264">
        <f t="shared" si="6"/>
        <v>23.1</v>
      </c>
      <c r="Q25" s="286">
        <f t="shared" si="6"/>
        <v>41.400000000000006</v>
      </c>
      <c r="S25" s="263">
        <f t="shared" si="7"/>
        <v>17.100000000000001</v>
      </c>
      <c r="T25" s="265">
        <f t="shared" si="8"/>
        <v>17.100000000000001</v>
      </c>
      <c r="U25" s="266">
        <f t="shared" si="9"/>
        <v>25.200000000000003</v>
      </c>
      <c r="V25" s="222"/>
      <c r="W25" s="263">
        <f t="shared" si="12"/>
        <v>36</v>
      </c>
      <c r="X25" s="264">
        <f t="shared" si="12"/>
        <v>38.400000000000006</v>
      </c>
      <c r="Y25" s="264">
        <f t="shared" si="12"/>
        <v>38.400000000000006</v>
      </c>
      <c r="Z25" s="264">
        <f t="shared" si="12"/>
        <v>35.400000000000006</v>
      </c>
      <c r="AA25" s="264"/>
      <c r="AB25" s="264"/>
      <c r="AC25" s="265">
        <f t="shared" si="13"/>
        <v>38.400000000000006</v>
      </c>
      <c r="AD25" s="222"/>
      <c r="AE25" s="263">
        <f t="shared" si="10"/>
        <v>50.099999999999994</v>
      </c>
      <c r="AF25" s="264">
        <f t="shared" si="10"/>
        <v>48.300000000000004</v>
      </c>
      <c r="AG25" s="264">
        <f t="shared" si="10"/>
        <v>45.599999999999994</v>
      </c>
      <c r="AH25" s="264">
        <f t="shared" si="10"/>
        <v>45.3</v>
      </c>
      <c r="AI25" s="264">
        <f t="shared" si="10"/>
        <v>45.599999999999994</v>
      </c>
      <c r="AJ25" s="264">
        <f t="shared" si="10"/>
        <v>52.199999999999996</v>
      </c>
      <c r="AK25" s="264"/>
      <c r="AL25" s="264"/>
      <c r="AM25" s="265"/>
      <c r="AN25" s="222"/>
      <c r="AO25" s="284"/>
      <c r="AP25" s="277"/>
      <c r="AQ25" s="278"/>
    </row>
    <row r="26" spans="1:43" ht="16.5" customHeight="1" x14ac:dyDescent="0.25">
      <c r="A26" s="257">
        <v>313140</v>
      </c>
      <c r="B26" s="258" t="s">
        <v>144</v>
      </c>
      <c r="C26" s="259" t="s">
        <v>536</v>
      </c>
      <c r="D26" s="260">
        <f t="shared" si="4"/>
        <v>313140</v>
      </c>
      <c r="E26" s="261">
        <v>3</v>
      </c>
      <c r="F26" s="262" cm="1">
        <f t="array" ref="F26">SUMPRODUCT((1*($G$9:$AM$9="x")),G26:AM26)</f>
        <v>102.30000000000001</v>
      </c>
      <c r="G26" s="263">
        <f t="shared" si="11"/>
        <v>27.900000000000002</v>
      </c>
      <c r="H26" s="264">
        <f t="shared" si="5"/>
        <v>35.099999999999994</v>
      </c>
      <c r="I26" s="264">
        <f t="shared" si="5"/>
        <v>32.700000000000003</v>
      </c>
      <c r="J26" s="264">
        <f t="shared" si="5"/>
        <v>32.099999999999994</v>
      </c>
      <c r="K26" s="265">
        <f t="shared" si="5"/>
        <v>36.900000000000006</v>
      </c>
      <c r="L26" s="263">
        <f t="shared" si="5"/>
        <v>72</v>
      </c>
      <c r="M26" s="264">
        <f t="shared" si="6"/>
        <v>38.400000000000006</v>
      </c>
      <c r="N26" s="264">
        <f t="shared" si="6"/>
        <v>36.299999999999997</v>
      </c>
      <c r="O26" s="285">
        <f t="shared" si="6"/>
        <v>24</v>
      </c>
      <c r="P26" s="264">
        <f t="shared" si="6"/>
        <v>23.1</v>
      </c>
      <c r="Q26" s="286">
        <f t="shared" si="6"/>
        <v>41.400000000000006</v>
      </c>
      <c r="S26" s="263">
        <f t="shared" si="7"/>
        <v>17.100000000000001</v>
      </c>
      <c r="T26" s="265">
        <f t="shared" si="8"/>
        <v>17.100000000000001</v>
      </c>
      <c r="U26" s="266">
        <f t="shared" si="9"/>
        <v>25.200000000000003</v>
      </c>
      <c r="V26" s="222"/>
      <c r="W26" s="263">
        <f t="shared" si="12"/>
        <v>36</v>
      </c>
      <c r="X26" s="264">
        <f t="shared" si="12"/>
        <v>38.400000000000006</v>
      </c>
      <c r="Y26" s="264">
        <f t="shared" si="12"/>
        <v>38.400000000000006</v>
      </c>
      <c r="Z26" s="264">
        <f t="shared" si="12"/>
        <v>35.400000000000006</v>
      </c>
      <c r="AA26" s="264"/>
      <c r="AB26" s="264"/>
      <c r="AC26" s="265">
        <f t="shared" si="13"/>
        <v>38.400000000000006</v>
      </c>
      <c r="AD26" s="222"/>
      <c r="AE26" s="263">
        <f t="shared" si="10"/>
        <v>50.099999999999994</v>
      </c>
      <c r="AF26" s="264">
        <f t="shared" si="10"/>
        <v>48.300000000000004</v>
      </c>
      <c r="AG26" s="264">
        <f t="shared" si="10"/>
        <v>45.599999999999994</v>
      </c>
      <c r="AH26" s="264">
        <f t="shared" si="10"/>
        <v>45.3</v>
      </c>
      <c r="AI26" s="264">
        <f t="shared" si="10"/>
        <v>45.599999999999994</v>
      </c>
      <c r="AJ26" s="264">
        <f t="shared" si="10"/>
        <v>52.199999999999996</v>
      </c>
      <c r="AK26" s="264"/>
      <c r="AL26" s="264"/>
      <c r="AM26" s="265"/>
      <c r="AN26" s="222"/>
      <c r="AO26" s="284"/>
      <c r="AP26" s="277">
        <v>5</v>
      </c>
      <c r="AQ26" s="278" t="s">
        <v>540</v>
      </c>
    </row>
    <row r="27" spans="1:43" ht="16.5" customHeight="1" x14ac:dyDescent="0.25">
      <c r="A27" s="257">
        <v>323140</v>
      </c>
      <c r="B27" s="258" t="s">
        <v>145</v>
      </c>
      <c r="C27" s="259" t="s">
        <v>528</v>
      </c>
      <c r="D27" s="260">
        <f t="shared" si="4"/>
        <v>323140</v>
      </c>
      <c r="E27" s="261">
        <v>3</v>
      </c>
      <c r="F27" s="262" cm="1">
        <f t="array" ref="F27">SUMPRODUCT((1*($G$9:$AM$9="x")),G27:AM27)</f>
        <v>102.30000000000001</v>
      </c>
      <c r="G27" s="263">
        <f t="shared" si="11"/>
        <v>27.900000000000002</v>
      </c>
      <c r="H27" s="264">
        <f t="shared" si="5"/>
        <v>35.099999999999994</v>
      </c>
      <c r="I27" s="264">
        <f t="shared" si="5"/>
        <v>32.700000000000003</v>
      </c>
      <c r="J27" s="264">
        <f t="shared" si="5"/>
        <v>32.099999999999994</v>
      </c>
      <c r="K27" s="265">
        <f t="shared" si="5"/>
        <v>36.900000000000006</v>
      </c>
      <c r="L27" s="263">
        <f t="shared" si="5"/>
        <v>72</v>
      </c>
      <c r="M27" s="264">
        <f t="shared" si="6"/>
        <v>38.400000000000006</v>
      </c>
      <c r="N27" s="264">
        <f t="shared" si="6"/>
        <v>36.299999999999997</v>
      </c>
      <c r="O27" s="285">
        <f t="shared" si="6"/>
        <v>24</v>
      </c>
      <c r="P27" s="264">
        <f t="shared" si="6"/>
        <v>23.1</v>
      </c>
      <c r="Q27" s="286">
        <f t="shared" si="6"/>
        <v>41.400000000000006</v>
      </c>
      <c r="S27" s="263">
        <f t="shared" si="7"/>
        <v>17.100000000000001</v>
      </c>
      <c r="T27" s="265">
        <f t="shared" si="8"/>
        <v>17.100000000000001</v>
      </c>
      <c r="U27" s="266">
        <f t="shared" si="9"/>
        <v>25.200000000000003</v>
      </c>
      <c r="V27" s="222"/>
      <c r="W27" s="263">
        <f t="shared" si="12"/>
        <v>36</v>
      </c>
      <c r="X27" s="264">
        <f t="shared" si="12"/>
        <v>38.400000000000006</v>
      </c>
      <c r="Y27" s="264">
        <f t="shared" si="12"/>
        <v>38.400000000000006</v>
      </c>
      <c r="Z27" s="264">
        <f t="shared" si="12"/>
        <v>35.400000000000006</v>
      </c>
      <c r="AA27" s="264"/>
      <c r="AB27" s="264"/>
      <c r="AC27" s="265">
        <f t="shared" si="13"/>
        <v>38.400000000000006</v>
      </c>
      <c r="AD27" s="222"/>
      <c r="AE27" s="263">
        <f t="shared" si="10"/>
        <v>50.099999999999994</v>
      </c>
      <c r="AF27" s="264">
        <f t="shared" si="10"/>
        <v>48.300000000000004</v>
      </c>
      <c r="AG27" s="264">
        <f t="shared" si="10"/>
        <v>45.599999999999994</v>
      </c>
      <c r="AH27" s="264">
        <f t="shared" si="10"/>
        <v>45.3</v>
      </c>
      <c r="AI27" s="264">
        <f t="shared" si="10"/>
        <v>45.599999999999994</v>
      </c>
      <c r="AJ27" s="264">
        <f t="shared" si="10"/>
        <v>52.199999999999996</v>
      </c>
      <c r="AK27" s="264"/>
      <c r="AL27" s="264"/>
      <c r="AM27" s="265"/>
      <c r="AN27" s="222"/>
      <c r="AO27" s="284"/>
      <c r="AP27" s="277"/>
      <c r="AQ27" s="278"/>
    </row>
    <row r="28" spans="1:43" ht="16.5" customHeight="1" x14ac:dyDescent="0.25">
      <c r="A28" s="257">
        <v>333140</v>
      </c>
      <c r="B28" s="258" t="s">
        <v>146</v>
      </c>
      <c r="C28" s="259" t="s">
        <v>538</v>
      </c>
      <c r="D28" s="260">
        <f t="shared" si="4"/>
        <v>333140</v>
      </c>
      <c r="E28" s="261">
        <v>3</v>
      </c>
      <c r="F28" s="262" cm="1">
        <f t="array" ref="F28">SUMPRODUCT((1*($G$9:$AM$9="x")),G28:AM28)</f>
        <v>102.30000000000001</v>
      </c>
      <c r="G28" s="263">
        <f t="shared" si="11"/>
        <v>27.900000000000002</v>
      </c>
      <c r="H28" s="264">
        <f t="shared" si="5"/>
        <v>35.099999999999994</v>
      </c>
      <c r="I28" s="264">
        <f t="shared" si="5"/>
        <v>32.700000000000003</v>
      </c>
      <c r="J28" s="264">
        <f t="shared" si="5"/>
        <v>32.099999999999994</v>
      </c>
      <c r="K28" s="265">
        <f t="shared" si="5"/>
        <v>36.900000000000006</v>
      </c>
      <c r="L28" s="263">
        <f t="shared" si="5"/>
        <v>72</v>
      </c>
      <c r="M28" s="264">
        <f t="shared" si="6"/>
        <v>38.400000000000006</v>
      </c>
      <c r="N28" s="264">
        <f t="shared" si="6"/>
        <v>36.299999999999997</v>
      </c>
      <c r="O28" s="285">
        <f t="shared" si="6"/>
        <v>24</v>
      </c>
      <c r="P28" s="264">
        <f t="shared" si="6"/>
        <v>23.1</v>
      </c>
      <c r="Q28" s="286">
        <f t="shared" si="6"/>
        <v>41.400000000000006</v>
      </c>
      <c r="S28" s="263">
        <f t="shared" si="7"/>
        <v>17.100000000000001</v>
      </c>
      <c r="T28" s="265">
        <f t="shared" si="8"/>
        <v>17.100000000000001</v>
      </c>
      <c r="U28" s="266">
        <f t="shared" si="9"/>
        <v>25.200000000000003</v>
      </c>
      <c r="V28" s="222"/>
      <c r="W28" s="263">
        <f t="shared" si="12"/>
        <v>36</v>
      </c>
      <c r="X28" s="264">
        <f t="shared" si="12"/>
        <v>38.400000000000006</v>
      </c>
      <c r="Y28" s="264">
        <f t="shared" si="12"/>
        <v>38.400000000000006</v>
      </c>
      <c r="Z28" s="264">
        <f t="shared" si="12"/>
        <v>35.400000000000006</v>
      </c>
      <c r="AA28" s="264"/>
      <c r="AB28" s="264"/>
      <c r="AC28" s="265">
        <f t="shared" si="13"/>
        <v>38.400000000000006</v>
      </c>
      <c r="AD28" s="222"/>
      <c r="AE28" s="263">
        <f t="shared" si="10"/>
        <v>50.099999999999994</v>
      </c>
      <c r="AF28" s="264">
        <f t="shared" si="10"/>
        <v>48.300000000000004</v>
      </c>
      <c r="AG28" s="264">
        <f t="shared" si="10"/>
        <v>45.599999999999994</v>
      </c>
      <c r="AH28" s="264">
        <f t="shared" si="10"/>
        <v>45.3</v>
      </c>
      <c r="AI28" s="264">
        <f t="shared" si="10"/>
        <v>45.599999999999994</v>
      </c>
      <c r="AJ28" s="264">
        <f t="shared" si="10"/>
        <v>52.199999999999996</v>
      </c>
      <c r="AK28" s="264"/>
      <c r="AL28" s="264"/>
      <c r="AM28" s="265"/>
      <c r="AN28" s="222"/>
      <c r="AO28" s="284"/>
      <c r="AP28" s="277"/>
      <c r="AQ28" s="278"/>
    </row>
    <row r="29" spans="1:43" ht="16.5" customHeight="1" x14ac:dyDescent="0.25">
      <c r="A29" s="257">
        <v>321800</v>
      </c>
      <c r="B29" s="258" t="s">
        <v>152</v>
      </c>
      <c r="C29" s="259" t="s">
        <v>528</v>
      </c>
      <c r="D29" s="260">
        <f t="shared" si="4"/>
        <v>321800</v>
      </c>
      <c r="E29" s="261">
        <v>3</v>
      </c>
      <c r="F29" s="262" cm="1">
        <f t="array" ref="F29">SUMPRODUCT((1*($G$9:$AM$9="x")),G29:AM29)</f>
        <v>102.30000000000001</v>
      </c>
      <c r="G29" s="263">
        <f t="shared" si="11"/>
        <v>27.900000000000002</v>
      </c>
      <c r="H29" s="264">
        <f t="shared" si="5"/>
        <v>35.099999999999994</v>
      </c>
      <c r="I29" s="264">
        <f t="shared" si="5"/>
        <v>32.700000000000003</v>
      </c>
      <c r="J29" s="264">
        <f t="shared" si="5"/>
        <v>32.099999999999994</v>
      </c>
      <c r="K29" s="265">
        <f t="shared" si="5"/>
        <v>36.900000000000006</v>
      </c>
      <c r="L29" s="263">
        <f t="shared" si="5"/>
        <v>72</v>
      </c>
      <c r="M29" s="264">
        <f t="shared" si="6"/>
        <v>38.400000000000006</v>
      </c>
      <c r="N29" s="264">
        <f t="shared" si="6"/>
        <v>36.299999999999997</v>
      </c>
      <c r="O29" s="285">
        <f t="shared" si="6"/>
        <v>24</v>
      </c>
      <c r="P29" s="264">
        <f t="shared" si="6"/>
        <v>23.1</v>
      </c>
      <c r="Q29" s="286">
        <f t="shared" si="6"/>
        <v>41.400000000000006</v>
      </c>
      <c r="S29" s="263">
        <f t="shared" si="7"/>
        <v>17.100000000000001</v>
      </c>
      <c r="T29" s="265">
        <f t="shared" si="8"/>
        <v>17.100000000000001</v>
      </c>
      <c r="U29" s="266">
        <f t="shared" si="9"/>
        <v>25.200000000000003</v>
      </c>
      <c r="V29" s="222"/>
      <c r="W29" s="263">
        <f t="shared" si="12"/>
        <v>36</v>
      </c>
      <c r="X29" s="264">
        <f t="shared" si="12"/>
        <v>38.400000000000006</v>
      </c>
      <c r="Y29" s="264">
        <f t="shared" si="12"/>
        <v>38.400000000000006</v>
      </c>
      <c r="Z29" s="264">
        <f t="shared" si="12"/>
        <v>35.400000000000006</v>
      </c>
      <c r="AA29" s="264"/>
      <c r="AB29" s="264"/>
      <c r="AC29" s="265">
        <f t="shared" si="13"/>
        <v>38.400000000000006</v>
      </c>
      <c r="AD29" s="222"/>
      <c r="AE29" s="263">
        <f t="shared" si="10"/>
        <v>50.099999999999994</v>
      </c>
      <c r="AF29" s="264">
        <f t="shared" si="10"/>
        <v>48.300000000000004</v>
      </c>
      <c r="AG29" s="264">
        <f t="shared" si="10"/>
        <v>45.599999999999994</v>
      </c>
      <c r="AH29" s="264">
        <f t="shared" si="10"/>
        <v>45.3</v>
      </c>
      <c r="AI29" s="264">
        <f t="shared" si="10"/>
        <v>45.599999999999994</v>
      </c>
      <c r="AJ29" s="264">
        <f t="shared" si="10"/>
        <v>52.199999999999996</v>
      </c>
      <c r="AK29" s="264"/>
      <c r="AL29" s="264"/>
      <c r="AM29" s="265"/>
      <c r="AN29" s="222"/>
      <c r="AO29" s="284"/>
      <c r="AP29" s="277">
        <v>6</v>
      </c>
      <c r="AQ29" s="278" t="s">
        <v>541</v>
      </c>
    </row>
    <row r="30" spans="1:43" ht="16.5" customHeight="1" x14ac:dyDescent="0.25">
      <c r="A30" s="257">
        <v>321810</v>
      </c>
      <c r="B30" s="258" t="s">
        <v>153</v>
      </c>
      <c r="C30" s="259" t="s">
        <v>528</v>
      </c>
      <c r="D30" s="260">
        <f t="shared" si="4"/>
        <v>321810</v>
      </c>
      <c r="E30" s="261">
        <v>3</v>
      </c>
      <c r="F30" s="262" cm="1">
        <f t="array" ref="F30">SUMPRODUCT((1*($G$9:$AM$9="x")),G30:AM30)</f>
        <v>102.30000000000001</v>
      </c>
      <c r="G30" s="263">
        <f t="shared" si="11"/>
        <v>27.900000000000002</v>
      </c>
      <c r="H30" s="264">
        <f t="shared" si="5"/>
        <v>35.099999999999994</v>
      </c>
      <c r="I30" s="264">
        <f t="shared" si="5"/>
        <v>32.700000000000003</v>
      </c>
      <c r="J30" s="264">
        <f t="shared" si="5"/>
        <v>32.099999999999994</v>
      </c>
      <c r="K30" s="265">
        <f t="shared" si="5"/>
        <v>36.900000000000006</v>
      </c>
      <c r="L30" s="263">
        <f t="shared" si="5"/>
        <v>72</v>
      </c>
      <c r="M30" s="264">
        <f t="shared" si="6"/>
        <v>38.400000000000006</v>
      </c>
      <c r="N30" s="264">
        <f t="shared" si="6"/>
        <v>36.299999999999997</v>
      </c>
      <c r="O30" s="285">
        <f t="shared" si="6"/>
        <v>24</v>
      </c>
      <c r="P30" s="264">
        <f t="shared" si="6"/>
        <v>23.1</v>
      </c>
      <c r="Q30" s="286">
        <f t="shared" si="6"/>
        <v>41.400000000000006</v>
      </c>
      <c r="S30" s="263">
        <f t="shared" si="7"/>
        <v>17.100000000000001</v>
      </c>
      <c r="T30" s="265">
        <f t="shared" si="8"/>
        <v>17.100000000000001</v>
      </c>
      <c r="U30" s="266">
        <f t="shared" si="9"/>
        <v>25.200000000000003</v>
      </c>
      <c r="V30" s="222"/>
      <c r="W30" s="263">
        <f t="shared" si="12"/>
        <v>36</v>
      </c>
      <c r="X30" s="264">
        <f t="shared" si="12"/>
        <v>38.400000000000006</v>
      </c>
      <c r="Y30" s="264">
        <f t="shared" si="12"/>
        <v>38.400000000000006</v>
      </c>
      <c r="Z30" s="264">
        <f t="shared" si="12"/>
        <v>35.400000000000006</v>
      </c>
      <c r="AA30" s="264"/>
      <c r="AB30" s="264"/>
      <c r="AC30" s="265">
        <f t="shared" si="13"/>
        <v>38.400000000000006</v>
      </c>
      <c r="AD30" s="222"/>
      <c r="AE30" s="263">
        <f t="shared" si="10"/>
        <v>50.099999999999994</v>
      </c>
      <c r="AF30" s="264">
        <f t="shared" si="10"/>
        <v>48.300000000000004</v>
      </c>
      <c r="AG30" s="264">
        <f t="shared" si="10"/>
        <v>45.599999999999994</v>
      </c>
      <c r="AH30" s="264">
        <f t="shared" si="10"/>
        <v>45.3</v>
      </c>
      <c r="AI30" s="264">
        <f t="shared" si="10"/>
        <v>45.599999999999994</v>
      </c>
      <c r="AJ30" s="264">
        <f t="shared" si="10"/>
        <v>52.199999999999996</v>
      </c>
      <c r="AK30" s="264"/>
      <c r="AL30" s="264"/>
      <c r="AM30" s="265"/>
      <c r="AN30" s="222"/>
      <c r="AO30" s="284"/>
      <c r="AP30" s="277"/>
      <c r="AQ30" s="278"/>
    </row>
    <row r="31" spans="1:43" ht="16.5" customHeight="1" x14ac:dyDescent="0.25">
      <c r="A31" s="257">
        <v>321820</v>
      </c>
      <c r="B31" s="258" t="s">
        <v>154</v>
      </c>
      <c r="C31" s="259" t="s">
        <v>528</v>
      </c>
      <c r="D31" s="260">
        <f t="shared" si="4"/>
        <v>321820</v>
      </c>
      <c r="E31" s="261">
        <v>3</v>
      </c>
      <c r="F31" s="262" cm="1">
        <f t="array" ref="F31">SUMPRODUCT((1*($G$9:$AM$9="x")),G31:AM31)</f>
        <v>102.30000000000001</v>
      </c>
      <c r="G31" s="263">
        <f t="shared" si="11"/>
        <v>27.900000000000002</v>
      </c>
      <c r="H31" s="264">
        <f t="shared" si="5"/>
        <v>35.099999999999994</v>
      </c>
      <c r="I31" s="264">
        <f t="shared" si="5"/>
        <v>32.700000000000003</v>
      </c>
      <c r="J31" s="264">
        <f t="shared" si="5"/>
        <v>32.099999999999994</v>
      </c>
      <c r="K31" s="265">
        <f t="shared" si="5"/>
        <v>36.900000000000006</v>
      </c>
      <c r="L31" s="263">
        <f t="shared" si="5"/>
        <v>72</v>
      </c>
      <c r="M31" s="264">
        <f t="shared" si="6"/>
        <v>38.400000000000006</v>
      </c>
      <c r="N31" s="264">
        <f t="shared" si="6"/>
        <v>36.299999999999997</v>
      </c>
      <c r="O31" s="285">
        <f t="shared" si="6"/>
        <v>24</v>
      </c>
      <c r="P31" s="264">
        <f t="shared" si="6"/>
        <v>23.1</v>
      </c>
      <c r="Q31" s="286">
        <f t="shared" si="6"/>
        <v>41.400000000000006</v>
      </c>
      <c r="S31" s="263">
        <f t="shared" si="7"/>
        <v>17.100000000000001</v>
      </c>
      <c r="T31" s="265">
        <f t="shared" si="8"/>
        <v>17.100000000000001</v>
      </c>
      <c r="U31" s="266">
        <f t="shared" si="9"/>
        <v>25.200000000000003</v>
      </c>
      <c r="V31" s="222"/>
      <c r="W31" s="263">
        <f t="shared" si="12"/>
        <v>36</v>
      </c>
      <c r="X31" s="264">
        <f t="shared" si="12"/>
        <v>38.400000000000006</v>
      </c>
      <c r="Y31" s="264">
        <f t="shared" si="12"/>
        <v>38.400000000000006</v>
      </c>
      <c r="Z31" s="264">
        <f t="shared" si="12"/>
        <v>35.400000000000006</v>
      </c>
      <c r="AA31" s="264"/>
      <c r="AB31" s="264"/>
      <c r="AC31" s="265">
        <f t="shared" si="13"/>
        <v>38.400000000000006</v>
      </c>
      <c r="AD31" s="222"/>
      <c r="AE31" s="263">
        <f t="shared" si="10"/>
        <v>50.099999999999994</v>
      </c>
      <c r="AF31" s="264">
        <f t="shared" si="10"/>
        <v>48.300000000000004</v>
      </c>
      <c r="AG31" s="264">
        <f t="shared" si="10"/>
        <v>45.599999999999994</v>
      </c>
      <c r="AH31" s="264">
        <f t="shared" si="10"/>
        <v>45.3</v>
      </c>
      <c r="AI31" s="264">
        <f t="shared" si="10"/>
        <v>45.599999999999994</v>
      </c>
      <c r="AJ31" s="264">
        <f t="shared" si="10"/>
        <v>52.199999999999996</v>
      </c>
      <c r="AK31" s="264"/>
      <c r="AL31" s="264"/>
      <c r="AM31" s="265"/>
      <c r="AN31" s="222"/>
      <c r="AO31" s="284"/>
      <c r="AP31" s="277"/>
      <c r="AQ31" s="278"/>
    </row>
    <row r="32" spans="1:43" ht="16.5" customHeight="1" x14ac:dyDescent="0.25">
      <c r="A32" s="257">
        <v>322140</v>
      </c>
      <c r="B32" s="258" t="s">
        <v>163</v>
      </c>
      <c r="C32" s="259" t="s">
        <v>528</v>
      </c>
      <c r="D32" s="260">
        <f t="shared" si="4"/>
        <v>322140</v>
      </c>
      <c r="E32" s="261">
        <v>3</v>
      </c>
      <c r="F32" s="262" cm="1">
        <f t="array" ref="F32">SUMPRODUCT((1*($G$9:$AM$9="x")),G32:AM32)</f>
        <v>102.30000000000001</v>
      </c>
      <c r="G32" s="263">
        <f t="shared" si="11"/>
        <v>27.900000000000002</v>
      </c>
      <c r="H32" s="264">
        <f t="shared" si="5"/>
        <v>35.099999999999994</v>
      </c>
      <c r="I32" s="264">
        <f t="shared" si="5"/>
        <v>32.700000000000003</v>
      </c>
      <c r="J32" s="264">
        <f t="shared" si="5"/>
        <v>32.099999999999994</v>
      </c>
      <c r="K32" s="265">
        <f t="shared" si="5"/>
        <v>36.900000000000006</v>
      </c>
      <c r="L32" s="263">
        <f t="shared" si="5"/>
        <v>72</v>
      </c>
      <c r="M32" s="264">
        <f t="shared" si="6"/>
        <v>38.400000000000006</v>
      </c>
      <c r="N32" s="264">
        <f t="shared" si="6"/>
        <v>36.299999999999997</v>
      </c>
      <c r="O32" s="285">
        <f t="shared" si="6"/>
        <v>24</v>
      </c>
      <c r="P32" s="264">
        <f t="shared" si="6"/>
        <v>23.1</v>
      </c>
      <c r="Q32" s="286">
        <f t="shared" si="6"/>
        <v>41.400000000000006</v>
      </c>
      <c r="S32" s="263">
        <f t="shared" si="7"/>
        <v>17.100000000000001</v>
      </c>
      <c r="T32" s="265">
        <f t="shared" si="8"/>
        <v>17.100000000000001</v>
      </c>
      <c r="U32" s="266">
        <f t="shared" si="9"/>
        <v>25.200000000000003</v>
      </c>
      <c r="V32" s="222"/>
      <c r="W32" s="263">
        <f t="shared" si="12"/>
        <v>36</v>
      </c>
      <c r="X32" s="264">
        <f t="shared" si="12"/>
        <v>38.400000000000006</v>
      </c>
      <c r="Y32" s="264">
        <f t="shared" si="12"/>
        <v>38.400000000000006</v>
      </c>
      <c r="Z32" s="264">
        <f t="shared" si="12"/>
        <v>35.400000000000006</v>
      </c>
      <c r="AA32" s="264"/>
      <c r="AB32" s="264"/>
      <c r="AC32" s="265">
        <f t="shared" si="13"/>
        <v>38.400000000000006</v>
      </c>
      <c r="AD32" s="222"/>
      <c r="AE32" s="263">
        <f t="shared" si="10"/>
        <v>50.099999999999994</v>
      </c>
      <c r="AF32" s="264">
        <f t="shared" si="10"/>
        <v>48.300000000000004</v>
      </c>
      <c r="AG32" s="264">
        <f t="shared" si="10"/>
        <v>45.599999999999994</v>
      </c>
      <c r="AH32" s="264">
        <f t="shared" si="10"/>
        <v>45.3</v>
      </c>
      <c r="AI32" s="264">
        <f t="shared" si="10"/>
        <v>45.599999999999994</v>
      </c>
      <c r="AJ32" s="264">
        <f t="shared" si="10"/>
        <v>52.199999999999996</v>
      </c>
      <c r="AK32" s="264"/>
      <c r="AL32" s="264"/>
      <c r="AM32" s="265"/>
      <c r="AN32" s="222"/>
      <c r="AO32" s="284"/>
      <c r="AP32" s="277">
        <v>7</v>
      </c>
      <c r="AQ32" s="278" t="s">
        <v>542</v>
      </c>
    </row>
    <row r="33" spans="1:43" ht="16.5" customHeight="1" x14ac:dyDescent="0.25">
      <c r="A33" s="257">
        <v>336090</v>
      </c>
      <c r="B33" s="258" t="s">
        <v>159</v>
      </c>
      <c r="C33" s="259" t="s">
        <v>538</v>
      </c>
      <c r="D33" s="260">
        <f t="shared" si="4"/>
        <v>336090</v>
      </c>
      <c r="E33" s="261">
        <v>3</v>
      </c>
      <c r="F33" s="262" cm="1">
        <f t="array" ref="F33">SUMPRODUCT((1*($G$9:$AM$9="x")),G33:AM33)</f>
        <v>102.30000000000001</v>
      </c>
      <c r="G33" s="263">
        <f t="shared" si="11"/>
        <v>27.900000000000002</v>
      </c>
      <c r="H33" s="264">
        <f t="shared" si="5"/>
        <v>35.099999999999994</v>
      </c>
      <c r="I33" s="264">
        <f t="shared" si="5"/>
        <v>32.700000000000003</v>
      </c>
      <c r="J33" s="264">
        <f t="shared" si="5"/>
        <v>32.099999999999994</v>
      </c>
      <c r="K33" s="265">
        <f t="shared" si="5"/>
        <v>36.900000000000006</v>
      </c>
      <c r="L33" s="263">
        <f t="shared" si="5"/>
        <v>72</v>
      </c>
      <c r="M33" s="264">
        <f t="shared" si="6"/>
        <v>38.400000000000006</v>
      </c>
      <c r="N33" s="264">
        <f t="shared" si="6"/>
        <v>36.299999999999997</v>
      </c>
      <c r="O33" s="285">
        <f t="shared" si="6"/>
        <v>24</v>
      </c>
      <c r="P33" s="264">
        <f t="shared" si="6"/>
        <v>23.1</v>
      </c>
      <c r="Q33" s="286">
        <f t="shared" si="6"/>
        <v>41.400000000000006</v>
      </c>
      <c r="S33" s="263">
        <f t="shared" si="7"/>
        <v>17.100000000000001</v>
      </c>
      <c r="T33" s="265">
        <f t="shared" si="8"/>
        <v>17.100000000000001</v>
      </c>
      <c r="U33" s="266">
        <f t="shared" si="9"/>
        <v>25.200000000000003</v>
      </c>
      <c r="V33" s="222"/>
      <c r="W33" s="263">
        <f t="shared" si="12"/>
        <v>36</v>
      </c>
      <c r="X33" s="264">
        <f t="shared" si="12"/>
        <v>38.400000000000006</v>
      </c>
      <c r="Y33" s="264">
        <f t="shared" si="12"/>
        <v>38.400000000000006</v>
      </c>
      <c r="Z33" s="264">
        <f t="shared" si="12"/>
        <v>35.400000000000006</v>
      </c>
      <c r="AA33" s="264"/>
      <c r="AB33" s="264"/>
      <c r="AC33" s="265">
        <f t="shared" si="13"/>
        <v>38.400000000000006</v>
      </c>
      <c r="AD33" s="222"/>
      <c r="AE33" s="263">
        <f t="shared" si="10"/>
        <v>50.099999999999994</v>
      </c>
      <c r="AF33" s="264">
        <f t="shared" si="10"/>
        <v>48.300000000000004</v>
      </c>
      <c r="AG33" s="264">
        <f t="shared" si="10"/>
        <v>45.599999999999994</v>
      </c>
      <c r="AH33" s="264">
        <f t="shared" si="10"/>
        <v>45.3</v>
      </c>
      <c r="AI33" s="264">
        <f t="shared" si="10"/>
        <v>45.599999999999994</v>
      </c>
      <c r="AJ33" s="264">
        <f t="shared" si="10"/>
        <v>52.199999999999996</v>
      </c>
      <c r="AK33" s="264"/>
      <c r="AL33" s="264"/>
      <c r="AM33" s="265"/>
      <c r="AN33" s="222"/>
      <c r="AO33" s="284"/>
      <c r="AP33" s="277"/>
      <c r="AQ33" s="278"/>
    </row>
    <row r="34" spans="1:43" ht="16.5" customHeight="1" x14ac:dyDescent="0.25">
      <c r="A34" s="257">
        <v>343800</v>
      </c>
      <c r="B34" s="258" t="s">
        <v>404</v>
      </c>
      <c r="C34" s="259" t="s">
        <v>528</v>
      </c>
      <c r="D34" s="260">
        <f t="shared" si="4"/>
        <v>343800</v>
      </c>
      <c r="E34" s="261">
        <v>4</v>
      </c>
      <c r="F34" s="262" cm="1">
        <f t="array" ref="F34">SUMPRODUCT((1*($G$9:$AM$9="x")),G34:AM34)</f>
        <v>136.4</v>
      </c>
      <c r="G34" s="263">
        <f t="shared" si="11"/>
        <v>37.200000000000003</v>
      </c>
      <c r="H34" s="264">
        <f t="shared" si="5"/>
        <v>46.8</v>
      </c>
      <c r="I34" s="264">
        <f t="shared" si="5"/>
        <v>43.6</v>
      </c>
      <c r="J34" s="264">
        <f t="shared" si="5"/>
        <v>42.8</v>
      </c>
      <c r="K34" s="265">
        <f t="shared" si="5"/>
        <v>49.2</v>
      </c>
      <c r="L34" s="263">
        <f t="shared" si="5"/>
        <v>96</v>
      </c>
      <c r="M34" s="264">
        <f t="shared" si="6"/>
        <v>51.2</v>
      </c>
      <c r="N34" s="264">
        <f t="shared" si="6"/>
        <v>48.4</v>
      </c>
      <c r="O34" s="285">
        <f t="shared" si="6"/>
        <v>32</v>
      </c>
      <c r="P34" s="264">
        <f t="shared" si="6"/>
        <v>30.8</v>
      </c>
      <c r="Q34" s="286">
        <f t="shared" si="6"/>
        <v>55.2</v>
      </c>
      <c r="S34" s="263">
        <f t="shared" si="7"/>
        <v>22.8</v>
      </c>
      <c r="T34" s="265">
        <f t="shared" si="8"/>
        <v>22.8</v>
      </c>
      <c r="U34" s="266">
        <f t="shared" si="9"/>
        <v>33.6</v>
      </c>
      <c r="V34" s="222"/>
      <c r="W34" s="263">
        <f t="shared" si="12"/>
        <v>48</v>
      </c>
      <c r="X34" s="264">
        <f t="shared" si="12"/>
        <v>51.2</v>
      </c>
      <c r="Y34" s="264">
        <f t="shared" si="12"/>
        <v>51.2</v>
      </c>
      <c r="Z34" s="264">
        <f t="shared" si="12"/>
        <v>47.2</v>
      </c>
      <c r="AA34" s="264"/>
      <c r="AB34" s="264"/>
      <c r="AC34" s="265">
        <f t="shared" si="13"/>
        <v>51.2</v>
      </c>
      <c r="AD34" s="222"/>
      <c r="AE34" s="263">
        <f t="shared" si="10"/>
        <v>66.8</v>
      </c>
      <c r="AF34" s="264">
        <f t="shared" si="10"/>
        <v>64.400000000000006</v>
      </c>
      <c r="AG34" s="264">
        <f t="shared" si="10"/>
        <v>60.8</v>
      </c>
      <c r="AH34" s="264">
        <f t="shared" si="10"/>
        <v>60.4</v>
      </c>
      <c r="AI34" s="264">
        <f t="shared" si="10"/>
        <v>60.8</v>
      </c>
      <c r="AJ34" s="264">
        <f t="shared" si="10"/>
        <v>69.599999999999994</v>
      </c>
      <c r="AK34" s="264"/>
      <c r="AL34" s="264"/>
      <c r="AM34" s="265"/>
      <c r="AN34" s="222"/>
      <c r="AO34" s="284"/>
      <c r="AP34" s="277"/>
      <c r="AQ34" s="278"/>
    </row>
    <row r="35" spans="1:43" ht="16.5" customHeight="1" x14ac:dyDescent="0.25">
      <c r="A35" s="257">
        <v>346050</v>
      </c>
      <c r="B35" s="258" t="s">
        <v>177</v>
      </c>
      <c r="C35" s="259" t="s">
        <v>528</v>
      </c>
      <c r="D35" s="260">
        <f t="shared" si="4"/>
        <v>346050</v>
      </c>
      <c r="E35" s="261">
        <v>2</v>
      </c>
      <c r="F35" s="262" cm="1">
        <f t="array" ref="F35">SUMPRODUCT((1*($G$9:$AM$9="x")),G35:AM35)</f>
        <v>68.2</v>
      </c>
      <c r="G35" s="263">
        <f t="shared" si="11"/>
        <v>18.600000000000001</v>
      </c>
      <c r="H35" s="264">
        <f t="shared" si="5"/>
        <v>23.4</v>
      </c>
      <c r="I35" s="264">
        <f t="shared" si="5"/>
        <v>21.8</v>
      </c>
      <c r="J35" s="264">
        <f t="shared" si="5"/>
        <v>21.4</v>
      </c>
      <c r="K35" s="265">
        <f t="shared" si="5"/>
        <v>24.6</v>
      </c>
      <c r="L35" s="263">
        <f t="shared" si="5"/>
        <v>48</v>
      </c>
      <c r="M35" s="264">
        <f t="shared" si="6"/>
        <v>25.6</v>
      </c>
      <c r="N35" s="264">
        <f t="shared" si="6"/>
        <v>24.2</v>
      </c>
      <c r="O35" s="285">
        <f t="shared" si="6"/>
        <v>16</v>
      </c>
      <c r="P35" s="264">
        <f t="shared" si="6"/>
        <v>15.4</v>
      </c>
      <c r="Q35" s="286">
        <f t="shared" si="6"/>
        <v>27.6</v>
      </c>
      <c r="S35" s="263">
        <f t="shared" si="7"/>
        <v>11.4</v>
      </c>
      <c r="T35" s="265">
        <f t="shared" si="8"/>
        <v>11.4</v>
      </c>
      <c r="U35" s="266">
        <f t="shared" si="9"/>
        <v>16.8</v>
      </c>
      <c r="V35" s="222"/>
      <c r="W35" s="263">
        <f t="shared" si="12"/>
        <v>24</v>
      </c>
      <c r="X35" s="264">
        <f t="shared" si="12"/>
        <v>25.6</v>
      </c>
      <c r="Y35" s="264">
        <f t="shared" si="12"/>
        <v>25.6</v>
      </c>
      <c r="Z35" s="264">
        <f t="shared" si="12"/>
        <v>23.6</v>
      </c>
      <c r="AA35" s="264"/>
      <c r="AB35" s="264"/>
      <c r="AC35" s="265">
        <f t="shared" si="13"/>
        <v>25.6</v>
      </c>
      <c r="AD35" s="222"/>
      <c r="AE35" s="263">
        <f t="shared" ref="AE35:AJ53" si="14">AE$11*$E35</f>
        <v>33.4</v>
      </c>
      <c r="AF35" s="264">
        <f t="shared" si="14"/>
        <v>32.200000000000003</v>
      </c>
      <c r="AG35" s="264">
        <f t="shared" si="14"/>
        <v>30.4</v>
      </c>
      <c r="AH35" s="264">
        <f t="shared" si="14"/>
        <v>30.2</v>
      </c>
      <c r="AI35" s="264">
        <f t="shared" si="14"/>
        <v>30.4</v>
      </c>
      <c r="AJ35" s="264">
        <f t="shared" si="14"/>
        <v>34.799999999999997</v>
      </c>
      <c r="AK35" s="264"/>
      <c r="AL35" s="264"/>
      <c r="AM35" s="265"/>
      <c r="AN35" s="222"/>
      <c r="AO35" s="284"/>
      <c r="AP35" s="277">
        <v>8</v>
      </c>
      <c r="AQ35" s="278" t="s">
        <v>543</v>
      </c>
    </row>
    <row r="36" spans="1:43" ht="16.5" customHeight="1" x14ac:dyDescent="0.25">
      <c r="A36" s="257">
        <v>346010</v>
      </c>
      <c r="B36" s="258" t="s">
        <v>179</v>
      </c>
      <c r="C36" s="259" t="s">
        <v>528</v>
      </c>
      <c r="D36" s="260">
        <f t="shared" si="4"/>
        <v>346010</v>
      </c>
      <c r="E36" s="261">
        <v>2</v>
      </c>
      <c r="F36" s="262" cm="1">
        <f t="array" ref="F36">SUMPRODUCT((1*($G$9:$AM$9="x")),G36:AM36)</f>
        <v>68.2</v>
      </c>
      <c r="G36" s="263">
        <f t="shared" si="11"/>
        <v>18.600000000000001</v>
      </c>
      <c r="H36" s="264">
        <f t="shared" si="11"/>
        <v>23.4</v>
      </c>
      <c r="I36" s="264">
        <f t="shared" si="11"/>
        <v>21.8</v>
      </c>
      <c r="J36" s="264">
        <f t="shared" si="11"/>
        <v>21.4</v>
      </c>
      <c r="K36" s="265">
        <f t="shared" si="11"/>
        <v>24.6</v>
      </c>
      <c r="L36" s="263">
        <f t="shared" si="11"/>
        <v>48</v>
      </c>
      <c r="M36" s="264">
        <f t="shared" si="11"/>
        <v>25.6</v>
      </c>
      <c r="N36" s="264">
        <f t="shared" si="11"/>
        <v>24.2</v>
      </c>
      <c r="O36" s="285">
        <f t="shared" si="11"/>
        <v>16</v>
      </c>
      <c r="P36" s="264">
        <f t="shared" si="11"/>
        <v>15.4</v>
      </c>
      <c r="Q36" s="286">
        <f t="shared" si="11"/>
        <v>27.6</v>
      </c>
      <c r="S36" s="263">
        <f t="shared" si="7"/>
        <v>11.4</v>
      </c>
      <c r="T36" s="265">
        <f t="shared" si="8"/>
        <v>11.4</v>
      </c>
      <c r="U36" s="266">
        <f t="shared" si="9"/>
        <v>16.8</v>
      </c>
      <c r="V36" s="222"/>
      <c r="W36" s="263">
        <f t="shared" si="12"/>
        <v>24</v>
      </c>
      <c r="X36" s="264">
        <f t="shared" si="12"/>
        <v>25.6</v>
      </c>
      <c r="Y36" s="264">
        <f t="shared" si="12"/>
        <v>25.6</v>
      </c>
      <c r="Z36" s="264">
        <f t="shared" si="12"/>
        <v>23.6</v>
      </c>
      <c r="AA36" s="264"/>
      <c r="AB36" s="264"/>
      <c r="AC36" s="265">
        <f t="shared" si="13"/>
        <v>25.6</v>
      </c>
      <c r="AD36" s="222"/>
      <c r="AE36" s="263">
        <f t="shared" si="14"/>
        <v>33.4</v>
      </c>
      <c r="AF36" s="264">
        <f t="shared" si="14"/>
        <v>32.200000000000003</v>
      </c>
      <c r="AG36" s="264">
        <f t="shared" si="14"/>
        <v>30.4</v>
      </c>
      <c r="AH36" s="264">
        <f t="shared" si="14"/>
        <v>30.2</v>
      </c>
      <c r="AI36" s="264">
        <f t="shared" si="14"/>
        <v>30.4</v>
      </c>
      <c r="AJ36" s="264">
        <f t="shared" si="14"/>
        <v>34.799999999999997</v>
      </c>
      <c r="AK36" s="264"/>
      <c r="AL36" s="264"/>
      <c r="AM36" s="265"/>
      <c r="AN36" s="222"/>
      <c r="AO36" s="284"/>
      <c r="AP36" s="277"/>
      <c r="AQ36" s="278"/>
    </row>
    <row r="37" spans="1:43" ht="16.5" customHeight="1" x14ac:dyDescent="0.25">
      <c r="A37" s="257">
        <v>341800</v>
      </c>
      <c r="B37" s="258" t="s">
        <v>180</v>
      </c>
      <c r="C37" s="259" t="s">
        <v>528</v>
      </c>
      <c r="D37" s="260">
        <f t="shared" si="4"/>
        <v>341800</v>
      </c>
      <c r="E37" s="261">
        <v>2</v>
      </c>
      <c r="F37" s="262" cm="1">
        <f t="array" ref="F37">SUMPRODUCT((1*($G$9:$AM$9="x")),G37:AM37)</f>
        <v>68.2</v>
      </c>
      <c r="G37" s="263">
        <f t="shared" si="11"/>
        <v>18.600000000000001</v>
      </c>
      <c r="H37" s="264">
        <f t="shared" si="11"/>
        <v>23.4</v>
      </c>
      <c r="I37" s="264">
        <f t="shared" si="11"/>
        <v>21.8</v>
      </c>
      <c r="J37" s="264">
        <f t="shared" si="11"/>
        <v>21.4</v>
      </c>
      <c r="K37" s="265">
        <f t="shared" si="11"/>
        <v>24.6</v>
      </c>
      <c r="L37" s="263">
        <f t="shared" si="11"/>
        <v>48</v>
      </c>
      <c r="M37" s="264">
        <f t="shared" si="11"/>
        <v>25.6</v>
      </c>
      <c r="N37" s="264">
        <f t="shared" si="11"/>
        <v>24.2</v>
      </c>
      <c r="O37" s="285">
        <f t="shared" si="11"/>
        <v>16</v>
      </c>
      <c r="P37" s="264">
        <f t="shared" si="11"/>
        <v>15.4</v>
      </c>
      <c r="Q37" s="286">
        <f t="shared" si="11"/>
        <v>27.6</v>
      </c>
      <c r="S37" s="263">
        <f t="shared" si="7"/>
        <v>11.4</v>
      </c>
      <c r="T37" s="265">
        <f t="shared" si="8"/>
        <v>11.4</v>
      </c>
      <c r="U37" s="266">
        <f t="shared" si="9"/>
        <v>16.8</v>
      </c>
      <c r="V37" s="222"/>
      <c r="W37" s="263">
        <f t="shared" si="12"/>
        <v>24</v>
      </c>
      <c r="X37" s="264">
        <f t="shared" si="12"/>
        <v>25.6</v>
      </c>
      <c r="Y37" s="264">
        <f t="shared" si="12"/>
        <v>25.6</v>
      </c>
      <c r="Z37" s="264">
        <f t="shared" si="12"/>
        <v>23.6</v>
      </c>
      <c r="AA37" s="264"/>
      <c r="AB37" s="264"/>
      <c r="AC37" s="265">
        <f t="shared" si="13"/>
        <v>25.6</v>
      </c>
      <c r="AD37" s="222"/>
      <c r="AE37" s="263">
        <f t="shared" si="14"/>
        <v>33.4</v>
      </c>
      <c r="AF37" s="264">
        <f t="shared" si="14"/>
        <v>32.200000000000003</v>
      </c>
      <c r="AG37" s="264">
        <f t="shared" si="14"/>
        <v>30.4</v>
      </c>
      <c r="AH37" s="264">
        <f t="shared" si="14"/>
        <v>30.2</v>
      </c>
      <c r="AI37" s="264">
        <f t="shared" si="14"/>
        <v>30.4</v>
      </c>
      <c r="AJ37" s="264">
        <f t="shared" si="14"/>
        <v>34.799999999999997</v>
      </c>
      <c r="AK37" s="264"/>
      <c r="AL37" s="264"/>
      <c r="AM37" s="265"/>
      <c r="AN37" s="222"/>
      <c r="AO37" s="289"/>
      <c r="AP37" s="277"/>
      <c r="AQ37" s="278"/>
    </row>
    <row r="38" spans="1:43" ht="16.5" customHeight="1" x14ac:dyDescent="0.25">
      <c r="A38" s="257">
        <v>342300</v>
      </c>
      <c r="B38" s="258" t="s">
        <v>405</v>
      </c>
      <c r="C38" s="259" t="s">
        <v>528</v>
      </c>
      <c r="D38" s="260">
        <f t="shared" si="4"/>
        <v>342300</v>
      </c>
      <c r="E38" s="261">
        <v>2</v>
      </c>
      <c r="F38" s="262" cm="1">
        <f t="array" ref="F38">SUMPRODUCT((1*($G$9:$AM$9="x")),G38:AM38)</f>
        <v>68.2</v>
      </c>
      <c r="G38" s="263">
        <f t="shared" si="11"/>
        <v>18.600000000000001</v>
      </c>
      <c r="H38" s="264">
        <f t="shared" si="11"/>
        <v>23.4</v>
      </c>
      <c r="I38" s="264">
        <f t="shared" si="11"/>
        <v>21.8</v>
      </c>
      <c r="J38" s="264">
        <f t="shared" si="11"/>
        <v>21.4</v>
      </c>
      <c r="K38" s="265">
        <f t="shared" si="11"/>
        <v>24.6</v>
      </c>
      <c r="L38" s="263">
        <f t="shared" si="11"/>
        <v>48</v>
      </c>
      <c r="M38" s="264">
        <f t="shared" si="11"/>
        <v>25.6</v>
      </c>
      <c r="N38" s="264">
        <f t="shared" si="11"/>
        <v>24.2</v>
      </c>
      <c r="O38" s="285">
        <f t="shared" si="11"/>
        <v>16</v>
      </c>
      <c r="P38" s="264">
        <f t="shared" si="11"/>
        <v>15.4</v>
      </c>
      <c r="Q38" s="286">
        <f t="shared" si="11"/>
        <v>27.6</v>
      </c>
      <c r="S38" s="263">
        <f t="shared" si="7"/>
        <v>11.4</v>
      </c>
      <c r="T38" s="265">
        <f t="shared" si="8"/>
        <v>11.4</v>
      </c>
      <c r="U38" s="266">
        <f t="shared" si="9"/>
        <v>16.8</v>
      </c>
      <c r="V38" s="222"/>
      <c r="W38" s="263">
        <f t="shared" si="12"/>
        <v>24</v>
      </c>
      <c r="X38" s="264">
        <f t="shared" si="12"/>
        <v>25.6</v>
      </c>
      <c r="Y38" s="264">
        <f t="shared" si="12"/>
        <v>25.6</v>
      </c>
      <c r="Z38" s="264">
        <f t="shared" si="12"/>
        <v>23.6</v>
      </c>
      <c r="AA38" s="264"/>
      <c r="AB38" s="264"/>
      <c r="AC38" s="265">
        <f t="shared" si="13"/>
        <v>25.6</v>
      </c>
      <c r="AD38" s="222"/>
      <c r="AE38" s="263">
        <f t="shared" si="14"/>
        <v>33.4</v>
      </c>
      <c r="AF38" s="264">
        <f t="shared" si="14"/>
        <v>32.200000000000003</v>
      </c>
      <c r="AG38" s="264">
        <f t="shared" si="14"/>
        <v>30.4</v>
      </c>
      <c r="AH38" s="264">
        <f t="shared" si="14"/>
        <v>30.2</v>
      </c>
      <c r="AI38" s="264">
        <f t="shared" si="14"/>
        <v>30.4</v>
      </c>
      <c r="AJ38" s="264">
        <f t="shared" si="14"/>
        <v>34.799999999999997</v>
      </c>
      <c r="AK38" s="264"/>
      <c r="AL38" s="264"/>
      <c r="AM38" s="265"/>
      <c r="AN38" s="222"/>
    </row>
    <row r="39" spans="1:43" ht="16.5" customHeight="1" x14ac:dyDescent="0.25">
      <c r="A39" s="257">
        <v>326280</v>
      </c>
      <c r="B39" s="258" t="s">
        <v>406</v>
      </c>
      <c r="C39" s="259" t="s">
        <v>528</v>
      </c>
      <c r="D39" s="260">
        <f t="shared" si="4"/>
        <v>326280</v>
      </c>
      <c r="E39" s="261">
        <v>3</v>
      </c>
      <c r="F39" s="262" cm="1">
        <f t="array" ref="F39">SUMPRODUCT((1*($G$9:$AM$9="x")),G39:AM39)</f>
        <v>102.30000000000001</v>
      </c>
      <c r="G39" s="263">
        <f t="shared" si="11"/>
        <v>27.900000000000002</v>
      </c>
      <c r="H39" s="264">
        <f t="shared" si="11"/>
        <v>35.099999999999994</v>
      </c>
      <c r="I39" s="264">
        <f t="shared" si="11"/>
        <v>32.700000000000003</v>
      </c>
      <c r="J39" s="264">
        <f t="shared" si="11"/>
        <v>32.099999999999994</v>
      </c>
      <c r="K39" s="265">
        <f t="shared" si="11"/>
        <v>36.900000000000006</v>
      </c>
      <c r="L39" s="263">
        <f t="shared" si="11"/>
        <v>72</v>
      </c>
      <c r="M39" s="264">
        <f t="shared" si="11"/>
        <v>38.400000000000006</v>
      </c>
      <c r="N39" s="264">
        <f t="shared" si="11"/>
        <v>36.299999999999997</v>
      </c>
      <c r="O39" s="285">
        <f t="shared" si="11"/>
        <v>24</v>
      </c>
      <c r="P39" s="264">
        <f t="shared" si="11"/>
        <v>23.1</v>
      </c>
      <c r="Q39" s="286">
        <f t="shared" si="11"/>
        <v>41.400000000000006</v>
      </c>
      <c r="S39" s="263">
        <f t="shared" si="7"/>
        <v>17.100000000000001</v>
      </c>
      <c r="T39" s="265">
        <f t="shared" si="8"/>
        <v>17.100000000000001</v>
      </c>
      <c r="U39" s="266">
        <f t="shared" si="9"/>
        <v>25.200000000000003</v>
      </c>
      <c r="V39" s="222"/>
      <c r="W39" s="263">
        <f t="shared" si="12"/>
        <v>36</v>
      </c>
      <c r="X39" s="264">
        <f t="shared" si="12"/>
        <v>38.400000000000006</v>
      </c>
      <c r="Y39" s="264">
        <f t="shared" si="12"/>
        <v>38.400000000000006</v>
      </c>
      <c r="Z39" s="264">
        <f t="shared" si="12"/>
        <v>35.400000000000006</v>
      </c>
      <c r="AA39" s="264"/>
      <c r="AB39" s="264"/>
      <c r="AC39" s="265">
        <f t="shared" si="13"/>
        <v>38.400000000000006</v>
      </c>
      <c r="AD39" s="222"/>
      <c r="AE39" s="263">
        <f t="shared" si="14"/>
        <v>50.099999999999994</v>
      </c>
      <c r="AF39" s="264">
        <f t="shared" si="14"/>
        <v>48.300000000000004</v>
      </c>
      <c r="AG39" s="264">
        <f t="shared" si="14"/>
        <v>45.599999999999994</v>
      </c>
      <c r="AH39" s="264">
        <f t="shared" si="14"/>
        <v>45.3</v>
      </c>
      <c r="AI39" s="264">
        <f t="shared" si="14"/>
        <v>45.599999999999994</v>
      </c>
      <c r="AJ39" s="264">
        <f t="shared" si="14"/>
        <v>52.199999999999996</v>
      </c>
      <c r="AK39" s="264"/>
      <c r="AL39" s="264"/>
      <c r="AM39" s="265"/>
      <c r="AN39" s="222"/>
    </row>
    <row r="40" spans="1:43" ht="16.5" customHeight="1" x14ac:dyDescent="0.25">
      <c r="A40" s="257">
        <v>346020</v>
      </c>
      <c r="B40" s="258" t="s">
        <v>170</v>
      </c>
      <c r="C40" s="259" t="s">
        <v>528</v>
      </c>
      <c r="D40" s="260">
        <f t="shared" si="4"/>
        <v>346020</v>
      </c>
      <c r="E40" s="261">
        <v>3</v>
      </c>
      <c r="F40" s="262" cm="1">
        <f t="array" ref="F40">SUMPRODUCT((1*($G$9:$AM$9="x")),G40:AM40)</f>
        <v>102.30000000000001</v>
      </c>
      <c r="G40" s="263">
        <f t="shared" si="11"/>
        <v>27.900000000000002</v>
      </c>
      <c r="H40" s="264">
        <f t="shared" si="11"/>
        <v>35.099999999999994</v>
      </c>
      <c r="I40" s="264">
        <f t="shared" si="11"/>
        <v>32.700000000000003</v>
      </c>
      <c r="J40" s="264">
        <f t="shared" si="11"/>
        <v>32.099999999999994</v>
      </c>
      <c r="K40" s="265">
        <f t="shared" si="11"/>
        <v>36.900000000000006</v>
      </c>
      <c r="L40" s="263">
        <f t="shared" si="11"/>
        <v>72</v>
      </c>
      <c r="M40" s="264">
        <f t="shared" si="11"/>
        <v>38.400000000000006</v>
      </c>
      <c r="N40" s="264">
        <f t="shared" si="11"/>
        <v>36.299999999999997</v>
      </c>
      <c r="O40" s="285">
        <f t="shared" si="11"/>
        <v>24</v>
      </c>
      <c r="P40" s="264">
        <f t="shared" si="11"/>
        <v>23.1</v>
      </c>
      <c r="Q40" s="286">
        <f t="shared" si="11"/>
        <v>41.400000000000006</v>
      </c>
      <c r="S40" s="263">
        <f t="shared" si="7"/>
        <v>17.100000000000001</v>
      </c>
      <c r="T40" s="265">
        <f t="shared" si="8"/>
        <v>17.100000000000001</v>
      </c>
      <c r="U40" s="266">
        <f t="shared" si="9"/>
        <v>25.200000000000003</v>
      </c>
      <c r="V40" s="222"/>
      <c r="W40" s="263">
        <f>W$11*$E40</f>
        <v>36</v>
      </c>
      <c r="X40" s="264">
        <f>X$11*$E40</f>
        <v>38.400000000000006</v>
      </c>
      <c r="Y40" s="264">
        <f>Y$11*$E40</f>
        <v>38.400000000000006</v>
      </c>
      <c r="Z40" s="264">
        <f>Z$11*$E40</f>
        <v>35.400000000000006</v>
      </c>
      <c r="AA40" s="264"/>
      <c r="AB40" s="264"/>
      <c r="AC40" s="265">
        <f>AC$11*$E40</f>
        <v>38.400000000000006</v>
      </c>
      <c r="AD40" s="222"/>
      <c r="AE40" s="263">
        <f t="shared" si="14"/>
        <v>50.099999999999994</v>
      </c>
      <c r="AF40" s="264">
        <f t="shared" si="14"/>
        <v>48.300000000000004</v>
      </c>
      <c r="AG40" s="264">
        <f t="shared" si="14"/>
        <v>45.599999999999994</v>
      </c>
      <c r="AH40" s="264">
        <f t="shared" si="14"/>
        <v>45.3</v>
      </c>
      <c r="AI40" s="264">
        <f t="shared" si="14"/>
        <v>45.599999999999994</v>
      </c>
      <c r="AJ40" s="264">
        <f t="shared" si="14"/>
        <v>52.199999999999996</v>
      </c>
      <c r="AK40" s="264"/>
      <c r="AL40" s="264"/>
      <c r="AM40" s="265"/>
      <c r="AN40" s="222"/>
    </row>
    <row r="41" spans="1:43" ht="16.5" customHeight="1" x14ac:dyDescent="0.25">
      <c r="A41" s="257">
        <v>346090</v>
      </c>
      <c r="B41" s="258" t="s">
        <v>182</v>
      </c>
      <c r="C41" s="259" t="s">
        <v>528</v>
      </c>
      <c r="D41" s="260">
        <f t="shared" si="4"/>
        <v>346090</v>
      </c>
      <c r="E41" s="261">
        <v>2</v>
      </c>
      <c r="F41" s="262" cm="1">
        <f t="array" ref="F41">SUMPRODUCT((1*($G$9:$AM$9="x")),G41:AM41)</f>
        <v>68.2</v>
      </c>
      <c r="G41" s="263">
        <f t="shared" si="11"/>
        <v>18.600000000000001</v>
      </c>
      <c r="H41" s="264">
        <f t="shared" si="11"/>
        <v>23.4</v>
      </c>
      <c r="I41" s="264">
        <f t="shared" si="11"/>
        <v>21.8</v>
      </c>
      <c r="J41" s="264">
        <f t="shared" si="11"/>
        <v>21.4</v>
      </c>
      <c r="K41" s="265">
        <f t="shared" si="11"/>
        <v>24.6</v>
      </c>
      <c r="L41" s="263">
        <f t="shared" si="11"/>
        <v>48</v>
      </c>
      <c r="M41" s="264">
        <f t="shared" si="11"/>
        <v>25.6</v>
      </c>
      <c r="N41" s="264">
        <f t="shared" si="11"/>
        <v>24.2</v>
      </c>
      <c r="O41" s="285">
        <f t="shared" si="11"/>
        <v>16</v>
      </c>
      <c r="P41" s="264">
        <f t="shared" si="11"/>
        <v>15.4</v>
      </c>
      <c r="Q41" s="286">
        <f t="shared" si="11"/>
        <v>27.6</v>
      </c>
      <c r="S41" s="263">
        <f t="shared" si="7"/>
        <v>11.4</v>
      </c>
      <c r="T41" s="265">
        <f t="shared" si="8"/>
        <v>11.4</v>
      </c>
      <c r="U41" s="266">
        <f t="shared" si="9"/>
        <v>16.8</v>
      </c>
      <c r="V41" s="222"/>
      <c r="W41" s="263">
        <f t="shared" ref="W41:Z57" si="15">W$11*$E41</f>
        <v>24</v>
      </c>
      <c r="X41" s="264">
        <f t="shared" si="15"/>
        <v>25.6</v>
      </c>
      <c r="Y41" s="264">
        <f t="shared" si="15"/>
        <v>25.6</v>
      </c>
      <c r="Z41" s="264">
        <f t="shared" si="15"/>
        <v>23.6</v>
      </c>
      <c r="AA41" s="264"/>
      <c r="AB41" s="264"/>
      <c r="AC41" s="265">
        <f t="shared" ref="AC41:AC58" si="16">AC$11*$E41</f>
        <v>25.6</v>
      </c>
      <c r="AD41" s="222"/>
      <c r="AE41" s="263">
        <f t="shared" si="14"/>
        <v>33.4</v>
      </c>
      <c r="AF41" s="264">
        <f t="shared" si="14"/>
        <v>32.200000000000003</v>
      </c>
      <c r="AG41" s="264">
        <f t="shared" si="14"/>
        <v>30.4</v>
      </c>
      <c r="AH41" s="264">
        <f t="shared" si="14"/>
        <v>30.2</v>
      </c>
      <c r="AI41" s="264">
        <f t="shared" si="14"/>
        <v>30.4</v>
      </c>
      <c r="AJ41" s="264">
        <f t="shared" si="14"/>
        <v>34.799999999999997</v>
      </c>
      <c r="AK41" s="264"/>
      <c r="AL41" s="264"/>
      <c r="AM41" s="265"/>
      <c r="AN41" s="222"/>
    </row>
    <row r="42" spans="1:43" ht="16.5" customHeight="1" x14ac:dyDescent="0.25">
      <c r="A42" s="257">
        <v>346000</v>
      </c>
      <c r="B42" s="258" t="s">
        <v>157</v>
      </c>
      <c r="C42" s="259" t="s">
        <v>528</v>
      </c>
      <c r="D42" s="260">
        <f t="shared" si="4"/>
        <v>346000</v>
      </c>
      <c r="E42" s="261">
        <v>2</v>
      </c>
      <c r="F42" s="262" cm="1">
        <f t="array" ref="F42">SUMPRODUCT((1*($G$9:$AM$9="x")),G42:AM42)</f>
        <v>68.2</v>
      </c>
      <c r="G42" s="263">
        <f t="shared" si="11"/>
        <v>18.600000000000001</v>
      </c>
      <c r="H42" s="264">
        <f t="shared" si="11"/>
        <v>23.4</v>
      </c>
      <c r="I42" s="264">
        <f t="shared" si="11"/>
        <v>21.8</v>
      </c>
      <c r="J42" s="264">
        <f t="shared" si="11"/>
        <v>21.4</v>
      </c>
      <c r="K42" s="265">
        <f t="shared" si="11"/>
        <v>24.6</v>
      </c>
      <c r="L42" s="263">
        <f t="shared" si="11"/>
        <v>48</v>
      </c>
      <c r="M42" s="264">
        <f t="shared" si="11"/>
        <v>25.6</v>
      </c>
      <c r="N42" s="264">
        <f t="shared" si="11"/>
        <v>24.2</v>
      </c>
      <c r="O42" s="285">
        <f t="shared" si="11"/>
        <v>16</v>
      </c>
      <c r="P42" s="264">
        <f t="shared" si="11"/>
        <v>15.4</v>
      </c>
      <c r="Q42" s="286">
        <f t="shared" si="11"/>
        <v>27.6</v>
      </c>
      <c r="S42" s="263">
        <f t="shared" si="7"/>
        <v>11.4</v>
      </c>
      <c r="T42" s="265">
        <f t="shared" si="8"/>
        <v>11.4</v>
      </c>
      <c r="U42" s="266">
        <f t="shared" si="9"/>
        <v>16.8</v>
      </c>
      <c r="V42" s="222"/>
      <c r="W42" s="263">
        <f t="shared" si="15"/>
        <v>24</v>
      </c>
      <c r="X42" s="264">
        <f t="shared" si="15"/>
        <v>25.6</v>
      </c>
      <c r="Y42" s="264">
        <f t="shared" si="15"/>
        <v>25.6</v>
      </c>
      <c r="Z42" s="264">
        <f t="shared" si="15"/>
        <v>23.6</v>
      </c>
      <c r="AA42" s="264"/>
      <c r="AB42" s="264"/>
      <c r="AC42" s="265">
        <f t="shared" si="16"/>
        <v>25.6</v>
      </c>
      <c r="AD42" s="222"/>
      <c r="AE42" s="263">
        <f t="shared" si="14"/>
        <v>33.4</v>
      </c>
      <c r="AF42" s="264">
        <f t="shared" si="14"/>
        <v>32.200000000000003</v>
      </c>
      <c r="AG42" s="264">
        <f t="shared" si="14"/>
        <v>30.4</v>
      </c>
      <c r="AH42" s="264">
        <f t="shared" si="14"/>
        <v>30.2</v>
      </c>
      <c r="AI42" s="264">
        <f t="shared" si="14"/>
        <v>30.4</v>
      </c>
      <c r="AJ42" s="264">
        <f t="shared" si="14"/>
        <v>34.799999999999997</v>
      </c>
      <c r="AK42" s="264"/>
      <c r="AL42" s="264"/>
      <c r="AM42" s="265"/>
      <c r="AN42" s="222"/>
    </row>
    <row r="43" spans="1:43" ht="16.5" customHeight="1" x14ac:dyDescent="0.25">
      <c r="A43" s="257">
        <v>346080</v>
      </c>
      <c r="B43" s="258" t="s">
        <v>171</v>
      </c>
      <c r="C43" s="259" t="s">
        <v>528</v>
      </c>
      <c r="D43" s="260">
        <f t="shared" si="4"/>
        <v>346080</v>
      </c>
      <c r="E43" s="261">
        <v>2</v>
      </c>
      <c r="F43" s="262" cm="1">
        <f t="array" ref="F43">SUMPRODUCT((1*($G$9:$AM$9="x")),G43:AM43)</f>
        <v>68.2</v>
      </c>
      <c r="G43" s="263">
        <f t="shared" si="11"/>
        <v>18.600000000000001</v>
      </c>
      <c r="H43" s="264">
        <f t="shared" si="11"/>
        <v>23.4</v>
      </c>
      <c r="I43" s="264">
        <f t="shared" si="11"/>
        <v>21.8</v>
      </c>
      <c r="J43" s="264">
        <f t="shared" si="11"/>
        <v>21.4</v>
      </c>
      <c r="K43" s="265">
        <f t="shared" si="11"/>
        <v>24.6</v>
      </c>
      <c r="L43" s="263">
        <f t="shared" si="11"/>
        <v>48</v>
      </c>
      <c r="M43" s="264">
        <f t="shared" si="11"/>
        <v>25.6</v>
      </c>
      <c r="N43" s="264">
        <f t="shared" si="11"/>
        <v>24.2</v>
      </c>
      <c r="O43" s="285">
        <f t="shared" si="11"/>
        <v>16</v>
      </c>
      <c r="P43" s="264">
        <f t="shared" si="11"/>
        <v>15.4</v>
      </c>
      <c r="Q43" s="286">
        <f t="shared" si="11"/>
        <v>27.6</v>
      </c>
      <c r="S43" s="263">
        <f t="shared" si="7"/>
        <v>11.4</v>
      </c>
      <c r="T43" s="265">
        <f t="shared" si="8"/>
        <v>11.4</v>
      </c>
      <c r="U43" s="266">
        <f t="shared" si="9"/>
        <v>16.8</v>
      </c>
      <c r="V43" s="222"/>
      <c r="W43" s="263">
        <f t="shared" si="15"/>
        <v>24</v>
      </c>
      <c r="X43" s="264">
        <f t="shared" si="15"/>
        <v>25.6</v>
      </c>
      <c r="Y43" s="264">
        <f t="shared" si="15"/>
        <v>25.6</v>
      </c>
      <c r="Z43" s="264">
        <f t="shared" si="15"/>
        <v>23.6</v>
      </c>
      <c r="AA43" s="264"/>
      <c r="AB43" s="264"/>
      <c r="AC43" s="265">
        <f t="shared" si="16"/>
        <v>25.6</v>
      </c>
      <c r="AD43" s="222"/>
      <c r="AE43" s="263">
        <f t="shared" si="14"/>
        <v>33.4</v>
      </c>
      <c r="AF43" s="264">
        <f t="shared" si="14"/>
        <v>32.200000000000003</v>
      </c>
      <c r="AG43" s="264">
        <f t="shared" si="14"/>
        <v>30.4</v>
      </c>
      <c r="AH43" s="264">
        <f t="shared" si="14"/>
        <v>30.2</v>
      </c>
      <c r="AI43" s="264">
        <f t="shared" si="14"/>
        <v>30.4</v>
      </c>
      <c r="AJ43" s="264">
        <f t="shared" si="14"/>
        <v>34.799999999999997</v>
      </c>
      <c r="AK43" s="264"/>
      <c r="AL43" s="264"/>
      <c r="AM43" s="265"/>
      <c r="AN43" s="222"/>
    </row>
    <row r="44" spans="1:43" ht="16.5" customHeight="1" x14ac:dyDescent="0.25">
      <c r="A44" s="257">
        <v>346220</v>
      </c>
      <c r="B44" s="258" t="s">
        <v>407</v>
      </c>
      <c r="C44" s="259" t="s">
        <v>528</v>
      </c>
      <c r="D44" s="260">
        <f t="shared" si="4"/>
        <v>346220</v>
      </c>
      <c r="E44" s="261">
        <v>2</v>
      </c>
      <c r="F44" s="262" cm="1">
        <f t="array" ref="F44">SUMPRODUCT((1*($G$9:$AM$9="x")),G44:AM44)</f>
        <v>68.2</v>
      </c>
      <c r="G44" s="263">
        <f t="shared" si="11"/>
        <v>18.600000000000001</v>
      </c>
      <c r="H44" s="264">
        <f t="shared" si="11"/>
        <v>23.4</v>
      </c>
      <c r="I44" s="264">
        <f t="shared" si="11"/>
        <v>21.8</v>
      </c>
      <c r="J44" s="264">
        <f t="shared" si="11"/>
        <v>21.4</v>
      </c>
      <c r="K44" s="265">
        <f t="shared" si="11"/>
        <v>24.6</v>
      </c>
      <c r="L44" s="263">
        <f t="shared" si="11"/>
        <v>48</v>
      </c>
      <c r="M44" s="264">
        <f t="shared" si="11"/>
        <v>25.6</v>
      </c>
      <c r="N44" s="264">
        <f t="shared" si="11"/>
        <v>24.2</v>
      </c>
      <c r="O44" s="285">
        <f t="shared" si="11"/>
        <v>16</v>
      </c>
      <c r="P44" s="264">
        <f t="shared" si="11"/>
        <v>15.4</v>
      </c>
      <c r="Q44" s="286">
        <f t="shared" si="11"/>
        <v>27.6</v>
      </c>
      <c r="S44" s="263">
        <f t="shared" si="7"/>
        <v>11.4</v>
      </c>
      <c r="T44" s="265">
        <f t="shared" si="8"/>
        <v>11.4</v>
      </c>
      <c r="U44" s="266">
        <f t="shared" si="9"/>
        <v>16.8</v>
      </c>
      <c r="V44" s="222"/>
      <c r="W44" s="263">
        <f t="shared" si="15"/>
        <v>24</v>
      </c>
      <c r="X44" s="264">
        <f>X$11*$E44</f>
        <v>25.6</v>
      </c>
      <c r="Y44" s="264">
        <f t="shared" si="15"/>
        <v>25.6</v>
      </c>
      <c r="Z44" s="264">
        <f t="shared" si="15"/>
        <v>23.6</v>
      </c>
      <c r="AA44" s="264"/>
      <c r="AB44" s="264"/>
      <c r="AC44" s="265">
        <f t="shared" si="16"/>
        <v>25.6</v>
      </c>
      <c r="AD44" s="222"/>
      <c r="AE44" s="263">
        <f t="shared" si="14"/>
        <v>33.4</v>
      </c>
      <c r="AF44" s="264">
        <f t="shared" si="14"/>
        <v>32.200000000000003</v>
      </c>
      <c r="AG44" s="264">
        <f t="shared" si="14"/>
        <v>30.4</v>
      </c>
      <c r="AH44" s="264">
        <f t="shared" si="14"/>
        <v>30.2</v>
      </c>
      <c r="AI44" s="264">
        <f t="shared" si="14"/>
        <v>30.4</v>
      </c>
      <c r="AJ44" s="264">
        <f t="shared" si="14"/>
        <v>34.799999999999997</v>
      </c>
      <c r="AK44" s="264"/>
      <c r="AL44" s="264"/>
      <c r="AM44" s="265"/>
      <c r="AN44" s="222"/>
    </row>
    <row r="45" spans="1:43" ht="16.5" customHeight="1" x14ac:dyDescent="0.25">
      <c r="A45" s="257">
        <v>346030</v>
      </c>
      <c r="B45" s="258" t="s">
        <v>183</v>
      </c>
      <c r="C45" s="259" t="s">
        <v>528</v>
      </c>
      <c r="D45" s="260">
        <f t="shared" si="4"/>
        <v>346030</v>
      </c>
      <c r="E45" s="261">
        <v>2</v>
      </c>
      <c r="F45" s="262" cm="1">
        <f t="array" ref="F45">SUMPRODUCT((1*($G$9:$AM$9="x")),G45:AM45)</f>
        <v>68.2</v>
      </c>
      <c r="G45" s="263">
        <f t="shared" si="11"/>
        <v>18.600000000000001</v>
      </c>
      <c r="H45" s="264">
        <f t="shared" si="11"/>
        <v>23.4</v>
      </c>
      <c r="I45" s="264">
        <f t="shared" si="11"/>
        <v>21.8</v>
      </c>
      <c r="J45" s="264">
        <f t="shared" si="11"/>
        <v>21.4</v>
      </c>
      <c r="K45" s="265">
        <f t="shared" si="11"/>
        <v>24.6</v>
      </c>
      <c r="L45" s="263">
        <f t="shared" si="11"/>
        <v>48</v>
      </c>
      <c r="M45" s="264">
        <f t="shared" si="11"/>
        <v>25.6</v>
      </c>
      <c r="N45" s="264">
        <f t="shared" si="11"/>
        <v>24.2</v>
      </c>
      <c r="O45" s="285">
        <f t="shared" si="11"/>
        <v>16</v>
      </c>
      <c r="P45" s="264">
        <f t="shared" si="11"/>
        <v>15.4</v>
      </c>
      <c r="Q45" s="286">
        <f t="shared" si="11"/>
        <v>27.6</v>
      </c>
      <c r="S45" s="263">
        <f t="shared" si="7"/>
        <v>11.4</v>
      </c>
      <c r="T45" s="265">
        <f t="shared" si="8"/>
        <v>11.4</v>
      </c>
      <c r="U45" s="266">
        <f t="shared" si="9"/>
        <v>16.8</v>
      </c>
      <c r="V45" s="222"/>
      <c r="W45" s="263">
        <f t="shared" si="15"/>
        <v>24</v>
      </c>
      <c r="X45" s="264">
        <f t="shared" si="15"/>
        <v>25.6</v>
      </c>
      <c r="Y45" s="264">
        <f t="shared" si="15"/>
        <v>25.6</v>
      </c>
      <c r="Z45" s="264">
        <f t="shared" si="15"/>
        <v>23.6</v>
      </c>
      <c r="AA45" s="264"/>
      <c r="AB45" s="264"/>
      <c r="AC45" s="265">
        <f t="shared" si="16"/>
        <v>25.6</v>
      </c>
      <c r="AD45" s="222"/>
      <c r="AE45" s="263">
        <f t="shared" si="14"/>
        <v>33.4</v>
      </c>
      <c r="AF45" s="264">
        <f t="shared" si="14"/>
        <v>32.200000000000003</v>
      </c>
      <c r="AG45" s="264">
        <f t="shared" si="14"/>
        <v>30.4</v>
      </c>
      <c r="AH45" s="264">
        <f t="shared" si="14"/>
        <v>30.2</v>
      </c>
      <c r="AI45" s="264">
        <f t="shared" si="14"/>
        <v>30.4</v>
      </c>
      <c r="AJ45" s="264">
        <f t="shared" si="14"/>
        <v>34.799999999999997</v>
      </c>
      <c r="AK45" s="264"/>
      <c r="AL45" s="264"/>
      <c r="AM45" s="265"/>
      <c r="AN45" s="222"/>
    </row>
    <row r="46" spans="1:43" ht="16.5" customHeight="1" x14ac:dyDescent="0.25">
      <c r="A46" s="257">
        <v>346060</v>
      </c>
      <c r="B46" s="258" t="s">
        <v>184</v>
      </c>
      <c r="C46" s="259" t="s">
        <v>528</v>
      </c>
      <c r="D46" s="260">
        <f t="shared" si="4"/>
        <v>346060</v>
      </c>
      <c r="E46" s="261">
        <v>2</v>
      </c>
      <c r="F46" s="262" cm="1">
        <f t="array" ref="F46">SUMPRODUCT((1*($G$9:$AM$9="x")),G46:AM46)</f>
        <v>68.2</v>
      </c>
      <c r="G46" s="263">
        <f t="shared" si="11"/>
        <v>18.600000000000001</v>
      </c>
      <c r="H46" s="264">
        <f t="shared" si="11"/>
        <v>23.4</v>
      </c>
      <c r="I46" s="264">
        <f t="shared" si="11"/>
        <v>21.8</v>
      </c>
      <c r="J46" s="264">
        <f t="shared" si="11"/>
        <v>21.4</v>
      </c>
      <c r="K46" s="265">
        <f t="shared" si="11"/>
        <v>24.6</v>
      </c>
      <c r="L46" s="263">
        <f t="shared" si="11"/>
        <v>48</v>
      </c>
      <c r="M46" s="264">
        <f t="shared" si="11"/>
        <v>25.6</v>
      </c>
      <c r="N46" s="264">
        <f t="shared" si="11"/>
        <v>24.2</v>
      </c>
      <c r="O46" s="285">
        <f t="shared" si="11"/>
        <v>16</v>
      </c>
      <c r="P46" s="264">
        <f t="shared" si="11"/>
        <v>15.4</v>
      </c>
      <c r="Q46" s="286">
        <f t="shared" si="11"/>
        <v>27.6</v>
      </c>
      <c r="S46" s="263">
        <f t="shared" si="7"/>
        <v>11.4</v>
      </c>
      <c r="T46" s="265">
        <f t="shared" si="8"/>
        <v>11.4</v>
      </c>
      <c r="U46" s="266">
        <f t="shared" si="9"/>
        <v>16.8</v>
      </c>
      <c r="V46" s="222"/>
      <c r="W46" s="263">
        <f t="shared" si="15"/>
        <v>24</v>
      </c>
      <c r="X46" s="264">
        <f t="shared" si="15"/>
        <v>25.6</v>
      </c>
      <c r="Y46" s="264">
        <f t="shared" si="15"/>
        <v>25.6</v>
      </c>
      <c r="Z46" s="264">
        <f t="shared" si="15"/>
        <v>23.6</v>
      </c>
      <c r="AA46" s="264"/>
      <c r="AB46" s="264"/>
      <c r="AC46" s="265">
        <f t="shared" si="16"/>
        <v>25.6</v>
      </c>
      <c r="AD46" s="222"/>
      <c r="AE46" s="263">
        <f t="shared" si="14"/>
        <v>33.4</v>
      </c>
      <c r="AF46" s="264">
        <f t="shared" si="14"/>
        <v>32.200000000000003</v>
      </c>
      <c r="AG46" s="264">
        <f t="shared" si="14"/>
        <v>30.4</v>
      </c>
      <c r="AH46" s="264">
        <f t="shared" si="14"/>
        <v>30.2</v>
      </c>
      <c r="AI46" s="264">
        <f t="shared" si="14"/>
        <v>30.4</v>
      </c>
      <c r="AJ46" s="264">
        <f t="shared" si="14"/>
        <v>34.799999999999997</v>
      </c>
      <c r="AK46" s="264"/>
      <c r="AL46" s="264"/>
      <c r="AM46" s="265"/>
      <c r="AN46" s="222"/>
    </row>
    <row r="47" spans="1:43" ht="16.5" customHeight="1" x14ac:dyDescent="0.25">
      <c r="A47" s="257">
        <v>346070</v>
      </c>
      <c r="B47" s="258" t="s">
        <v>160</v>
      </c>
      <c r="C47" s="259" t="s">
        <v>528</v>
      </c>
      <c r="D47" s="260">
        <f t="shared" si="4"/>
        <v>346070</v>
      </c>
      <c r="E47" s="261">
        <v>2</v>
      </c>
      <c r="F47" s="262" cm="1">
        <f t="array" ref="F47">SUMPRODUCT((1*($G$9:$AM$9="x")),G47:AM47)</f>
        <v>68.2</v>
      </c>
      <c r="G47" s="263">
        <f t="shared" si="11"/>
        <v>18.600000000000001</v>
      </c>
      <c r="H47" s="264">
        <f t="shared" si="11"/>
        <v>23.4</v>
      </c>
      <c r="I47" s="264">
        <f t="shared" si="11"/>
        <v>21.8</v>
      </c>
      <c r="J47" s="264">
        <f t="shared" si="11"/>
        <v>21.4</v>
      </c>
      <c r="K47" s="265">
        <f t="shared" si="11"/>
        <v>24.6</v>
      </c>
      <c r="L47" s="263">
        <f t="shared" si="11"/>
        <v>48</v>
      </c>
      <c r="M47" s="264">
        <f t="shared" si="11"/>
        <v>25.6</v>
      </c>
      <c r="N47" s="264">
        <f t="shared" si="11"/>
        <v>24.2</v>
      </c>
      <c r="O47" s="285">
        <f t="shared" si="11"/>
        <v>16</v>
      </c>
      <c r="P47" s="264">
        <f t="shared" si="11"/>
        <v>15.4</v>
      </c>
      <c r="Q47" s="286">
        <f t="shared" si="11"/>
        <v>27.6</v>
      </c>
      <c r="S47" s="263">
        <f t="shared" si="7"/>
        <v>11.4</v>
      </c>
      <c r="T47" s="265">
        <f t="shared" si="8"/>
        <v>11.4</v>
      </c>
      <c r="U47" s="266">
        <f t="shared" si="9"/>
        <v>16.8</v>
      </c>
      <c r="V47" s="222"/>
      <c r="W47" s="263">
        <f t="shared" si="15"/>
        <v>24</v>
      </c>
      <c r="X47" s="264">
        <f t="shared" si="15"/>
        <v>25.6</v>
      </c>
      <c r="Y47" s="264">
        <f t="shared" si="15"/>
        <v>25.6</v>
      </c>
      <c r="Z47" s="264">
        <f t="shared" si="15"/>
        <v>23.6</v>
      </c>
      <c r="AA47" s="264"/>
      <c r="AB47" s="264"/>
      <c r="AC47" s="265">
        <f t="shared" si="16"/>
        <v>25.6</v>
      </c>
      <c r="AD47" s="222"/>
      <c r="AE47" s="263">
        <f t="shared" si="14"/>
        <v>33.4</v>
      </c>
      <c r="AF47" s="264">
        <f t="shared" si="14"/>
        <v>32.200000000000003</v>
      </c>
      <c r="AG47" s="264">
        <f t="shared" si="14"/>
        <v>30.4</v>
      </c>
      <c r="AH47" s="264">
        <f t="shared" si="14"/>
        <v>30.2</v>
      </c>
      <c r="AI47" s="264">
        <f t="shared" si="14"/>
        <v>30.4</v>
      </c>
      <c r="AJ47" s="264">
        <f t="shared" si="14"/>
        <v>34.799999999999997</v>
      </c>
      <c r="AK47" s="264"/>
      <c r="AL47" s="264"/>
      <c r="AM47" s="265"/>
      <c r="AN47" s="222"/>
    </row>
    <row r="48" spans="1:43" ht="16.5" customHeight="1" x14ac:dyDescent="0.25">
      <c r="A48" s="257">
        <v>340030</v>
      </c>
      <c r="B48" s="258" t="s">
        <v>544</v>
      </c>
      <c r="C48" s="259" t="s">
        <v>528</v>
      </c>
      <c r="D48" s="260">
        <f t="shared" si="4"/>
        <v>340030</v>
      </c>
      <c r="E48" s="261">
        <v>5</v>
      </c>
      <c r="F48" s="262" cm="1">
        <f t="array" ref="F48">SUMPRODUCT((1*($G$9:$AM$9="x")),G48:AM48)</f>
        <v>170.5</v>
      </c>
      <c r="G48" s="263">
        <f t="shared" si="11"/>
        <v>46.5</v>
      </c>
      <c r="H48" s="264">
        <f t="shared" si="11"/>
        <v>58.5</v>
      </c>
      <c r="I48" s="264">
        <f t="shared" si="11"/>
        <v>54.5</v>
      </c>
      <c r="J48" s="264">
        <f t="shared" si="11"/>
        <v>53.5</v>
      </c>
      <c r="K48" s="265">
        <f t="shared" si="11"/>
        <v>61.5</v>
      </c>
      <c r="L48" s="263">
        <f t="shared" si="11"/>
        <v>120</v>
      </c>
      <c r="M48" s="264">
        <f t="shared" si="11"/>
        <v>64</v>
      </c>
      <c r="N48" s="264">
        <f t="shared" si="11"/>
        <v>60.5</v>
      </c>
      <c r="O48" s="285">
        <f t="shared" si="11"/>
        <v>40</v>
      </c>
      <c r="P48" s="264">
        <f t="shared" si="11"/>
        <v>38.5</v>
      </c>
      <c r="Q48" s="286">
        <f t="shared" si="11"/>
        <v>69</v>
      </c>
      <c r="S48" s="263">
        <f t="shared" si="7"/>
        <v>28.5</v>
      </c>
      <c r="T48" s="265">
        <f t="shared" si="8"/>
        <v>28.5</v>
      </c>
      <c r="U48" s="266">
        <f t="shared" si="9"/>
        <v>42</v>
      </c>
      <c r="V48" s="222"/>
      <c r="W48" s="263">
        <f t="shared" si="15"/>
        <v>60</v>
      </c>
      <c r="X48" s="264">
        <f t="shared" si="15"/>
        <v>64</v>
      </c>
      <c r="Y48" s="264">
        <f t="shared" si="15"/>
        <v>64</v>
      </c>
      <c r="Z48" s="264">
        <f t="shared" si="15"/>
        <v>59</v>
      </c>
      <c r="AA48" s="264"/>
      <c r="AB48" s="264"/>
      <c r="AC48" s="265">
        <f t="shared" si="16"/>
        <v>64</v>
      </c>
      <c r="AD48" s="222"/>
      <c r="AE48" s="263">
        <f t="shared" si="14"/>
        <v>83.5</v>
      </c>
      <c r="AF48" s="264">
        <f t="shared" si="14"/>
        <v>80.5</v>
      </c>
      <c r="AG48" s="264">
        <f t="shared" si="14"/>
        <v>76</v>
      </c>
      <c r="AH48" s="264">
        <f t="shared" si="14"/>
        <v>75.5</v>
      </c>
      <c r="AI48" s="264">
        <f t="shared" si="14"/>
        <v>76</v>
      </c>
      <c r="AJ48" s="264">
        <f t="shared" si="14"/>
        <v>87</v>
      </c>
      <c r="AK48" s="264"/>
      <c r="AL48" s="264"/>
      <c r="AM48" s="265"/>
      <c r="AN48" s="222"/>
    </row>
    <row r="49" spans="1:40" ht="16.5" customHeight="1" x14ac:dyDescent="0.25">
      <c r="A49" s="257">
        <v>300110</v>
      </c>
      <c r="B49" s="258" t="s">
        <v>147</v>
      </c>
      <c r="C49" s="259" t="s">
        <v>528</v>
      </c>
      <c r="D49" s="260">
        <f t="shared" si="4"/>
        <v>300110</v>
      </c>
      <c r="E49" s="261">
        <v>3</v>
      </c>
      <c r="F49" s="262" cm="1">
        <f t="array" ref="F49">SUMPRODUCT((1*($G$9:$AM$9="x")),G49:AM49)</f>
        <v>102.30000000000001</v>
      </c>
      <c r="G49" s="263">
        <f t="shared" si="11"/>
        <v>27.900000000000002</v>
      </c>
      <c r="H49" s="264">
        <f t="shared" si="11"/>
        <v>35.099999999999994</v>
      </c>
      <c r="I49" s="264">
        <f t="shared" si="11"/>
        <v>32.700000000000003</v>
      </c>
      <c r="J49" s="264">
        <f t="shared" si="11"/>
        <v>32.099999999999994</v>
      </c>
      <c r="K49" s="265">
        <f t="shared" si="11"/>
        <v>36.900000000000006</v>
      </c>
      <c r="L49" s="263">
        <f t="shared" si="11"/>
        <v>72</v>
      </c>
      <c r="M49" s="264">
        <f t="shared" si="11"/>
        <v>38.400000000000006</v>
      </c>
      <c r="N49" s="264">
        <f t="shared" si="11"/>
        <v>36.299999999999997</v>
      </c>
      <c r="O49" s="285">
        <f t="shared" si="11"/>
        <v>24</v>
      </c>
      <c r="P49" s="264">
        <f t="shared" si="11"/>
        <v>23.1</v>
      </c>
      <c r="Q49" s="286">
        <f t="shared" si="11"/>
        <v>41.400000000000006</v>
      </c>
      <c r="S49" s="263">
        <f t="shared" si="7"/>
        <v>17.100000000000001</v>
      </c>
      <c r="T49" s="265">
        <f t="shared" si="8"/>
        <v>17.100000000000001</v>
      </c>
      <c r="U49" s="266">
        <f t="shared" si="9"/>
        <v>25.200000000000003</v>
      </c>
      <c r="V49" s="222"/>
      <c r="W49" s="263">
        <f t="shared" si="15"/>
        <v>36</v>
      </c>
      <c r="X49" s="264">
        <f t="shared" si="15"/>
        <v>38.400000000000006</v>
      </c>
      <c r="Y49" s="264">
        <f t="shared" si="15"/>
        <v>38.400000000000006</v>
      </c>
      <c r="Z49" s="264">
        <f t="shared" si="15"/>
        <v>35.400000000000006</v>
      </c>
      <c r="AA49" s="264"/>
      <c r="AB49" s="264"/>
      <c r="AC49" s="265">
        <f t="shared" si="16"/>
        <v>38.400000000000006</v>
      </c>
      <c r="AD49" s="222"/>
      <c r="AE49" s="263">
        <f t="shared" si="14"/>
        <v>50.099999999999994</v>
      </c>
      <c r="AF49" s="264">
        <f t="shared" si="14"/>
        <v>48.300000000000004</v>
      </c>
      <c r="AG49" s="264">
        <f t="shared" si="14"/>
        <v>45.599999999999994</v>
      </c>
      <c r="AH49" s="264">
        <f t="shared" si="14"/>
        <v>45.3</v>
      </c>
      <c r="AI49" s="264">
        <f t="shared" si="14"/>
        <v>45.599999999999994</v>
      </c>
      <c r="AJ49" s="264">
        <f t="shared" si="14"/>
        <v>52.199999999999996</v>
      </c>
      <c r="AK49" s="264"/>
      <c r="AL49" s="264"/>
      <c r="AM49" s="265"/>
      <c r="AN49" s="222"/>
    </row>
    <row r="50" spans="1:40" ht="16.5" customHeight="1" x14ac:dyDescent="0.25">
      <c r="A50" s="257">
        <v>370100</v>
      </c>
      <c r="B50" s="258" t="s">
        <v>408</v>
      </c>
      <c r="C50" s="259" t="s">
        <v>528</v>
      </c>
      <c r="D50" s="260">
        <f t="shared" si="4"/>
        <v>370100</v>
      </c>
      <c r="E50" s="261">
        <v>1</v>
      </c>
      <c r="F50" s="262" cm="1">
        <f t="array" ref="F50">SUMPRODUCT((1*($G$9:$AM$9="x")),G50:AM50)</f>
        <v>34.1</v>
      </c>
      <c r="G50" s="263">
        <f t="shared" si="11"/>
        <v>9.3000000000000007</v>
      </c>
      <c r="H50" s="264">
        <f t="shared" si="11"/>
        <v>11.7</v>
      </c>
      <c r="I50" s="264">
        <f t="shared" si="11"/>
        <v>10.9</v>
      </c>
      <c r="J50" s="264">
        <f t="shared" si="11"/>
        <v>10.7</v>
      </c>
      <c r="K50" s="265">
        <f t="shared" si="11"/>
        <v>12.3</v>
      </c>
      <c r="L50" s="263">
        <f t="shared" si="11"/>
        <v>24</v>
      </c>
      <c r="M50" s="264">
        <f t="shared" si="11"/>
        <v>12.8</v>
      </c>
      <c r="N50" s="264">
        <f t="shared" si="11"/>
        <v>12.1</v>
      </c>
      <c r="O50" s="285">
        <f t="shared" si="11"/>
        <v>8</v>
      </c>
      <c r="P50" s="264">
        <f t="shared" si="11"/>
        <v>7.7</v>
      </c>
      <c r="Q50" s="286">
        <f t="shared" si="11"/>
        <v>13.8</v>
      </c>
      <c r="S50" s="263">
        <f t="shared" si="7"/>
        <v>5.7</v>
      </c>
      <c r="T50" s="265">
        <f t="shared" si="8"/>
        <v>5.7</v>
      </c>
      <c r="U50" s="266">
        <f t="shared" si="9"/>
        <v>8.4</v>
      </c>
      <c r="V50" s="222"/>
      <c r="W50" s="263">
        <f t="shared" si="15"/>
        <v>12</v>
      </c>
      <c r="X50" s="264">
        <f t="shared" si="15"/>
        <v>12.8</v>
      </c>
      <c r="Y50" s="264">
        <f t="shared" si="15"/>
        <v>12.8</v>
      </c>
      <c r="Z50" s="264">
        <f t="shared" si="15"/>
        <v>11.8</v>
      </c>
      <c r="AA50" s="264"/>
      <c r="AB50" s="264"/>
      <c r="AC50" s="265">
        <f t="shared" si="16"/>
        <v>12.8</v>
      </c>
      <c r="AD50" s="222"/>
      <c r="AE50" s="263">
        <f t="shared" si="14"/>
        <v>16.7</v>
      </c>
      <c r="AF50" s="264">
        <f t="shared" si="14"/>
        <v>16.100000000000001</v>
      </c>
      <c r="AG50" s="264">
        <f t="shared" si="14"/>
        <v>15.2</v>
      </c>
      <c r="AH50" s="264">
        <f t="shared" si="14"/>
        <v>15.1</v>
      </c>
      <c r="AI50" s="264">
        <f t="shared" si="14"/>
        <v>15.2</v>
      </c>
      <c r="AJ50" s="264">
        <f t="shared" si="14"/>
        <v>17.399999999999999</v>
      </c>
      <c r="AK50" s="264"/>
      <c r="AL50" s="264"/>
      <c r="AM50" s="265"/>
      <c r="AN50" s="222"/>
    </row>
    <row r="51" spans="1:40" ht="16.5" customHeight="1" x14ac:dyDescent="0.25">
      <c r="A51" s="257">
        <v>370140</v>
      </c>
      <c r="B51" s="258" t="s">
        <v>409</v>
      </c>
      <c r="C51" s="259" t="s">
        <v>528</v>
      </c>
      <c r="D51" s="260">
        <f t="shared" si="4"/>
        <v>370140</v>
      </c>
      <c r="E51" s="261">
        <v>1</v>
      </c>
      <c r="F51" s="262" cm="1">
        <f t="array" ref="F51">SUMPRODUCT((1*($G$9:$AM$9="x")),G51:AM51)</f>
        <v>34.1</v>
      </c>
      <c r="G51" s="263">
        <f t="shared" si="11"/>
        <v>9.3000000000000007</v>
      </c>
      <c r="H51" s="264">
        <f t="shared" si="11"/>
        <v>11.7</v>
      </c>
      <c r="I51" s="264">
        <f t="shared" si="11"/>
        <v>10.9</v>
      </c>
      <c r="J51" s="264">
        <f t="shared" si="11"/>
        <v>10.7</v>
      </c>
      <c r="K51" s="265">
        <f t="shared" si="11"/>
        <v>12.3</v>
      </c>
      <c r="L51" s="263">
        <f t="shared" si="11"/>
        <v>24</v>
      </c>
      <c r="M51" s="264">
        <f t="shared" si="11"/>
        <v>12.8</v>
      </c>
      <c r="N51" s="264">
        <f t="shared" si="11"/>
        <v>12.1</v>
      </c>
      <c r="O51" s="285">
        <f t="shared" si="11"/>
        <v>8</v>
      </c>
      <c r="P51" s="264">
        <f t="shared" si="11"/>
        <v>7.7</v>
      </c>
      <c r="Q51" s="286">
        <f t="shared" si="11"/>
        <v>13.8</v>
      </c>
      <c r="S51" s="263">
        <f t="shared" si="7"/>
        <v>5.7</v>
      </c>
      <c r="T51" s="265">
        <f t="shared" si="8"/>
        <v>5.7</v>
      </c>
      <c r="U51" s="266">
        <f t="shared" si="9"/>
        <v>8.4</v>
      </c>
      <c r="V51" s="222"/>
      <c r="W51" s="263">
        <f t="shared" si="15"/>
        <v>12</v>
      </c>
      <c r="X51" s="264">
        <f t="shared" si="15"/>
        <v>12.8</v>
      </c>
      <c r="Y51" s="264">
        <f t="shared" si="15"/>
        <v>12.8</v>
      </c>
      <c r="Z51" s="264">
        <f t="shared" si="15"/>
        <v>11.8</v>
      </c>
      <c r="AA51" s="264"/>
      <c r="AB51" s="264"/>
      <c r="AC51" s="265">
        <f t="shared" si="16"/>
        <v>12.8</v>
      </c>
      <c r="AD51" s="222"/>
      <c r="AE51" s="263">
        <f t="shared" si="14"/>
        <v>16.7</v>
      </c>
      <c r="AF51" s="264">
        <f t="shared" si="14"/>
        <v>16.100000000000001</v>
      </c>
      <c r="AG51" s="264">
        <f t="shared" si="14"/>
        <v>15.2</v>
      </c>
      <c r="AH51" s="264">
        <f t="shared" si="14"/>
        <v>15.1</v>
      </c>
      <c r="AI51" s="264">
        <f t="shared" si="14"/>
        <v>15.2</v>
      </c>
      <c r="AJ51" s="264">
        <f t="shared" si="14"/>
        <v>17.399999999999999</v>
      </c>
      <c r="AK51" s="264"/>
      <c r="AL51" s="264"/>
      <c r="AM51" s="265"/>
      <c r="AN51" s="222"/>
    </row>
    <row r="52" spans="1:40" ht="16.5" customHeight="1" x14ac:dyDescent="0.25">
      <c r="A52" s="257">
        <v>320550</v>
      </c>
      <c r="B52" s="258" t="s">
        <v>410</v>
      </c>
      <c r="C52" s="259" t="s">
        <v>528</v>
      </c>
      <c r="D52" s="459" t="s">
        <v>545</v>
      </c>
      <c r="E52" s="290">
        <v>4</v>
      </c>
      <c r="F52" s="262" cm="1">
        <f t="array" ref="F52">SUMPRODUCT((1*($G$9:$AM$9="x")),G52:AM52)</f>
        <v>136.4</v>
      </c>
      <c r="G52" s="291">
        <f t="shared" si="11"/>
        <v>37.200000000000003</v>
      </c>
      <c r="H52" s="292">
        <f t="shared" si="11"/>
        <v>46.8</v>
      </c>
      <c r="I52" s="292">
        <f t="shared" si="11"/>
        <v>43.6</v>
      </c>
      <c r="J52" s="292">
        <f t="shared" si="11"/>
        <v>42.8</v>
      </c>
      <c r="K52" s="293">
        <f t="shared" si="11"/>
        <v>49.2</v>
      </c>
      <c r="L52" s="291">
        <f t="shared" si="11"/>
        <v>96</v>
      </c>
      <c r="M52" s="292">
        <f t="shared" si="11"/>
        <v>51.2</v>
      </c>
      <c r="N52" s="292">
        <f t="shared" si="11"/>
        <v>48.4</v>
      </c>
      <c r="O52" s="294">
        <f t="shared" si="11"/>
        <v>32</v>
      </c>
      <c r="P52" s="292">
        <f t="shared" si="11"/>
        <v>30.8</v>
      </c>
      <c r="Q52" s="295">
        <f t="shared" si="11"/>
        <v>55.2</v>
      </c>
      <c r="S52" s="296">
        <f t="shared" si="7"/>
        <v>22.8</v>
      </c>
      <c r="T52" s="297">
        <f t="shared" si="8"/>
        <v>22.8</v>
      </c>
      <c r="U52" s="298">
        <f t="shared" si="9"/>
        <v>33.6</v>
      </c>
      <c r="V52" s="222"/>
      <c r="W52" s="291">
        <f>W$11*$E52</f>
        <v>48</v>
      </c>
      <c r="X52" s="292">
        <f>X$11*$E52</f>
        <v>51.2</v>
      </c>
      <c r="Y52" s="292">
        <f t="shared" si="15"/>
        <v>51.2</v>
      </c>
      <c r="Z52" s="292">
        <f t="shared" si="15"/>
        <v>47.2</v>
      </c>
      <c r="AA52" s="264"/>
      <c r="AB52" s="264"/>
      <c r="AC52" s="293">
        <f t="shared" si="16"/>
        <v>51.2</v>
      </c>
      <c r="AD52" s="222"/>
      <c r="AE52" s="291">
        <f>AE$11*$E52</f>
        <v>66.8</v>
      </c>
      <c r="AF52" s="292">
        <f t="shared" si="14"/>
        <v>64.400000000000006</v>
      </c>
      <c r="AG52" s="292">
        <f t="shared" si="14"/>
        <v>60.8</v>
      </c>
      <c r="AH52" s="292">
        <f t="shared" si="14"/>
        <v>60.4</v>
      </c>
      <c r="AI52" s="292">
        <f t="shared" si="14"/>
        <v>60.8</v>
      </c>
      <c r="AJ52" s="292">
        <f t="shared" si="14"/>
        <v>69.599999999999994</v>
      </c>
      <c r="AK52" s="264"/>
      <c r="AL52" s="264"/>
      <c r="AM52" s="265"/>
      <c r="AN52" s="222"/>
    </row>
    <row r="53" spans="1:40" ht="16.5" customHeight="1" x14ac:dyDescent="0.25">
      <c r="A53" s="257">
        <v>319300</v>
      </c>
      <c r="B53" s="258" t="s">
        <v>35</v>
      </c>
      <c r="C53" s="259" t="s">
        <v>536</v>
      </c>
      <c r="D53" s="459"/>
      <c r="E53" s="290">
        <v>4</v>
      </c>
      <c r="F53" s="262" cm="1">
        <f t="array" ref="F53">SUMPRODUCT((1*($G$9:$AM$9="x")),G53:AM53)</f>
        <v>136.4</v>
      </c>
      <c r="G53" s="291">
        <f t="shared" si="11"/>
        <v>37.200000000000003</v>
      </c>
      <c r="H53" s="292">
        <f t="shared" si="11"/>
        <v>46.8</v>
      </c>
      <c r="I53" s="292">
        <f t="shared" si="11"/>
        <v>43.6</v>
      </c>
      <c r="J53" s="292">
        <f t="shared" si="11"/>
        <v>42.8</v>
      </c>
      <c r="K53" s="293">
        <f t="shared" si="11"/>
        <v>49.2</v>
      </c>
      <c r="L53" s="291">
        <f t="shared" si="11"/>
        <v>96</v>
      </c>
      <c r="M53" s="292">
        <f t="shared" si="11"/>
        <v>51.2</v>
      </c>
      <c r="N53" s="292">
        <f t="shared" si="11"/>
        <v>48.4</v>
      </c>
      <c r="O53" s="294">
        <f t="shared" si="11"/>
        <v>32</v>
      </c>
      <c r="P53" s="292">
        <f t="shared" si="11"/>
        <v>30.8</v>
      </c>
      <c r="Q53" s="295">
        <f t="shared" si="11"/>
        <v>55.2</v>
      </c>
      <c r="S53" s="296">
        <f t="shared" si="7"/>
        <v>22.8</v>
      </c>
      <c r="T53" s="297">
        <f t="shared" si="8"/>
        <v>22.8</v>
      </c>
      <c r="U53" s="298">
        <f t="shared" si="9"/>
        <v>33.6</v>
      </c>
      <c r="V53" s="222"/>
      <c r="W53" s="291">
        <f t="shared" ref="W53:Z59" si="17">W$11*$E53</f>
        <v>48</v>
      </c>
      <c r="X53" s="292">
        <f t="shared" si="17"/>
        <v>51.2</v>
      </c>
      <c r="Y53" s="292">
        <f t="shared" si="15"/>
        <v>51.2</v>
      </c>
      <c r="Z53" s="292">
        <f t="shared" si="15"/>
        <v>47.2</v>
      </c>
      <c r="AA53" s="264"/>
      <c r="AB53" s="264"/>
      <c r="AC53" s="293">
        <f t="shared" si="16"/>
        <v>51.2</v>
      </c>
      <c r="AD53" s="222"/>
      <c r="AE53" s="291">
        <f t="shared" ref="AE53:AJ59" si="18">AE$11*$E53</f>
        <v>66.8</v>
      </c>
      <c r="AF53" s="292">
        <f t="shared" si="14"/>
        <v>64.400000000000006</v>
      </c>
      <c r="AG53" s="292">
        <f t="shared" si="14"/>
        <v>60.8</v>
      </c>
      <c r="AH53" s="292">
        <f t="shared" si="14"/>
        <v>60.4</v>
      </c>
      <c r="AI53" s="292">
        <f t="shared" si="14"/>
        <v>60.8</v>
      </c>
      <c r="AJ53" s="292">
        <f t="shared" si="14"/>
        <v>69.599999999999994</v>
      </c>
      <c r="AK53" s="264"/>
      <c r="AL53" s="264"/>
      <c r="AM53" s="265"/>
      <c r="AN53" s="222"/>
    </row>
    <row r="54" spans="1:40" ht="16.5" customHeight="1" x14ac:dyDescent="0.25">
      <c r="A54" s="257">
        <v>329300</v>
      </c>
      <c r="B54" s="258" t="s">
        <v>37</v>
      </c>
      <c r="C54" s="259" t="s">
        <v>528</v>
      </c>
      <c r="D54" s="459"/>
      <c r="E54" s="290">
        <v>4</v>
      </c>
      <c r="F54" s="262" cm="1">
        <f t="array" ref="F54">SUMPRODUCT((1*($G$9:$AM$9="x")),G54:AM54)</f>
        <v>136.4</v>
      </c>
      <c r="G54" s="291">
        <f t="shared" ref="G54:Q59" si="19">$E54*G$11</f>
        <v>37.200000000000003</v>
      </c>
      <c r="H54" s="292">
        <f t="shared" si="19"/>
        <v>46.8</v>
      </c>
      <c r="I54" s="292">
        <f t="shared" si="19"/>
        <v>43.6</v>
      </c>
      <c r="J54" s="292">
        <f t="shared" si="19"/>
        <v>42.8</v>
      </c>
      <c r="K54" s="293">
        <f t="shared" si="19"/>
        <v>49.2</v>
      </c>
      <c r="L54" s="291">
        <f t="shared" si="19"/>
        <v>96</v>
      </c>
      <c r="M54" s="292">
        <f t="shared" si="19"/>
        <v>51.2</v>
      </c>
      <c r="N54" s="292">
        <f t="shared" si="19"/>
        <v>48.4</v>
      </c>
      <c r="O54" s="294">
        <f t="shared" si="19"/>
        <v>32</v>
      </c>
      <c r="P54" s="292">
        <f t="shared" si="19"/>
        <v>30.8</v>
      </c>
      <c r="Q54" s="295">
        <f t="shared" si="19"/>
        <v>55.2</v>
      </c>
      <c r="S54" s="296">
        <f t="shared" si="7"/>
        <v>22.8</v>
      </c>
      <c r="T54" s="297">
        <f t="shared" si="8"/>
        <v>22.8</v>
      </c>
      <c r="U54" s="298">
        <f t="shared" si="9"/>
        <v>33.6</v>
      </c>
      <c r="V54" s="222"/>
      <c r="W54" s="291">
        <f t="shared" si="17"/>
        <v>48</v>
      </c>
      <c r="X54" s="292">
        <f t="shared" si="17"/>
        <v>51.2</v>
      </c>
      <c r="Y54" s="292">
        <f t="shared" si="15"/>
        <v>51.2</v>
      </c>
      <c r="Z54" s="292">
        <f t="shared" si="15"/>
        <v>47.2</v>
      </c>
      <c r="AA54" s="264"/>
      <c r="AB54" s="264"/>
      <c r="AC54" s="293">
        <f t="shared" si="16"/>
        <v>51.2</v>
      </c>
      <c r="AD54" s="222"/>
      <c r="AE54" s="291">
        <f t="shared" si="18"/>
        <v>66.8</v>
      </c>
      <c r="AF54" s="292">
        <f t="shared" si="18"/>
        <v>64.400000000000006</v>
      </c>
      <c r="AG54" s="292">
        <f t="shared" si="18"/>
        <v>60.8</v>
      </c>
      <c r="AH54" s="292">
        <f t="shared" si="18"/>
        <v>60.4</v>
      </c>
      <c r="AI54" s="292">
        <f t="shared" si="18"/>
        <v>60.8</v>
      </c>
      <c r="AJ54" s="292">
        <f t="shared" si="18"/>
        <v>69.599999999999994</v>
      </c>
      <c r="AK54" s="264"/>
      <c r="AL54" s="264"/>
      <c r="AM54" s="265"/>
      <c r="AN54" s="222"/>
    </row>
    <row r="55" spans="1:40" ht="16.5" customHeight="1" x14ac:dyDescent="0.25">
      <c r="A55" s="257">
        <v>339300</v>
      </c>
      <c r="B55" s="258" t="s">
        <v>38</v>
      </c>
      <c r="C55" s="259" t="s">
        <v>538</v>
      </c>
      <c r="D55" s="459"/>
      <c r="E55" s="290">
        <v>4</v>
      </c>
      <c r="F55" s="262" cm="1">
        <f t="array" ref="F55">SUMPRODUCT((1*($G$9:$AM$9="x")),G55:AM55)</f>
        <v>136.4</v>
      </c>
      <c r="G55" s="291">
        <f t="shared" si="19"/>
        <v>37.200000000000003</v>
      </c>
      <c r="H55" s="292">
        <f t="shared" si="19"/>
        <v>46.8</v>
      </c>
      <c r="I55" s="292">
        <f t="shared" si="19"/>
        <v>43.6</v>
      </c>
      <c r="J55" s="292">
        <f t="shared" si="19"/>
        <v>42.8</v>
      </c>
      <c r="K55" s="293">
        <f t="shared" si="19"/>
        <v>49.2</v>
      </c>
      <c r="L55" s="291">
        <f t="shared" si="19"/>
        <v>96</v>
      </c>
      <c r="M55" s="292">
        <f t="shared" si="19"/>
        <v>51.2</v>
      </c>
      <c r="N55" s="292">
        <f t="shared" si="19"/>
        <v>48.4</v>
      </c>
      <c r="O55" s="294">
        <f t="shared" si="19"/>
        <v>32</v>
      </c>
      <c r="P55" s="292">
        <f t="shared" si="19"/>
        <v>30.8</v>
      </c>
      <c r="Q55" s="295">
        <f t="shared" si="19"/>
        <v>55.2</v>
      </c>
      <c r="S55" s="296">
        <f t="shared" si="7"/>
        <v>22.8</v>
      </c>
      <c r="T55" s="297">
        <f t="shared" si="8"/>
        <v>22.8</v>
      </c>
      <c r="U55" s="298">
        <f t="shared" si="9"/>
        <v>33.6</v>
      </c>
      <c r="V55" s="222"/>
      <c r="W55" s="291">
        <f t="shared" si="17"/>
        <v>48</v>
      </c>
      <c r="X55" s="292">
        <f t="shared" si="17"/>
        <v>51.2</v>
      </c>
      <c r="Y55" s="292">
        <f t="shared" si="15"/>
        <v>51.2</v>
      </c>
      <c r="Z55" s="292">
        <f t="shared" si="15"/>
        <v>47.2</v>
      </c>
      <c r="AA55" s="264"/>
      <c r="AB55" s="264"/>
      <c r="AC55" s="293">
        <f t="shared" si="16"/>
        <v>51.2</v>
      </c>
      <c r="AD55" s="222"/>
      <c r="AE55" s="291">
        <f t="shared" si="18"/>
        <v>66.8</v>
      </c>
      <c r="AF55" s="292">
        <f t="shared" si="18"/>
        <v>64.400000000000006</v>
      </c>
      <c r="AG55" s="292">
        <f t="shared" si="18"/>
        <v>60.8</v>
      </c>
      <c r="AH55" s="292">
        <f t="shared" si="18"/>
        <v>60.4</v>
      </c>
      <c r="AI55" s="292">
        <f t="shared" si="18"/>
        <v>60.8</v>
      </c>
      <c r="AJ55" s="292">
        <f t="shared" si="18"/>
        <v>69.599999999999994</v>
      </c>
      <c r="AK55" s="264"/>
      <c r="AL55" s="264"/>
      <c r="AM55" s="265"/>
      <c r="AN55" s="222"/>
    </row>
    <row r="56" spans="1:40" ht="16.5" customHeight="1" x14ac:dyDescent="0.25">
      <c r="A56" s="257">
        <v>319660</v>
      </c>
      <c r="B56" s="258" t="s">
        <v>411</v>
      </c>
      <c r="C56" s="259" t="s">
        <v>536</v>
      </c>
      <c r="D56" s="459"/>
      <c r="E56" s="290">
        <v>4</v>
      </c>
      <c r="F56" s="262" cm="1">
        <f t="array" ref="F56">SUMPRODUCT((1*($G$9:$AM$9="x")),G56:AM56)</f>
        <v>136.4</v>
      </c>
      <c r="G56" s="291">
        <f t="shared" si="19"/>
        <v>37.200000000000003</v>
      </c>
      <c r="H56" s="292">
        <f t="shared" si="19"/>
        <v>46.8</v>
      </c>
      <c r="I56" s="292">
        <f t="shared" si="19"/>
        <v>43.6</v>
      </c>
      <c r="J56" s="292">
        <f t="shared" si="19"/>
        <v>42.8</v>
      </c>
      <c r="K56" s="293">
        <f t="shared" si="19"/>
        <v>49.2</v>
      </c>
      <c r="L56" s="291">
        <f t="shared" si="19"/>
        <v>96</v>
      </c>
      <c r="M56" s="292">
        <f t="shared" si="19"/>
        <v>51.2</v>
      </c>
      <c r="N56" s="292">
        <f t="shared" si="19"/>
        <v>48.4</v>
      </c>
      <c r="O56" s="294">
        <f t="shared" si="19"/>
        <v>32</v>
      </c>
      <c r="P56" s="292">
        <f t="shared" si="19"/>
        <v>30.8</v>
      </c>
      <c r="Q56" s="295">
        <f t="shared" si="19"/>
        <v>55.2</v>
      </c>
      <c r="S56" s="296">
        <f t="shared" si="7"/>
        <v>22.8</v>
      </c>
      <c r="T56" s="297">
        <f t="shared" si="8"/>
        <v>22.8</v>
      </c>
      <c r="U56" s="298">
        <f t="shared" si="9"/>
        <v>33.6</v>
      </c>
      <c r="V56" s="222"/>
      <c r="W56" s="291">
        <f t="shared" si="17"/>
        <v>48</v>
      </c>
      <c r="X56" s="292">
        <f t="shared" si="17"/>
        <v>51.2</v>
      </c>
      <c r="Y56" s="292">
        <f t="shared" si="15"/>
        <v>51.2</v>
      </c>
      <c r="Z56" s="292">
        <f t="shared" si="15"/>
        <v>47.2</v>
      </c>
      <c r="AA56" s="264"/>
      <c r="AB56" s="264"/>
      <c r="AC56" s="293">
        <f t="shared" si="16"/>
        <v>51.2</v>
      </c>
      <c r="AD56" s="222"/>
      <c r="AE56" s="291">
        <f t="shared" si="18"/>
        <v>66.8</v>
      </c>
      <c r="AF56" s="292">
        <f t="shared" si="18"/>
        <v>64.400000000000006</v>
      </c>
      <c r="AG56" s="292">
        <f t="shared" si="18"/>
        <v>60.8</v>
      </c>
      <c r="AH56" s="292">
        <f t="shared" si="18"/>
        <v>60.4</v>
      </c>
      <c r="AI56" s="292">
        <f t="shared" si="18"/>
        <v>60.8</v>
      </c>
      <c r="AJ56" s="292">
        <f t="shared" si="18"/>
        <v>69.599999999999994</v>
      </c>
      <c r="AK56" s="264"/>
      <c r="AL56" s="264"/>
      <c r="AM56" s="265"/>
      <c r="AN56" s="222"/>
    </row>
    <row r="57" spans="1:40" ht="16.5" customHeight="1" x14ac:dyDescent="0.25">
      <c r="A57" s="257">
        <v>329660</v>
      </c>
      <c r="B57" s="258" t="s">
        <v>412</v>
      </c>
      <c r="C57" s="259" t="s">
        <v>528</v>
      </c>
      <c r="D57" s="459"/>
      <c r="E57" s="290">
        <v>4</v>
      </c>
      <c r="F57" s="262" cm="1">
        <f t="array" ref="F57">SUMPRODUCT((1*($G$9:$AM$9="x")),G57:AM57)</f>
        <v>136.4</v>
      </c>
      <c r="G57" s="291">
        <f t="shared" si="19"/>
        <v>37.200000000000003</v>
      </c>
      <c r="H57" s="292">
        <f t="shared" si="19"/>
        <v>46.8</v>
      </c>
      <c r="I57" s="292">
        <f t="shared" si="19"/>
        <v>43.6</v>
      </c>
      <c r="J57" s="292">
        <f t="shared" si="19"/>
        <v>42.8</v>
      </c>
      <c r="K57" s="293">
        <f t="shared" si="19"/>
        <v>49.2</v>
      </c>
      <c r="L57" s="291">
        <f t="shared" si="19"/>
        <v>96</v>
      </c>
      <c r="M57" s="292">
        <f t="shared" si="19"/>
        <v>51.2</v>
      </c>
      <c r="N57" s="292">
        <f t="shared" si="19"/>
        <v>48.4</v>
      </c>
      <c r="O57" s="294">
        <f t="shared" si="19"/>
        <v>32</v>
      </c>
      <c r="P57" s="292">
        <f t="shared" si="19"/>
        <v>30.8</v>
      </c>
      <c r="Q57" s="295">
        <f t="shared" si="19"/>
        <v>55.2</v>
      </c>
      <c r="S57" s="296">
        <f t="shared" si="7"/>
        <v>22.8</v>
      </c>
      <c r="T57" s="297">
        <f t="shared" si="8"/>
        <v>22.8</v>
      </c>
      <c r="U57" s="298">
        <f t="shared" si="9"/>
        <v>33.6</v>
      </c>
      <c r="V57" s="222"/>
      <c r="W57" s="291">
        <f t="shared" si="17"/>
        <v>48</v>
      </c>
      <c r="X57" s="292">
        <f t="shared" si="17"/>
        <v>51.2</v>
      </c>
      <c r="Y57" s="292">
        <f t="shared" si="15"/>
        <v>51.2</v>
      </c>
      <c r="Z57" s="292">
        <f t="shared" si="15"/>
        <v>47.2</v>
      </c>
      <c r="AA57" s="264"/>
      <c r="AB57" s="264"/>
      <c r="AC57" s="293">
        <f t="shared" si="16"/>
        <v>51.2</v>
      </c>
      <c r="AD57" s="222"/>
      <c r="AE57" s="291">
        <f t="shared" si="18"/>
        <v>66.8</v>
      </c>
      <c r="AF57" s="292">
        <f t="shared" si="18"/>
        <v>64.400000000000006</v>
      </c>
      <c r="AG57" s="292">
        <f t="shared" si="18"/>
        <v>60.8</v>
      </c>
      <c r="AH57" s="292">
        <f t="shared" si="18"/>
        <v>60.4</v>
      </c>
      <c r="AI57" s="292">
        <f t="shared" si="18"/>
        <v>60.8</v>
      </c>
      <c r="AJ57" s="292">
        <f t="shared" si="18"/>
        <v>69.599999999999994</v>
      </c>
      <c r="AK57" s="264"/>
      <c r="AL57" s="264"/>
      <c r="AM57" s="265"/>
      <c r="AN57" s="222"/>
    </row>
    <row r="58" spans="1:40" ht="16.5" customHeight="1" x14ac:dyDescent="0.25">
      <c r="A58" s="257">
        <v>339660</v>
      </c>
      <c r="B58" s="258" t="s">
        <v>413</v>
      </c>
      <c r="C58" s="259" t="s">
        <v>538</v>
      </c>
      <c r="D58" s="459"/>
      <c r="E58" s="290">
        <v>4</v>
      </c>
      <c r="F58" s="262" cm="1">
        <f t="array" ref="F58">SUMPRODUCT((1*($G$9:$AM$9="x")),G58:AM58)</f>
        <v>136.4</v>
      </c>
      <c r="G58" s="291">
        <f t="shared" si="19"/>
        <v>37.200000000000003</v>
      </c>
      <c r="H58" s="292">
        <f t="shared" si="19"/>
        <v>46.8</v>
      </c>
      <c r="I58" s="292">
        <f t="shared" si="19"/>
        <v>43.6</v>
      </c>
      <c r="J58" s="292">
        <f t="shared" si="19"/>
        <v>42.8</v>
      </c>
      <c r="K58" s="293">
        <f t="shared" si="19"/>
        <v>49.2</v>
      </c>
      <c r="L58" s="291">
        <f t="shared" si="19"/>
        <v>96</v>
      </c>
      <c r="M58" s="292">
        <f t="shared" si="19"/>
        <v>51.2</v>
      </c>
      <c r="N58" s="292">
        <f t="shared" si="19"/>
        <v>48.4</v>
      </c>
      <c r="O58" s="294">
        <f t="shared" si="19"/>
        <v>32</v>
      </c>
      <c r="P58" s="292">
        <f t="shared" si="19"/>
        <v>30.8</v>
      </c>
      <c r="Q58" s="295">
        <f t="shared" si="19"/>
        <v>55.2</v>
      </c>
      <c r="S58" s="296">
        <f t="shared" si="7"/>
        <v>22.8</v>
      </c>
      <c r="T58" s="297">
        <f t="shared" si="8"/>
        <v>22.8</v>
      </c>
      <c r="U58" s="298">
        <f t="shared" si="9"/>
        <v>33.6</v>
      </c>
      <c r="V58" s="222"/>
      <c r="W58" s="291">
        <f t="shared" si="17"/>
        <v>48</v>
      </c>
      <c r="X58" s="292">
        <f t="shared" si="17"/>
        <v>51.2</v>
      </c>
      <c r="Y58" s="292">
        <f t="shared" si="17"/>
        <v>51.2</v>
      </c>
      <c r="Z58" s="292">
        <f t="shared" si="17"/>
        <v>47.2</v>
      </c>
      <c r="AA58" s="264"/>
      <c r="AB58" s="264"/>
      <c r="AC58" s="293">
        <f t="shared" si="16"/>
        <v>51.2</v>
      </c>
      <c r="AD58" s="222"/>
      <c r="AE58" s="291">
        <f t="shared" si="18"/>
        <v>66.8</v>
      </c>
      <c r="AF58" s="292">
        <f t="shared" si="18"/>
        <v>64.400000000000006</v>
      </c>
      <c r="AG58" s="292">
        <f t="shared" si="18"/>
        <v>60.8</v>
      </c>
      <c r="AH58" s="292">
        <f t="shared" si="18"/>
        <v>60.4</v>
      </c>
      <c r="AI58" s="292">
        <f t="shared" si="18"/>
        <v>60.8</v>
      </c>
      <c r="AJ58" s="292">
        <f t="shared" si="18"/>
        <v>69.599999999999994</v>
      </c>
      <c r="AK58" s="264"/>
      <c r="AL58" s="264"/>
      <c r="AM58" s="265"/>
      <c r="AN58" s="222"/>
    </row>
    <row r="59" spans="1:40" s="220" customFormat="1" ht="60" x14ac:dyDescent="0.25">
      <c r="A59" s="257">
        <v>306010</v>
      </c>
      <c r="B59" s="258" t="s">
        <v>43</v>
      </c>
      <c r="C59" s="259" t="s">
        <v>528</v>
      </c>
      <c r="D59" s="287" t="str">
        <f>D52</f>
        <v>Cavalo mecânico com semirreboque - 22 t</v>
      </c>
      <c r="E59" s="288">
        <v>4</v>
      </c>
      <c r="F59" s="262" cm="1">
        <f t="array" ref="F59">SUMPRODUCT((1*($G$9:$AM$9="x")),G59:AM59)</f>
        <v>136.4</v>
      </c>
      <c r="G59" s="263">
        <f t="shared" si="19"/>
        <v>37.200000000000003</v>
      </c>
      <c r="H59" s="264">
        <f t="shared" si="19"/>
        <v>46.8</v>
      </c>
      <c r="I59" s="264">
        <f t="shared" si="19"/>
        <v>43.6</v>
      </c>
      <c r="J59" s="264">
        <f t="shared" si="19"/>
        <v>42.8</v>
      </c>
      <c r="K59" s="265">
        <f t="shared" si="19"/>
        <v>49.2</v>
      </c>
      <c r="L59" s="263">
        <f t="shared" si="19"/>
        <v>96</v>
      </c>
      <c r="M59" s="264">
        <f t="shared" si="19"/>
        <v>51.2</v>
      </c>
      <c r="N59" s="264">
        <f t="shared" si="19"/>
        <v>48.4</v>
      </c>
      <c r="O59" s="285">
        <f t="shared" si="19"/>
        <v>32</v>
      </c>
      <c r="P59" s="264">
        <f t="shared" si="19"/>
        <v>30.8</v>
      </c>
      <c r="Q59" s="286">
        <f t="shared" si="19"/>
        <v>55.2</v>
      </c>
      <c r="R59" s="222"/>
      <c r="S59" s="263">
        <f>$E59*$S$11</f>
        <v>22.8</v>
      </c>
      <c r="T59" s="265">
        <f>E59*$T$11</f>
        <v>22.8</v>
      </c>
      <c r="U59" s="266">
        <f>E59*$U$11</f>
        <v>33.6</v>
      </c>
      <c r="V59" s="222"/>
      <c r="W59" s="263">
        <f>W$11*$E59</f>
        <v>48</v>
      </c>
      <c r="X59" s="264">
        <f t="shared" si="17"/>
        <v>51.2</v>
      </c>
      <c r="Y59" s="264">
        <f t="shared" si="17"/>
        <v>51.2</v>
      </c>
      <c r="Z59" s="264">
        <f t="shared" si="17"/>
        <v>47.2</v>
      </c>
      <c r="AA59" s="264"/>
      <c r="AB59" s="264"/>
      <c r="AC59" s="265">
        <f>AC$11*$E59</f>
        <v>51.2</v>
      </c>
      <c r="AD59" s="222"/>
      <c r="AE59" s="263">
        <f t="shared" si="18"/>
        <v>66.8</v>
      </c>
      <c r="AF59" s="264">
        <f t="shared" si="18"/>
        <v>64.400000000000006</v>
      </c>
      <c r="AG59" s="264">
        <f t="shared" si="18"/>
        <v>60.8</v>
      </c>
      <c r="AH59" s="264">
        <f t="shared" si="18"/>
        <v>60.4</v>
      </c>
      <c r="AI59" s="264">
        <f t="shared" si="18"/>
        <v>60.8</v>
      </c>
      <c r="AJ59" s="264">
        <f t="shared" si="18"/>
        <v>69.599999999999994</v>
      </c>
      <c r="AK59" s="264"/>
      <c r="AL59" s="264"/>
      <c r="AM59" s="265"/>
      <c r="AN59" s="222"/>
    </row>
    <row r="60" spans="1:40" ht="16.5" customHeight="1" x14ac:dyDescent="0.25">
      <c r="A60" s="257">
        <v>301800</v>
      </c>
      <c r="B60" s="258" t="s">
        <v>196</v>
      </c>
      <c r="C60" s="259" t="s">
        <v>528</v>
      </c>
      <c r="D60" s="299" t="s">
        <v>529</v>
      </c>
      <c r="E60" s="261"/>
      <c r="F60" s="262" cm="1">
        <f t="array" ref="F60">SUMPRODUCT((1*($G$9:$AM$9="x")),G60:AM60)</f>
        <v>0</v>
      </c>
      <c r="G60" s="263"/>
      <c r="H60" s="264"/>
      <c r="I60" s="264"/>
      <c r="J60" s="264"/>
      <c r="K60" s="265"/>
      <c r="L60" s="263"/>
      <c r="M60" s="264"/>
      <c r="N60" s="264"/>
      <c r="O60" s="285"/>
      <c r="P60" s="264"/>
      <c r="Q60" s="286"/>
      <c r="S60" s="263"/>
      <c r="T60" s="265"/>
      <c r="U60" s="266"/>
      <c r="V60" s="222"/>
      <c r="W60" s="263"/>
      <c r="X60" s="264"/>
      <c r="Y60" s="264"/>
      <c r="Z60" s="264"/>
      <c r="AA60" s="264"/>
      <c r="AB60" s="264"/>
      <c r="AC60" s="265"/>
      <c r="AD60" s="222"/>
      <c r="AE60" s="263"/>
      <c r="AF60" s="264"/>
      <c r="AG60" s="264"/>
      <c r="AH60" s="264"/>
      <c r="AI60" s="264"/>
      <c r="AJ60" s="264"/>
      <c r="AK60" s="264"/>
      <c r="AL60" s="264"/>
      <c r="AM60" s="265"/>
      <c r="AN60" s="222"/>
    </row>
    <row r="61" spans="1:40" ht="51" customHeight="1" x14ac:dyDescent="0.25">
      <c r="A61" s="268">
        <v>310030</v>
      </c>
      <c r="B61" s="269" t="s">
        <v>44</v>
      </c>
      <c r="C61" s="270" t="s">
        <v>528</v>
      </c>
      <c r="D61" s="458" t="str">
        <f>D52</f>
        <v>Cavalo mecânico com semirreboque - 22 t</v>
      </c>
      <c r="E61" s="288">
        <v>4</v>
      </c>
      <c r="F61" s="262" cm="1">
        <f t="array" ref="F61">SUMPRODUCT((1*($G$9:$AM$9="x")),G61:AM61)</f>
        <v>136.4</v>
      </c>
      <c r="G61" s="300">
        <f>$E61*G$11</f>
        <v>37.200000000000003</v>
      </c>
      <c r="H61" s="301">
        <f>E61*$H$11</f>
        <v>46.8</v>
      </c>
      <c r="I61" s="301">
        <f>E61*$I$11</f>
        <v>43.6</v>
      </c>
      <c r="J61" s="301">
        <f>E61*$J$11</f>
        <v>42.8</v>
      </c>
      <c r="K61" s="302">
        <f>E61*$K$11</f>
        <v>49.2</v>
      </c>
      <c r="L61" s="303">
        <f t="shared" ref="L61:Q62" si="20">$E61*L$11</f>
        <v>96</v>
      </c>
      <c r="M61" s="304">
        <f t="shared" si="20"/>
        <v>51.2</v>
      </c>
      <c r="N61" s="304">
        <f t="shared" si="20"/>
        <v>48.4</v>
      </c>
      <c r="O61" s="305">
        <f t="shared" si="20"/>
        <v>32</v>
      </c>
      <c r="P61" s="304">
        <f t="shared" si="20"/>
        <v>30.8</v>
      </c>
      <c r="Q61" s="306">
        <f t="shared" si="20"/>
        <v>55.2</v>
      </c>
      <c r="S61" s="300">
        <f>$E61*$S$11</f>
        <v>22.8</v>
      </c>
      <c r="T61" s="302">
        <f>E61*$T$11</f>
        <v>22.8</v>
      </c>
      <c r="U61" s="307">
        <f>E61*$U$11</f>
        <v>33.6</v>
      </c>
      <c r="V61" s="222"/>
      <c r="W61" s="308">
        <f>W$11*$E61</f>
        <v>48</v>
      </c>
      <c r="X61" s="309">
        <f t="shared" ref="X61:Z62" si="21">X$11*$E61</f>
        <v>51.2</v>
      </c>
      <c r="Y61" s="309">
        <f t="shared" si="21"/>
        <v>51.2</v>
      </c>
      <c r="Z61" s="309">
        <f t="shared" si="21"/>
        <v>47.2</v>
      </c>
      <c r="AA61" s="264"/>
      <c r="AB61" s="264"/>
      <c r="AC61" s="310">
        <f>AC$11*$E61</f>
        <v>51.2</v>
      </c>
      <c r="AD61" s="222"/>
      <c r="AE61" s="308">
        <f t="shared" ref="AE61:AI62" si="22">AE$11*$E61</f>
        <v>66.8</v>
      </c>
      <c r="AF61" s="309">
        <f t="shared" si="22"/>
        <v>64.400000000000006</v>
      </c>
      <c r="AG61" s="309">
        <f t="shared" si="22"/>
        <v>60.8</v>
      </c>
      <c r="AH61" s="309">
        <f t="shared" si="22"/>
        <v>60.4</v>
      </c>
      <c r="AI61" s="309">
        <f t="shared" si="22"/>
        <v>60.8</v>
      </c>
      <c r="AJ61" s="309">
        <f>AJ$11*$E61</f>
        <v>69.599999999999994</v>
      </c>
      <c r="AK61" s="264"/>
      <c r="AL61" s="264"/>
      <c r="AM61" s="265"/>
      <c r="AN61" s="222"/>
    </row>
    <row r="62" spans="1:40" ht="37.5" customHeight="1" x14ac:dyDescent="0.25">
      <c r="A62" s="268">
        <v>300125</v>
      </c>
      <c r="B62" s="269" t="s">
        <v>391</v>
      </c>
      <c r="C62" s="270" t="s">
        <v>528</v>
      </c>
      <c r="D62" s="458"/>
      <c r="E62" s="288">
        <v>4</v>
      </c>
      <c r="F62" s="262" cm="1">
        <f t="array" ref="F62">SUMPRODUCT((1*($G$9:$AM$9="x")),G62:AM62)</f>
        <v>136.4</v>
      </c>
      <c r="G62" s="300">
        <f>$E62*G$11</f>
        <v>37.200000000000003</v>
      </c>
      <c r="H62" s="301">
        <f>E62*$H$11</f>
        <v>46.8</v>
      </c>
      <c r="I62" s="301">
        <f>E62*$I$11</f>
        <v>43.6</v>
      </c>
      <c r="J62" s="301">
        <f>E62*$J$11</f>
        <v>42.8</v>
      </c>
      <c r="K62" s="302">
        <f>E62*$K$11</f>
        <v>49.2</v>
      </c>
      <c r="L62" s="303">
        <f t="shared" si="20"/>
        <v>96</v>
      </c>
      <c r="M62" s="304">
        <f t="shared" si="20"/>
        <v>51.2</v>
      </c>
      <c r="N62" s="304">
        <f t="shared" si="20"/>
        <v>48.4</v>
      </c>
      <c r="O62" s="305">
        <f t="shared" si="20"/>
        <v>32</v>
      </c>
      <c r="P62" s="304">
        <f t="shared" si="20"/>
        <v>30.8</v>
      </c>
      <c r="Q62" s="306">
        <f t="shared" si="20"/>
        <v>55.2</v>
      </c>
      <c r="S62" s="300">
        <f>$E62*$S$11</f>
        <v>22.8</v>
      </c>
      <c r="T62" s="302">
        <f>E62*$T$11</f>
        <v>22.8</v>
      </c>
      <c r="U62" s="307">
        <f>E62*$U$11</f>
        <v>33.6</v>
      </c>
      <c r="V62" s="222"/>
      <c r="W62" s="308">
        <f>W$11*$E62</f>
        <v>48</v>
      </c>
      <c r="X62" s="309">
        <f t="shared" si="21"/>
        <v>51.2</v>
      </c>
      <c r="Y62" s="309">
        <f t="shared" si="21"/>
        <v>51.2</v>
      </c>
      <c r="Z62" s="309">
        <f t="shared" si="21"/>
        <v>47.2</v>
      </c>
      <c r="AA62" s="264"/>
      <c r="AB62" s="264"/>
      <c r="AC62" s="310">
        <f>AC$11*$E62</f>
        <v>51.2</v>
      </c>
      <c r="AD62" s="222"/>
      <c r="AE62" s="308">
        <f t="shared" si="22"/>
        <v>66.8</v>
      </c>
      <c r="AF62" s="309">
        <f t="shared" si="22"/>
        <v>64.400000000000006</v>
      </c>
      <c r="AG62" s="309">
        <f t="shared" si="22"/>
        <v>60.8</v>
      </c>
      <c r="AH62" s="309">
        <f t="shared" si="22"/>
        <v>60.4</v>
      </c>
      <c r="AI62" s="309">
        <f t="shared" si="22"/>
        <v>60.8</v>
      </c>
      <c r="AJ62" s="309">
        <f>AJ$11*$E62</f>
        <v>69.599999999999994</v>
      </c>
      <c r="AK62" s="264"/>
      <c r="AL62" s="264"/>
      <c r="AM62" s="265"/>
      <c r="AN62" s="222"/>
    </row>
    <row r="63" spans="1:40" ht="16.5" customHeight="1" x14ac:dyDescent="0.25">
      <c r="A63" s="257">
        <v>340200</v>
      </c>
      <c r="B63" s="258" t="s">
        <v>197</v>
      </c>
      <c r="C63" s="259" t="s">
        <v>528</v>
      </c>
      <c r="D63" s="299" t="s">
        <v>529</v>
      </c>
      <c r="E63" s="261"/>
      <c r="F63" s="262" cm="1">
        <f t="array" ref="F63">SUMPRODUCT((1*($G$9:$AM$9="x")),G63:AM63)</f>
        <v>0</v>
      </c>
      <c r="G63" s="263"/>
      <c r="H63" s="264"/>
      <c r="I63" s="264"/>
      <c r="J63" s="264"/>
      <c r="K63" s="265"/>
      <c r="L63" s="263"/>
      <c r="M63" s="264"/>
      <c r="N63" s="264"/>
      <c r="O63" s="285"/>
      <c r="P63" s="264"/>
      <c r="Q63" s="286"/>
      <c r="S63" s="263"/>
      <c r="T63" s="265"/>
      <c r="U63" s="266"/>
      <c r="V63" s="222"/>
      <c r="W63" s="263"/>
      <c r="X63" s="264"/>
      <c r="Y63" s="264"/>
      <c r="Z63" s="264"/>
      <c r="AA63" s="264"/>
      <c r="AB63" s="264"/>
      <c r="AC63" s="265"/>
      <c r="AD63" s="222"/>
      <c r="AE63" s="263"/>
      <c r="AF63" s="264"/>
      <c r="AG63" s="264"/>
      <c r="AH63" s="264"/>
      <c r="AI63" s="264"/>
      <c r="AJ63" s="311"/>
      <c r="AK63" s="264"/>
      <c r="AL63" s="264"/>
      <c r="AM63" s="265"/>
      <c r="AN63" s="222"/>
    </row>
    <row r="64" spans="1:40" ht="16.5" customHeight="1" x14ac:dyDescent="0.25">
      <c r="A64" s="257">
        <v>340800</v>
      </c>
      <c r="B64" s="258" t="s">
        <v>198</v>
      </c>
      <c r="C64" s="259" t="s">
        <v>528</v>
      </c>
      <c r="D64" s="299" t="s">
        <v>529</v>
      </c>
      <c r="E64" s="261"/>
      <c r="F64" s="262" cm="1">
        <f t="array" ref="F64">SUMPRODUCT((1*($G$9:$AM$9="x")),G64:AM64)</f>
        <v>0</v>
      </c>
      <c r="G64" s="263"/>
      <c r="H64" s="264"/>
      <c r="I64" s="264"/>
      <c r="J64" s="264"/>
      <c r="K64" s="265"/>
      <c r="L64" s="263"/>
      <c r="M64" s="264"/>
      <c r="N64" s="264"/>
      <c r="O64" s="285"/>
      <c r="P64" s="264"/>
      <c r="Q64" s="286"/>
      <c r="S64" s="263"/>
      <c r="T64" s="265"/>
      <c r="U64" s="266"/>
      <c r="V64" s="222"/>
      <c r="W64" s="263"/>
      <c r="X64" s="264"/>
      <c r="Y64" s="264"/>
      <c r="Z64" s="264"/>
      <c r="AA64" s="264"/>
      <c r="AB64" s="264"/>
      <c r="AC64" s="265"/>
      <c r="AD64" s="222"/>
      <c r="AE64" s="263"/>
      <c r="AF64" s="264"/>
      <c r="AG64" s="264"/>
      <c r="AH64" s="264"/>
      <c r="AI64" s="264"/>
      <c r="AJ64" s="264"/>
      <c r="AK64" s="264"/>
      <c r="AL64" s="264"/>
      <c r="AM64" s="265"/>
      <c r="AN64" s="222"/>
    </row>
    <row r="65" spans="1:40" ht="16.5" customHeight="1" x14ac:dyDescent="0.25">
      <c r="A65" s="257">
        <v>341200</v>
      </c>
      <c r="B65" s="258" t="s">
        <v>199</v>
      </c>
      <c r="C65" s="259" t="s">
        <v>528</v>
      </c>
      <c r="D65" s="299" t="s">
        <v>529</v>
      </c>
      <c r="E65" s="261"/>
      <c r="F65" s="262" cm="1">
        <f t="array" ref="F65">SUMPRODUCT((1*($G$9:$AM$9="x")),G65:AM65)</f>
        <v>0</v>
      </c>
      <c r="G65" s="263"/>
      <c r="H65" s="264"/>
      <c r="I65" s="264"/>
      <c r="J65" s="264"/>
      <c r="K65" s="265"/>
      <c r="L65" s="263"/>
      <c r="M65" s="264"/>
      <c r="N65" s="264"/>
      <c r="O65" s="285"/>
      <c r="P65" s="264"/>
      <c r="Q65" s="286"/>
      <c r="S65" s="263"/>
      <c r="T65" s="265"/>
      <c r="U65" s="266"/>
      <c r="V65" s="222"/>
      <c r="W65" s="263"/>
      <c r="X65" s="264"/>
      <c r="Y65" s="264"/>
      <c r="Z65" s="264"/>
      <c r="AA65" s="264"/>
      <c r="AB65" s="264"/>
      <c r="AC65" s="265"/>
      <c r="AD65" s="222"/>
      <c r="AE65" s="263"/>
      <c r="AF65" s="264"/>
      <c r="AG65" s="264"/>
      <c r="AH65" s="264"/>
      <c r="AI65" s="264"/>
      <c r="AJ65" s="264"/>
      <c r="AK65" s="264"/>
      <c r="AL65" s="264"/>
      <c r="AM65" s="265"/>
      <c r="AN65" s="222"/>
    </row>
    <row r="66" spans="1:40" ht="16.5" customHeight="1" x14ac:dyDescent="0.25">
      <c r="A66" s="257">
        <v>347000</v>
      </c>
      <c r="B66" s="258" t="s">
        <v>200</v>
      </c>
      <c r="C66" s="259" t="s">
        <v>528</v>
      </c>
      <c r="D66" s="299" t="s">
        <v>529</v>
      </c>
      <c r="E66" s="261"/>
      <c r="F66" s="262" cm="1">
        <f t="array" ref="F66">SUMPRODUCT((1*($G$9:$AM$9="x")),G66:AM66)</f>
        <v>0</v>
      </c>
      <c r="G66" s="263"/>
      <c r="H66" s="264"/>
      <c r="I66" s="264"/>
      <c r="J66" s="264"/>
      <c r="K66" s="265"/>
      <c r="L66" s="263"/>
      <c r="M66" s="264"/>
      <c r="N66" s="264"/>
      <c r="O66" s="285"/>
      <c r="P66" s="264"/>
      <c r="Q66" s="286"/>
      <c r="S66" s="263"/>
      <c r="T66" s="265"/>
      <c r="U66" s="266"/>
      <c r="V66" s="222"/>
      <c r="W66" s="263"/>
      <c r="X66" s="264"/>
      <c r="Y66" s="264"/>
      <c r="Z66" s="264"/>
      <c r="AA66" s="264"/>
      <c r="AB66" s="264"/>
      <c r="AC66" s="265"/>
      <c r="AD66" s="222"/>
      <c r="AE66" s="263"/>
      <c r="AF66" s="264"/>
      <c r="AG66" s="264"/>
      <c r="AH66" s="264"/>
      <c r="AI66" s="264"/>
      <c r="AJ66" s="264"/>
      <c r="AK66" s="264"/>
      <c r="AL66" s="264"/>
      <c r="AM66" s="265"/>
      <c r="AN66" s="222"/>
    </row>
    <row r="67" spans="1:40" ht="60" x14ac:dyDescent="0.25">
      <c r="A67" s="257">
        <v>300510</v>
      </c>
      <c r="B67" s="258" t="s">
        <v>45</v>
      </c>
      <c r="C67" s="259" t="s">
        <v>528</v>
      </c>
      <c r="D67" s="287" t="str">
        <f>D52</f>
        <v>Cavalo mecânico com semirreboque - 22 t</v>
      </c>
      <c r="E67" s="288">
        <v>4</v>
      </c>
      <c r="F67" s="262" cm="1">
        <f t="array" ref="F67">SUMPRODUCT((1*($G$9:$AM$9="x")),G67:AM67)</f>
        <v>136.4</v>
      </c>
      <c r="G67" s="263">
        <f t="shared" ref="G67:Q67" si="23">$E67*G$11</f>
        <v>37.200000000000003</v>
      </c>
      <c r="H67" s="264">
        <f t="shared" si="23"/>
        <v>46.8</v>
      </c>
      <c r="I67" s="264">
        <f t="shared" si="23"/>
        <v>43.6</v>
      </c>
      <c r="J67" s="264">
        <f t="shared" si="23"/>
        <v>42.8</v>
      </c>
      <c r="K67" s="265">
        <f t="shared" si="23"/>
        <v>49.2</v>
      </c>
      <c r="L67" s="263">
        <f t="shared" si="23"/>
        <v>96</v>
      </c>
      <c r="M67" s="264">
        <f t="shared" si="23"/>
        <v>51.2</v>
      </c>
      <c r="N67" s="264">
        <f t="shared" si="23"/>
        <v>48.4</v>
      </c>
      <c r="O67" s="285">
        <f t="shared" si="23"/>
        <v>32</v>
      </c>
      <c r="P67" s="264">
        <f t="shared" si="23"/>
        <v>30.8</v>
      </c>
      <c r="Q67" s="286">
        <f t="shared" si="23"/>
        <v>55.2</v>
      </c>
      <c r="S67" s="263">
        <f>$E67*$S$11</f>
        <v>22.8</v>
      </c>
      <c r="T67" s="265">
        <f>E67*$T$11</f>
        <v>22.8</v>
      </c>
      <c r="U67" s="266">
        <f>E67*$U$11</f>
        <v>33.6</v>
      </c>
      <c r="V67" s="222"/>
      <c r="W67" s="263">
        <f>W$11*$E67</f>
        <v>48</v>
      </c>
      <c r="X67" s="264">
        <f>X$11*$E67</f>
        <v>51.2</v>
      </c>
      <c r="Y67" s="264">
        <f>Y$11*$E67</f>
        <v>51.2</v>
      </c>
      <c r="Z67" s="264">
        <f>Z$11*$E67</f>
        <v>47.2</v>
      </c>
      <c r="AA67" s="264"/>
      <c r="AB67" s="264"/>
      <c r="AC67" s="265">
        <f>AC$11*$E67</f>
        <v>51.2</v>
      </c>
      <c r="AD67" s="222"/>
      <c r="AE67" s="263">
        <f t="shared" ref="AE67:AJ67" si="24">AE$11*$E67</f>
        <v>66.8</v>
      </c>
      <c r="AF67" s="264">
        <f t="shared" si="24"/>
        <v>64.400000000000006</v>
      </c>
      <c r="AG67" s="264">
        <f t="shared" si="24"/>
        <v>60.8</v>
      </c>
      <c r="AH67" s="264">
        <f t="shared" si="24"/>
        <v>60.4</v>
      </c>
      <c r="AI67" s="264">
        <f t="shared" si="24"/>
        <v>60.8</v>
      </c>
      <c r="AJ67" s="264">
        <f t="shared" si="24"/>
        <v>69.599999999999994</v>
      </c>
      <c r="AK67" s="264"/>
      <c r="AL67" s="264"/>
      <c r="AM67" s="265"/>
      <c r="AN67" s="222"/>
    </row>
    <row r="68" spans="1:40" ht="16.5" customHeight="1" x14ac:dyDescent="0.25">
      <c r="A68" s="257">
        <v>300130</v>
      </c>
      <c r="B68" s="258" t="s">
        <v>414</v>
      </c>
      <c r="C68" s="259" t="s">
        <v>528</v>
      </c>
      <c r="D68" s="312" t="s">
        <v>529</v>
      </c>
      <c r="E68" s="261"/>
      <c r="F68" s="262" cm="1">
        <f t="array" ref="F68">SUMPRODUCT((1*($G$9:$AM$9="x")),G68:AM68)</f>
        <v>0</v>
      </c>
      <c r="G68" s="263"/>
      <c r="H68" s="264"/>
      <c r="I68" s="264"/>
      <c r="J68" s="264"/>
      <c r="K68" s="265"/>
      <c r="L68" s="263"/>
      <c r="M68" s="264"/>
      <c r="N68" s="264"/>
      <c r="O68" s="285"/>
      <c r="P68" s="264"/>
      <c r="Q68" s="286"/>
      <c r="S68" s="263"/>
      <c r="T68" s="265"/>
      <c r="U68" s="266"/>
      <c r="V68" s="222"/>
      <c r="W68" s="263"/>
      <c r="X68" s="264"/>
      <c r="Y68" s="264"/>
      <c r="Z68" s="264"/>
      <c r="AA68" s="264"/>
      <c r="AB68" s="264"/>
      <c r="AC68" s="265"/>
      <c r="AD68" s="222"/>
      <c r="AE68" s="263"/>
      <c r="AF68" s="264"/>
      <c r="AG68" s="264"/>
      <c r="AH68" s="264"/>
      <c r="AI68" s="264"/>
      <c r="AJ68" s="264"/>
      <c r="AK68" s="264"/>
      <c r="AL68" s="264"/>
      <c r="AM68" s="265"/>
      <c r="AN68" s="222"/>
    </row>
    <row r="69" spans="1:40" ht="16.5" customHeight="1" x14ac:dyDescent="0.25">
      <c r="A69" s="257">
        <v>340320</v>
      </c>
      <c r="B69" s="258" t="s">
        <v>156</v>
      </c>
      <c r="C69" s="259" t="s">
        <v>528</v>
      </c>
      <c r="D69" s="312" t="s">
        <v>529</v>
      </c>
      <c r="E69" s="261"/>
      <c r="F69" s="262" cm="1">
        <f t="array" ref="F69">SUMPRODUCT((1*($G$9:$AM$9="x")),G69:AM69)</f>
        <v>0</v>
      </c>
      <c r="G69" s="263"/>
      <c r="H69" s="264"/>
      <c r="I69" s="264"/>
      <c r="J69" s="264"/>
      <c r="K69" s="265"/>
      <c r="L69" s="263"/>
      <c r="M69" s="264"/>
      <c r="N69" s="264"/>
      <c r="O69" s="285"/>
      <c r="P69" s="264"/>
      <c r="Q69" s="286"/>
      <c r="S69" s="263"/>
      <c r="T69" s="265"/>
      <c r="U69" s="266"/>
      <c r="V69" s="222"/>
      <c r="W69" s="263"/>
      <c r="X69" s="264"/>
      <c r="Y69" s="264"/>
      <c r="Z69" s="264"/>
      <c r="AA69" s="264"/>
      <c r="AB69" s="264"/>
      <c r="AC69" s="265"/>
      <c r="AD69" s="222"/>
      <c r="AE69" s="263"/>
      <c r="AF69" s="264"/>
      <c r="AG69" s="264"/>
      <c r="AH69" s="264"/>
      <c r="AI69" s="264"/>
      <c r="AJ69" s="264"/>
      <c r="AK69" s="264"/>
      <c r="AL69" s="264"/>
      <c r="AM69" s="265"/>
      <c r="AN69" s="222"/>
    </row>
    <row r="70" spans="1:40" ht="16.5" customHeight="1" x14ac:dyDescent="0.25">
      <c r="A70" s="257">
        <v>300800</v>
      </c>
      <c r="B70" s="258" t="s">
        <v>201</v>
      </c>
      <c r="C70" s="259" t="s">
        <v>528</v>
      </c>
      <c r="D70" s="299" t="s">
        <v>529</v>
      </c>
      <c r="E70" s="261"/>
      <c r="F70" s="262" cm="1">
        <f t="array" ref="F70">SUMPRODUCT((1*($G$9:$AM$9="x")),G70:AM70)</f>
        <v>0</v>
      </c>
      <c r="G70" s="263"/>
      <c r="H70" s="264"/>
      <c r="I70" s="264"/>
      <c r="J70" s="264"/>
      <c r="K70" s="265"/>
      <c r="L70" s="263"/>
      <c r="M70" s="264"/>
      <c r="N70" s="264"/>
      <c r="O70" s="285"/>
      <c r="P70" s="264"/>
      <c r="Q70" s="286"/>
      <c r="S70" s="263"/>
      <c r="T70" s="265"/>
      <c r="U70" s="266"/>
      <c r="V70" s="222"/>
      <c r="W70" s="263"/>
      <c r="X70" s="264"/>
      <c r="Y70" s="264"/>
      <c r="Z70" s="264"/>
      <c r="AA70" s="264"/>
      <c r="AB70" s="264"/>
      <c r="AC70" s="265"/>
      <c r="AD70" s="222"/>
      <c r="AE70" s="263"/>
      <c r="AF70" s="264"/>
      <c r="AG70" s="264"/>
      <c r="AH70" s="264"/>
      <c r="AI70" s="264"/>
      <c r="AJ70" s="264"/>
      <c r="AK70" s="264"/>
      <c r="AL70" s="264"/>
      <c r="AM70" s="265"/>
      <c r="AN70" s="222"/>
    </row>
    <row r="71" spans="1:40" ht="16.5" customHeight="1" x14ac:dyDescent="0.25">
      <c r="A71" s="257">
        <v>370400</v>
      </c>
      <c r="B71" s="258" t="s">
        <v>415</v>
      </c>
      <c r="C71" s="259" t="s">
        <v>528</v>
      </c>
      <c r="D71" s="299">
        <v>370400</v>
      </c>
      <c r="E71" s="261">
        <v>3</v>
      </c>
      <c r="F71" s="262" cm="1">
        <f t="array" ref="F71">SUMPRODUCT((1*($G$9:$AM$9="x")),G71:AM71)</f>
        <v>102.30000000000001</v>
      </c>
      <c r="G71" s="263">
        <f t="shared" ref="G71:L86" si="25">$E71*G$11</f>
        <v>27.900000000000002</v>
      </c>
      <c r="H71" s="264">
        <f t="shared" si="25"/>
        <v>35.099999999999994</v>
      </c>
      <c r="I71" s="264">
        <f t="shared" si="25"/>
        <v>32.700000000000003</v>
      </c>
      <c r="J71" s="264">
        <f t="shared" si="25"/>
        <v>32.099999999999994</v>
      </c>
      <c r="K71" s="265">
        <f t="shared" si="25"/>
        <v>36.900000000000006</v>
      </c>
      <c r="L71" s="263">
        <f>$E71*L$11</f>
        <v>72</v>
      </c>
      <c r="M71" s="264">
        <f t="shared" ref="M71:Q86" si="26">$E71*M$11</f>
        <v>38.400000000000006</v>
      </c>
      <c r="N71" s="264">
        <f t="shared" si="26"/>
        <v>36.299999999999997</v>
      </c>
      <c r="O71" s="285">
        <f t="shared" si="26"/>
        <v>24</v>
      </c>
      <c r="P71" s="264">
        <f t="shared" si="26"/>
        <v>23.1</v>
      </c>
      <c r="Q71" s="286">
        <f t="shared" si="26"/>
        <v>41.400000000000006</v>
      </c>
      <c r="S71" s="263">
        <f t="shared" ref="S71:S87" si="27">$E71*$S$11</f>
        <v>17.100000000000001</v>
      </c>
      <c r="T71" s="265">
        <f t="shared" ref="T71:T87" si="28">E71*$T$11</f>
        <v>17.100000000000001</v>
      </c>
      <c r="U71" s="266">
        <f t="shared" ref="U71:U87" si="29">E71*$U$11</f>
        <v>25.200000000000003</v>
      </c>
      <c r="V71" s="222"/>
      <c r="W71" s="263">
        <f t="shared" ref="W71:Z86" si="30">W$11*$E71</f>
        <v>36</v>
      </c>
      <c r="X71" s="264">
        <f t="shared" si="30"/>
        <v>38.400000000000006</v>
      </c>
      <c r="Y71" s="264">
        <f t="shared" si="30"/>
        <v>38.400000000000006</v>
      </c>
      <c r="Z71" s="264">
        <f t="shared" si="30"/>
        <v>35.400000000000006</v>
      </c>
      <c r="AA71" s="264"/>
      <c r="AB71" s="264"/>
      <c r="AC71" s="265">
        <f t="shared" ref="AC71:AC87" si="31">AC$11*$E71</f>
        <v>38.400000000000006</v>
      </c>
      <c r="AD71" s="222"/>
      <c r="AE71" s="263">
        <f t="shared" ref="AE71:AJ86" si="32">AE$11*$E71</f>
        <v>50.099999999999994</v>
      </c>
      <c r="AF71" s="264">
        <f t="shared" si="32"/>
        <v>48.300000000000004</v>
      </c>
      <c r="AG71" s="264">
        <f t="shared" si="32"/>
        <v>45.599999999999994</v>
      </c>
      <c r="AH71" s="264">
        <f t="shared" si="32"/>
        <v>45.3</v>
      </c>
      <c r="AI71" s="264">
        <f t="shared" si="32"/>
        <v>45.599999999999994</v>
      </c>
      <c r="AJ71" s="264">
        <f t="shared" si="32"/>
        <v>52.199999999999996</v>
      </c>
      <c r="AK71" s="264"/>
      <c r="AL71" s="264"/>
      <c r="AM71" s="265"/>
      <c r="AN71" s="222"/>
    </row>
    <row r="72" spans="1:40" ht="16.5" customHeight="1" x14ac:dyDescent="0.25">
      <c r="A72" s="257">
        <v>370700</v>
      </c>
      <c r="B72" s="258" t="s">
        <v>161</v>
      </c>
      <c r="C72" s="259" t="s">
        <v>528</v>
      </c>
      <c r="D72" s="312">
        <f>A72</f>
        <v>370700</v>
      </c>
      <c r="E72" s="261">
        <v>2</v>
      </c>
      <c r="F72" s="262" cm="1">
        <f t="array" ref="F72">SUMPRODUCT((1*($G$9:$AM$9="x")),G72:AM72)</f>
        <v>68.2</v>
      </c>
      <c r="G72" s="263">
        <f t="shared" si="25"/>
        <v>18.600000000000001</v>
      </c>
      <c r="H72" s="264">
        <f t="shared" si="25"/>
        <v>23.4</v>
      </c>
      <c r="I72" s="264">
        <f t="shared" si="25"/>
        <v>21.8</v>
      </c>
      <c r="J72" s="264">
        <f t="shared" si="25"/>
        <v>21.4</v>
      </c>
      <c r="K72" s="265">
        <f t="shared" si="25"/>
        <v>24.6</v>
      </c>
      <c r="L72" s="263">
        <f t="shared" si="25"/>
        <v>48</v>
      </c>
      <c r="M72" s="264">
        <f t="shared" si="26"/>
        <v>25.6</v>
      </c>
      <c r="N72" s="264">
        <f t="shared" si="26"/>
        <v>24.2</v>
      </c>
      <c r="O72" s="285">
        <f t="shared" si="26"/>
        <v>16</v>
      </c>
      <c r="P72" s="264">
        <f t="shared" si="26"/>
        <v>15.4</v>
      </c>
      <c r="Q72" s="286">
        <f t="shared" si="26"/>
        <v>27.6</v>
      </c>
      <c r="S72" s="263">
        <f t="shared" si="27"/>
        <v>11.4</v>
      </c>
      <c r="T72" s="265">
        <f t="shared" si="28"/>
        <v>11.4</v>
      </c>
      <c r="U72" s="266">
        <f t="shared" si="29"/>
        <v>16.8</v>
      </c>
      <c r="V72" s="222"/>
      <c r="W72" s="263">
        <f t="shared" si="30"/>
        <v>24</v>
      </c>
      <c r="X72" s="264">
        <f t="shared" si="30"/>
        <v>25.6</v>
      </c>
      <c r="Y72" s="264">
        <f t="shared" si="30"/>
        <v>25.6</v>
      </c>
      <c r="Z72" s="264">
        <f t="shared" si="30"/>
        <v>23.6</v>
      </c>
      <c r="AA72" s="264"/>
      <c r="AB72" s="264"/>
      <c r="AC72" s="265">
        <f t="shared" si="31"/>
        <v>25.6</v>
      </c>
      <c r="AD72" s="222"/>
      <c r="AE72" s="263">
        <f t="shared" si="32"/>
        <v>33.4</v>
      </c>
      <c r="AF72" s="264">
        <f t="shared" si="32"/>
        <v>32.200000000000003</v>
      </c>
      <c r="AG72" s="264">
        <f t="shared" si="32"/>
        <v>30.4</v>
      </c>
      <c r="AH72" s="264">
        <f t="shared" si="32"/>
        <v>30.2</v>
      </c>
      <c r="AI72" s="264">
        <f t="shared" si="32"/>
        <v>30.4</v>
      </c>
      <c r="AJ72" s="264">
        <f t="shared" si="32"/>
        <v>34.799999999999997</v>
      </c>
      <c r="AK72" s="264"/>
      <c r="AL72" s="264"/>
      <c r="AM72" s="265"/>
      <c r="AN72" s="222"/>
    </row>
    <row r="73" spans="1:40" ht="16.5" customHeight="1" x14ac:dyDescent="0.25">
      <c r="A73" s="257">
        <v>316000</v>
      </c>
      <c r="B73" s="258" t="s">
        <v>175</v>
      </c>
      <c r="C73" s="259" t="s">
        <v>528</v>
      </c>
      <c r="D73" s="312">
        <f>A73</f>
        <v>316000</v>
      </c>
      <c r="E73" s="261">
        <v>2</v>
      </c>
      <c r="F73" s="262" cm="1">
        <f t="array" ref="F73">SUMPRODUCT((1*($G$9:$AM$9="x")),G73:AM73)</f>
        <v>68.2</v>
      </c>
      <c r="G73" s="263">
        <f t="shared" si="25"/>
        <v>18.600000000000001</v>
      </c>
      <c r="H73" s="264">
        <f t="shared" si="25"/>
        <v>23.4</v>
      </c>
      <c r="I73" s="264">
        <f t="shared" si="25"/>
        <v>21.8</v>
      </c>
      <c r="J73" s="264">
        <f t="shared" si="25"/>
        <v>21.4</v>
      </c>
      <c r="K73" s="265">
        <f t="shared" si="25"/>
        <v>24.6</v>
      </c>
      <c r="L73" s="263">
        <f t="shared" si="25"/>
        <v>48</v>
      </c>
      <c r="M73" s="264">
        <f t="shared" si="26"/>
        <v>25.6</v>
      </c>
      <c r="N73" s="264">
        <f t="shared" si="26"/>
        <v>24.2</v>
      </c>
      <c r="O73" s="285">
        <f t="shared" si="26"/>
        <v>16</v>
      </c>
      <c r="P73" s="264">
        <f t="shared" si="26"/>
        <v>15.4</v>
      </c>
      <c r="Q73" s="286">
        <f t="shared" si="26"/>
        <v>27.6</v>
      </c>
      <c r="S73" s="263">
        <f t="shared" si="27"/>
        <v>11.4</v>
      </c>
      <c r="T73" s="265">
        <f t="shared" si="28"/>
        <v>11.4</v>
      </c>
      <c r="U73" s="266">
        <f t="shared" si="29"/>
        <v>16.8</v>
      </c>
      <c r="V73" s="222"/>
      <c r="W73" s="263">
        <f t="shared" si="30"/>
        <v>24</v>
      </c>
      <c r="X73" s="264">
        <f t="shared" si="30"/>
        <v>25.6</v>
      </c>
      <c r="Y73" s="264">
        <f t="shared" si="30"/>
        <v>25.6</v>
      </c>
      <c r="Z73" s="264">
        <f t="shared" si="30"/>
        <v>23.6</v>
      </c>
      <c r="AA73" s="264"/>
      <c r="AB73" s="264"/>
      <c r="AC73" s="265">
        <f t="shared" si="31"/>
        <v>25.6</v>
      </c>
      <c r="AD73" s="222"/>
      <c r="AE73" s="263">
        <f t="shared" si="32"/>
        <v>33.4</v>
      </c>
      <c r="AF73" s="264">
        <f t="shared" si="32"/>
        <v>32.200000000000003</v>
      </c>
      <c r="AG73" s="264">
        <f t="shared" si="32"/>
        <v>30.4</v>
      </c>
      <c r="AH73" s="264">
        <f t="shared" si="32"/>
        <v>30.2</v>
      </c>
      <c r="AI73" s="264">
        <f t="shared" si="32"/>
        <v>30.4</v>
      </c>
      <c r="AJ73" s="264">
        <f t="shared" si="32"/>
        <v>34.799999999999997</v>
      </c>
      <c r="AK73" s="264"/>
      <c r="AL73" s="264"/>
      <c r="AM73" s="265"/>
      <c r="AN73" s="222"/>
    </row>
    <row r="74" spans="1:40" ht="16.5" customHeight="1" x14ac:dyDescent="0.25">
      <c r="A74" s="257">
        <v>370150</v>
      </c>
      <c r="B74" s="258" t="s">
        <v>167</v>
      </c>
      <c r="C74" s="259" t="s">
        <v>528</v>
      </c>
      <c r="D74" s="312">
        <f>A74</f>
        <v>370150</v>
      </c>
      <c r="E74" s="261">
        <v>2</v>
      </c>
      <c r="F74" s="262" cm="1">
        <f t="array" ref="F74">SUMPRODUCT((1*($G$9:$AM$9="x")),G74:AM74)</f>
        <v>68.2</v>
      </c>
      <c r="G74" s="263">
        <f t="shared" si="25"/>
        <v>18.600000000000001</v>
      </c>
      <c r="H74" s="264">
        <f t="shared" si="25"/>
        <v>23.4</v>
      </c>
      <c r="I74" s="264">
        <f t="shared" si="25"/>
        <v>21.8</v>
      </c>
      <c r="J74" s="264">
        <f t="shared" si="25"/>
        <v>21.4</v>
      </c>
      <c r="K74" s="265">
        <f t="shared" si="25"/>
        <v>24.6</v>
      </c>
      <c r="L74" s="263">
        <f t="shared" si="25"/>
        <v>48</v>
      </c>
      <c r="M74" s="264">
        <f t="shared" si="26"/>
        <v>25.6</v>
      </c>
      <c r="N74" s="264">
        <f t="shared" si="26"/>
        <v>24.2</v>
      </c>
      <c r="O74" s="285">
        <f t="shared" si="26"/>
        <v>16</v>
      </c>
      <c r="P74" s="264">
        <f t="shared" si="26"/>
        <v>15.4</v>
      </c>
      <c r="Q74" s="286">
        <f t="shared" si="26"/>
        <v>27.6</v>
      </c>
      <c r="S74" s="263">
        <f t="shared" si="27"/>
        <v>11.4</v>
      </c>
      <c r="T74" s="265">
        <f t="shared" si="28"/>
        <v>11.4</v>
      </c>
      <c r="U74" s="266">
        <f t="shared" si="29"/>
        <v>16.8</v>
      </c>
      <c r="V74" s="222"/>
      <c r="W74" s="263">
        <f t="shared" si="30"/>
        <v>24</v>
      </c>
      <c r="X74" s="264">
        <f t="shared" si="30"/>
        <v>25.6</v>
      </c>
      <c r="Y74" s="264">
        <f t="shared" si="30"/>
        <v>25.6</v>
      </c>
      <c r="Z74" s="264">
        <f t="shared" si="30"/>
        <v>23.6</v>
      </c>
      <c r="AA74" s="264"/>
      <c r="AB74" s="264"/>
      <c r="AC74" s="265">
        <f t="shared" si="31"/>
        <v>25.6</v>
      </c>
      <c r="AD74" s="222"/>
      <c r="AE74" s="263">
        <f t="shared" si="32"/>
        <v>33.4</v>
      </c>
      <c r="AF74" s="264">
        <f t="shared" si="32"/>
        <v>32.200000000000003</v>
      </c>
      <c r="AG74" s="264">
        <f t="shared" si="32"/>
        <v>30.4</v>
      </c>
      <c r="AH74" s="264">
        <f t="shared" si="32"/>
        <v>30.2</v>
      </c>
      <c r="AI74" s="264">
        <f t="shared" si="32"/>
        <v>30.4</v>
      </c>
      <c r="AJ74" s="264">
        <f t="shared" si="32"/>
        <v>34.799999999999997</v>
      </c>
      <c r="AK74" s="264"/>
      <c r="AL74" s="264"/>
      <c r="AM74" s="265"/>
      <c r="AN74" s="222"/>
    </row>
    <row r="75" spans="1:40" ht="38.25" x14ac:dyDescent="0.25">
      <c r="A75" s="257">
        <v>370600</v>
      </c>
      <c r="B75" s="258" t="s">
        <v>132</v>
      </c>
      <c r="C75" s="259" t="s">
        <v>528</v>
      </c>
      <c r="D75" s="313" t="str">
        <f>D52</f>
        <v>Cavalo mecânico com semirreboque - 22 t</v>
      </c>
      <c r="E75" s="290">
        <v>4</v>
      </c>
      <c r="F75" s="262" cm="1">
        <f t="array" ref="F75">SUMPRODUCT((1*($G$9:$AM$9="x")),G75:AM75)</f>
        <v>136.4</v>
      </c>
      <c r="G75" s="263">
        <f t="shared" si="25"/>
        <v>37.200000000000003</v>
      </c>
      <c r="H75" s="264">
        <f t="shared" si="25"/>
        <v>46.8</v>
      </c>
      <c r="I75" s="264">
        <f t="shared" si="25"/>
        <v>43.6</v>
      </c>
      <c r="J75" s="264">
        <f t="shared" si="25"/>
        <v>42.8</v>
      </c>
      <c r="K75" s="265">
        <f t="shared" si="25"/>
        <v>49.2</v>
      </c>
      <c r="L75" s="263">
        <f t="shared" si="25"/>
        <v>96</v>
      </c>
      <c r="M75" s="264">
        <f t="shared" si="26"/>
        <v>51.2</v>
      </c>
      <c r="N75" s="264">
        <f t="shared" si="26"/>
        <v>48.4</v>
      </c>
      <c r="O75" s="285">
        <f t="shared" si="26"/>
        <v>32</v>
      </c>
      <c r="P75" s="264">
        <f t="shared" si="26"/>
        <v>30.8</v>
      </c>
      <c r="Q75" s="286">
        <f t="shared" si="26"/>
        <v>55.2</v>
      </c>
      <c r="S75" s="263">
        <f t="shared" si="27"/>
        <v>22.8</v>
      </c>
      <c r="T75" s="265">
        <f t="shared" si="28"/>
        <v>22.8</v>
      </c>
      <c r="U75" s="266">
        <f t="shared" si="29"/>
        <v>33.6</v>
      </c>
      <c r="V75" s="222"/>
      <c r="W75" s="263">
        <f t="shared" si="30"/>
        <v>48</v>
      </c>
      <c r="X75" s="264">
        <f t="shared" si="30"/>
        <v>51.2</v>
      </c>
      <c r="Y75" s="264">
        <f t="shared" si="30"/>
        <v>51.2</v>
      </c>
      <c r="Z75" s="264">
        <f t="shared" si="30"/>
        <v>47.2</v>
      </c>
      <c r="AA75" s="264"/>
      <c r="AB75" s="264"/>
      <c r="AC75" s="265">
        <f t="shared" si="31"/>
        <v>51.2</v>
      </c>
      <c r="AD75" s="222"/>
      <c r="AE75" s="263">
        <f t="shared" si="32"/>
        <v>66.8</v>
      </c>
      <c r="AF75" s="264">
        <f t="shared" si="32"/>
        <v>64.400000000000006</v>
      </c>
      <c r="AG75" s="264">
        <f t="shared" si="32"/>
        <v>60.8</v>
      </c>
      <c r="AH75" s="264">
        <f t="shared" si="32"/>
        <v>60.4</v>
      </c>
      <c r="AI75" s="264">
        <f t="shared" si="32"/>
        <v>60.8</v>
      </c>
      <c r="AJ75" s="264">
        <f t="shared" si="32"/>
        <v>69.599999999999994</v>
      </c>
      <c r="AK75" s="264"/>
      <c r="AL75" s="264"/>
      <c r="AM75" s="265"/>
      <c r="AN75" s="222"/>
    </row>
    <row r="76" spans="1:40" ht="16.5" customHeight="1" x14ac:dyDescent="0.25">
      <c r="A76" s="257">
        <v>311500</v>
      </c>
      <c r="B76" s="258" t="s">
        <v>55</v>
      </c>
      <c r="C76" s="259" t="s">
        <v>536</v>
      </c>
      <c r="D76" s="459" t="str">
        <f>D52</f>
        <v>Cavalo mecânico com semirreboque - 22 t</v>
      </c>
      <c r="E76" s="290">
        <v>4</v>
      </c>
      <c r="F76" s="262" cm="1">
        <f t="array" ref="F76">SUMPRODUCT((1*($G$9:$AM$9="x")),G76:AM76)</f>
        <v>136.4</v>
      </c>
      <c r="G76" s="291">
        <f t="shared" si="25"/>
        <v>37.200000000000003</v>
      </c>
      <c r="H76" s="292">
        <f t="shared" si="25"/>
        <v>46.8</v>
      </c>
      <c r="I76" s="292">
        <f t="shared" si="25"/>
        <v>43.6</v>
      </c>
      <c r="J76" s="292">
        <f t="shared" si="25"/>
        <v>42.8</v>
      </c>
      <c r="K76" s="293">
        <f t="shared" si="25"/>
        <v>49.2</v>
      </c>
      <c r="L76" s="291">
        <f t="shared" si="25"/>
        <v>96</v>
      </c>
      <c r="M76" s="292">
        <f t="shared" si="26"/>
        <v>51.2</v>
      </c>
      <c r="N76" s="292">
        <f t="shared" si="26"/>
        <v>48.4</v>
      </c>
      <c r="O76" s="294">
        <f t="shared" si="26"/>
        <v>32</v>
      </c>
      <c r="P76" s="292">
        <f t="shared" si="26"/>
        <v>30.8</v>
      </c>
      <c r="Q76" s="295">
        <f t="shared" si="26"/>
        <v>55.2</v>
      </c>
      <c r="R76" s="314"/>
      <c r="S76" s="315">
        <f t="shared" si="27"/>
        <v>22.8</v>
      </c>
      <c r="T76" s="316">
        <f t="shared" si="28"/>
        <v>22.8</v>
      </c>
      <c r="U76" s="317">
        <f t="shared" si="29"/>
        <v>33.6</v>
      </c>
      <c r="V76" s="222"/>
      <c r="W76" s="291">
        <f t="shared" si="30"/>
        <v>48</v>
      </c>
      <c r="X76" s="292">
        <f t="shared" si="30"/>
        <v>51.2</v>
      </c>
      <c r="Y76" s="292">
        <f t="shared" si="30"/>
        <v>51.2</v>
      </c>
      <c r="Z76" s="292">
        <f t="shared" si="30"/>
        <v>47.2</v>
      </c>
      <c r="AA76" s="264"/>
      <c r="AB76" s="264"/>
      <c r="AC76" s="293">
        <f t="shared" si="31"/>
        <v>51.2</v>
      </c>
      <c r="AD76" s="222"/>
      <c r="AE76" s="291">
        <f t="shared" si="32"/>
        <v>66.8</v>
      </c>
      <c r="AF76" s="292">
        <f t="shared" si="32"/>
        <v>64.400000000000006</v>
      </c>
      <c r="AG76" s="292">
        <f t="shared" si="32"/>
        <v>60.8</v>
      </c>
      <c r="AH76" s="292">
        <f t="shared" si="32"/>
        <v>60.4</v>
      </c>
      <c r="AI76" s="292">
        <f t="shared" si="32"/>
        <v>60.8</v>
      </c>
      <c r="AJ76" s="292">
        <f t="shared" si="32"/>
        <v>69.599999999999994</v>
      </c>
      <c r="AK76" s="264"/>
      <c r="AL76" s="264"/>
      <c r="AM76" s="265"/>
      <c r="AN76" s="222"/>
    </row>
    <row r="77" spans="1:40" ht="16.5" customHeight="1" x14ac:dyDescent="0.25">
      <c r="A77" s="257">
        <v>321500</v>
      </c>
      <c r="B77" s="258" t="s">
        <v>56</v>
      </c>
      <c r="C77" s="259" t="s">
        <v>528</v>
      </c>
      <c r="D77" s="459"/>
      <c r="E77" s="290">
        <v>4</v>
      </c>
      <c r="F77" s="262" cm="1">
        <f t="array" ref="F77">SUMPRODUCT((1*($G$9:$AM$9="x")),G77:AM77)</f>
        <v>136.4</v>
      </c>
      <c r="G77" s="291">
        <f t="shared" si="25"/>
        <v>37.200000000000003</v>
      </c>
      <c r="H77" s="292">
        <f t="shared" si="25"/>
        <v>46.8</v>
      </c>
      <c r="I77" s="292">
        <f t="shared" si="25"/>
        <v>43.6</v>
      </c>
      <c r="J77" s="292">
        <f t="shared" si="25"/>
        <v>42.8</v>
      </c>
      <c r="K77" s="293">
        <f t="shared" si="25"/>
        <v>49.2</v>
      </c>
      <c r="L77" s="291">
        <f t="shared" si="25"/>
        <v>96</v>
      </c>
      <c r="M77" s="292">
        <f t="shared" si="26"/>
        <v>51.2</v>
      </c>
      <c r="N77" s="292">
        <f t="shared" si="26"/>
        <v>48.4</v>
      </c>
      <c r="O77" s="294">
        <f t="shared" si="26"/>
        <v>32</v>
      </c>
      <c r="P77" s="292">
        <f t="shared" si="26"/>
        <v>30.8</v>
      </c>
      <c r="Q77" s="295">
        <f t="shared" si="26"/>
        <v>55.2</v>
      </c>
      <c r="R77" s="314"/>
      <c r="S77" s="315">
        <f t="shared" si="27"/>
        <v>22.8</v>
      </c>
      <c r="T77" s="316">
        <f t="shared" si="28"/>
        <v>22.8</v>
      </c>
      <c r="U77" s="317">
        <f t="shared" si="29"/>
        <v>33.6</v>
      </c>
      <c r="V77" s="222"/>
      <c r="W77" s="291">
        <f t="shared" si="30"/>
        <v>48</v>
      </c>
      <c r="X77" s="292">
        <f t="shared" si="30"/>
        <v>51.2</v>
      </c>
      <c r="Y77" s="292">
        <f t="shared" si="30"/>
        <v>51.2</v>
      </c>
      <c r="Z77" s="292">
        <f t="shared" si="30"/>
        <v>47.2</v>
      </c>
      <c r="AA77" s="318"/>
      <c r="AB77" s="318"/>
      <c r="AC77" s="293">
        <f t="shared" si="31"/>
        <v>51.2</v>
      </c>
      <c r="AD77" s="222"/>
      <c r="AE77" s="291">
        <f t="shared" si="32"/>
        <v>66.8</v>
      </c>
      <c r="AF77" s="292">
        <f t="shared" si="32"/>
        <v>64.400000000000006</v>
      </c>
      <c r="AG77" s="292">
        <f t="shared" si="32"/>
        <v>60.8</v>
      </c>
      <c r="AH77" s="292">
        <f t="shared" si="32"/>
        <v>60.4</v>
      </c>
      <c r="AI77" s="292">
        <f t="shared" si="32"/>
        <v>60.8</v>
      </c>
      <c r="AJ77" s="292">
        <f t="shared" si="32"/>
        <v>69.599999999999994</v>
      </c>
      <c r="AK77" s="318"/>
      <c r="AL77" s="318"/>
      <c r="AM77" s="319"/>
    </row>
    <row r="78" spans="1:40" ht="16.5" customHeight="1" x14ac:dyDescent="0.25">
      <c r="A78" s="257">
        <v>331500</v>
      </c>
      <c r="B78" s="258" t="s">
        <v>57</v>
      </c>
      <c r="C78" s="259" t="s">
        <v>538</v>
      </c>
      <c r="D78" s="459"/>
      <c r="E78" s="290">
        <v>4</v>
      </c>
      <c r="F78" s="262" cm="1">
        <f t="array" ref="F78">SUMPRODUCT((1*($G$9:$AM$9="x")),G78:AM78)</f>
        <v>136.4</v>
      </c>
      <c r="G78" s="291">
        <f t="shared" si="25"/>
        <v>37.200000000000003</v>
      </c>
      <c r="H78" s="292">
        <f t="shared" si="25"/>
        <v>46.8</v>
      </c>
      <c r="I78" s="292">
        <f t="shared" si="25"/>
        <v>43.6</v>
      </c>
      <c r="J78" s="292">
        <f t="shared" si="25"/>
        <v>42.8</v>
      </c>
      <c r="K78" s="293">
        <f t="shared" si="25"/>
        <v>49.2</v>
      </c>
      <c r="L78" s="291">
        <f t="shared" si="25"/>
        <v>96</v>
      </c>
      <c r="M78" s="292">
        <f t="shared" si="26"/>
        <v>51.2</v>
      </c>
      <c r="N78" s="292">
        <f t="shared" si="26"/>
        <v>48.4</v>
      </c>
      <c r="O78" s="294">
        <f t="shared" si="26"/>
        <v>32</v>
      </c>
      <c r="P78" s="292">
        <f t="shared" si="26"/>
        <v>30.8</v>
      </c>
      <c r="Q78" s="295">
        <f t="shared" si="26"/>
        <v>55.2</v>
      </c>
      <c r="R78" s="314"/>
      <c r="S78" s="315">
        <f t="shared" si="27"/>
        <v>22.8</v>
      </c>
      <c r="T78" s="316">
        <f t="shared" si="28"/>
        <v>22.8</v>
      </c>
      <c r="U78" s="317">
        <f t="shared" si="29"/>
        <v>33.6</v>
      </c>
      <c r="V78" s="222"/>
      <c r="W78" s="291">
        <f t="shared" si="30"/>
        <v>48</v>
      </c>
      <c r="X78" s="292">
        <f t="shared" si="30"/>
        <v>51.2</v>
      </c>
      <c r="Y78" s="292">
        <f t="shared" si="30"/>
        <v>51.2</v>
      </c>
      <c r="Z78" s="292">
        <f t="shared" si="30"/>
        <v>47.2</v>
      </c>
      <c r="AA78" s="318"/>
      <c r="AB78" s="318"/>
      <c r="AC78" s="293">
        <f t="shared" si="31"/>
        <v>51.2</v>
      </c>
      <c r="AD78" s="222"/>
      <c r="AE78" s="291">
        <f t="shared" si="32"/>
        <v>66.8</v>
      </c>
      <c r="AF78" s="292">
        <f t="shared" si="32"/>
        <v>64.400000000000006</v>
      </c>
      <c r="AG78" s="292">
        <f t="shared" si="32"/>
        <v>60.8</v>
      </c>
      <c r="AH78" s="292">
        <f t="shared" si="32"/>
        <v>60.4</v>
      </c>
      <c r="AI78" s="292">
        <f t="shared" si="32"/>
        <v>60.8</v>
      </c>
      <c r="AJ78" s="292">
        <f t="shared" si="32"/>
        <v>69.599999999999994</v>
      </c>
      <c r="AK78" s="318"/>
      <c r="AL78" s="318"/>
      <c r="AM78" s="319"/>
    </row>
    <row r="79" spans="1:40" ht="16.5" customHeight="1" x14ac:dyDescent="0.25">
      <c r="A79" s="257">
        <v>313200</v>
      </c>
      <c r="B79" s="258" t="s">
        <v>46</v>
      </c>
      <c r="C79" s="259" t="s">
        <v>536</v>
      </c>
      <c r="D79" s="459"/>
      <c r="E79" s="290">
        <v>4</v>
      </c>
      <c r="F79" s="262" cm="1">
        <f t="array" ref="F79">SUMPRODUCT((1*($G$9:$AM$9="x")),G79:AM79)</f>
        <v>136.4</v>
      </c>
      <c r="G79" s="291">
        <f t="shared" si="25"/>
        <v>37.200000000000003</v>
      </c>
      <c r="H79" s="292">
        <f t="shared" si="25"/>
        <v>46.8</v>
      </c>
      <c r="I79" s="292">
        <f t="shared" si="25"/>
        <v>43.6</v>
      </c>
      <c r="J79" s="292">
        <f t="shared" si="25"/>
        <v>42.8</v>
      </c>
      <c r="K79" s="293">
        <f t="shared" si="25"/>
        <v>49.2</v>
      </c>
      <c r="L79" s="291">
        <f t="shared" si="25"/>
        <v>96</v>
      </c>
      <c r="M79" s="292">
        <f t="shared" si="26"/>
        <v>51.2</v>
      </c>
      <c r="N79" s="292">
        <f t="shared" si="26"/>
        <v>48.4</v>
      </c>
      <c r="O79" s="294">
        <f t="shared" si="26"/>
        <v>32</v>
      </c>
      <c r="P79" s="292">
        <f t="shared" si="26"/>
        <v>30.8</v>
      </c>
      <c r="Q79" s="295">
        <f t="shared" si="26"/>
        <v>55.2</v>
      </c>
      <c r="R79" s="314"/>
      <c r="S79" s="315">
        <f t="shared" si="27"/>
        <v>22.8</v>
      </c>
      <c r="T79" s="316">
        <f t="shared" si="28"/>
        <v>22.8</v>
      </c>
      <c r="U79" s="317">
        <f t="shared" si="29"/>
        <v>33.6</v>
      </c>
      <c r="V79" s="222"/>
      <c r="W79" s="291">
        <f t="shared" si="30"/>
        <v>48</v>
      </c>
      <c r="X79" s="292">
        <f t="shared" si="30"/>
        <v>51.2</v>
      </c>
      <c r="Y79" s="292">
        <f t="shared" si="30"/>
        <v>51.2</v>
      </c>
      <c r="Z79" s="292">
        <f t="shared" si="30"/>
        <v>47.2</v>
      </c>
      <c r="AA79" s="318"/>
      <c r="AB79" s="318"/>
      <c r="AC79" s="293">
        <f t="shared" si="31"/>
        <v>51.2</v>
      </c>
      <c r="AD79" s="222"/>
      <c r="AE79" s="291">
        <f t="shared" si="32"/>
        <v>66.8</v>
      </c>
      <c r="AF79" s="292">
        <f t="shared" si="32"/>
        <v>64.400000000000006</v>
      </c>
      <c r="AG79" s="292">
        <f t="shared" si="32"/>
        <v>60.8</v>
      </c>
      <c r="AH79" s="292">
        <f t="shared" si="32"/>
        <v>60.4</v>
      </c>
      <c r="AI79" s="292">
        <f t="shared" si="32"/>
        <v>60.8</v>
      </c>
      <c r="AJ79" s="292">
        <f t="shared" si="32"/>
        <v>69.599999999999994</v>
      </c>
      <c r="AK79" s="318"/>
      <c r="AL79" s="318"/>
      <c r="AM79" s="319"/>
    </row>
    <row r="80" spans="1:40" ht="16.5" customHeight="1" x14ac:dyDescent="0.25">
      <c r="A80" s="257">
        <v>323200</v>
      </c>
      <c r="B80" s="258" t="s">
        <v>47</v>
      </c>
      <c r="C80" s="259" t="s">
        <v>528</v>
      </c>
      <c r="D80" s="459"/>
      <c r="E80" s="290">
        <v>4</v>
      </c>
      <c r="F80" s="262" cm="1">
        <f t="array" ref="F80">SUMPRODUCT((1*($G$9:$AM$9="x")),G80:AM80)</f>
        <v>136.4</v>
      </c>
      <c r="G80" s="291">
        <f t="shared" si="25"/>
        <v>37.200000000000003</v>
      </c>
      <c r="H80" s="292">
        <f t="shared" si="25"/>
        <v>46.8</v>
      </c>
      <c r="I80" s="292">
        <f t="shared" si="25"/>
        <v>43.6</v>
      </c>
      <c r="J80" s="292">
        <f t="shared" si="25"/>
        <v>42.8</v>
      </c>
      <c r="K80" s="293">
        <f t="shared" si="25"/>
        <v>49.2</v>
      </c>
      <c r="L80" s="291">
        <f t="shared" si="25"/>
        <v>96</v>
      </c>
      <c r="M80" s="292">
        <f t="shared" si="26"/>
        <v>51.2</v>
      </c>
      <c r="N80" s="292">
        <f t="shared" si="26"/>
        <v>48.4</v>
      </c>
      <c r="O80" s="294">
        <f t="shared" si="26"/>
        <v>32</v>
      </c>
      <c r="P80" s="292">
        <f t="shared" si="26"/>
        <v>30.8</v>
      </c>
      <c r="Q80" s="295">
        <f t="shared" si="26"/>
        <v>55.2</v>
      </c>
      <c r="R80" s="314"/>
      <c r="S80" s="315">
        <f t="shared" si="27"/>
        <v>22.8</v>
      </c>
      <c r="T80" s="316">
        <f t="shared" si="28"/>
        <v>22.8</v>
      </c>
      <c r="U80" s="317">
        <f t="shared" si="29"/>
        <v>33.6</v>
      </c>
      <c r="V80" s="222"/>
      <c r="W80" s="291">
        <f t="shared" si="30"/>
        <v>48</v>
      </c>
      <c r="X80" s="292">
        <f t="shared" si="30"/>
        <v>51.2</v>
      </c>
      <c r="Y80" s="292">
        <f t="shared" si="30"/>
        <v>51.2</v>
      </c>
      <c r="Z80" s="292">
        <f t="shared" si="30"/>
        <v>47.2</v>
      </c>
      <c r="AA80" s="318"/>
      <c r="AB80" s="318"/>
      <c r="AC80" s="293">
        <f t="shared" si="31"/>
        <v>51.2</v>
      </c>
      <c r="AD80" s="222"/>
      <c r="AE80" s="291">
        <f t="shared" si="32"/>
        <v>66.8</v>
      </c>
      <c r="AF80" s="292">
        <f t="shared" si="32"/>
        <v>64.400000000000006</v>
      </c>
      <c r="AG80" s="292">
        <f t="shared" si="32"/>
        <v>60.8</v>
      </c>
      <c r="AH80" s="292">
        <f t="shared" si="32"/>
        <v>60.4</v>
      </c>
      <c r="AI80" s="292">
        <f t="shared" si="32"/>
        <v>60.8</v>
      </c>
      <c r="AJ80" s="292">
        <f t="shared" si="32"/>
        <v>69.599999999999994</v>
      </c>
      <c r="AK80" s="318"/>
      <c r="AL80" s="318"/>
      <c r="AM80" s="319"/>
    </row>
    <row r="81" spans="1:40" ht="16.5" customHeight="1" x14ac:dyDescent="0.25">
      <c r="A81" s="257">
        <v>333200</v>
      </c>
      <c r="B81" s="258" t="s">
        <v>48</v>
      </c>
      <c r="C81" s="259" t="s">
        <v>538</v>
      </c>
      <c r="D81" s="459"/>
      <c r="E81" s="290">
        <v>4</v>
      </c>
      <c r="F81" s="262" cm="1">
        <f t="array" ref="F81">SUMPRODUCT((1*($G$9:$AM$9="x")),G81:AM81)</f>
        <v>136.4</v>
      </c>
      <c r="G81" s="291">
        <f t="shared" si="25"/>
        <v>37.200000000000003</v>
      </c>
      <c r="H81" s="292">
        <f t="shared" si="25"/>
        <v>46.8</v>
      </c>
      <c r="I81" s="292">
        <f t="shared" si="25"/>
        <v>43.6</v>
      </c>
      <c r="J81" s="292">
        <f t="shared" si="25"/>
        <v>42.8</v>
      </c>
      <c r="K81" s="293">
        <f t="shared" si="25"/>
        <v>49.2</v>
      </c>
      <c r="L81" s="291">
        <f t="shared" si="25"/>
        <v>96</v>
      </c>
      <c r="M81" s="292">
        <f t="shared" si="26"/>
        <v>51.2</v>
      </c>
      <c r="N81" s="292">
        <f t="shared" si="26"/>
        <v>48.4</v>
      </c>
      <c r="O81" s="294">
        <f t="shared" si="26"/>
        <v>32</v>
      </c>
      <c r="P81" s="292">
        <f t="shared" si="26"/>
        <v>30.8</v>
      </c>
      <c r="Q81" s="295">
        <f t="shared" si="26"/>
        <v>55.2</v>
      </c>
      <c r="R81" s="314"/>
      <c r="S81" s="315">
        <f t="shared" si="27"/>
        <v>22.8</v>
      </c>
      <c r="T81" s="316">
        <f t="shared" si="28"/>
        <v>22.8</v>
      </c>
      <c r="U81" s="317">
        <f t="shared" si="29"/>
        <v>33.6</v>
      </c>
      <c r="V81" s="222"/>
      <c r="W81" s="291">
        <f t="shared" si="30"/>
        <v>48</v>
      </c>
      <c r="X81" s="292">
        <f t="shared" si="30"/>
        <v>51.2</v>
      </c>
      <c r="Y81" s="292">
        <f t="shared" si="30"/>
        <v>51.2</v>
      </c>
      <c r="Z81" s="292">
        <f t="shared" si="30"/>
        <v>47.2</v>
      </c>
      <c r="AA81" s="318"/>
      <c r="AB81" s="318"/>
      <c r="AC81" s="293">
        <f t="shared" si="31"/>
        <v>51.2</v>
      </c>
      <c r="AD81" s="222"/>
      <c r="AE81" s="291">
        <f t="shared" si="32"/>
        <v>66.8</v>
      </c>
      <c r="AF81" s="292">
        <f t="shared" si="32"/>
        <v>64.400000000000006</v>
      </c>
      <c r="AG81" s="292">
        <f t="shared" si="32"/>
        <v>60.8</v>
      </c>
      <c r="AH81" s="292">
        <f t="shared" si="32"/>
        <v>60.4</v>
      </c>
      <c r="AI81" s="292">
        <f t="shared" si="32"/>
        <v>60.8</v>
      </c>
      <c r="AJ81" s="292">
        <f t="shared" si="32"/>
        <v>69.599999999999994</v>
      </c>
      <c r="AK81" s="318"/>
      <c r="AL81" s="318"/>
      <c r="AM81" s="319"/>
    </row>
    <row r="82" spans="1:40" ht="16.5" customHeight="1" x14ac:dyDescent="0.25">
      <c r="A82" s="257">
        <v>313300</v>
      </c>
      <c r="B82" s="258" t="s">
        <v>49</v>
      </c>
      <c r="C82" s="259" t="s">
        <v>536</v>
      </c>
      <c r="D82" s="459"/>
      <c r="E82" s="290">
        <v>4</v>
      </c>
      <c r="F82" s="262" cm="1">
        <f t="array" ref="F82">SUMPRODUCT((1*($G$9:$AM$9="x")),G82:AM82)</f>
        <v>136.4</v>
      </c>
      <c r="G82" s="291">
        <f t="shared" si="25"/>
        <v>37.200000000000003</v>
      </c>
      <c r="H82" s="292">
        <f t="shared" si="25"/>
        <v>46.8</v>
      </c>
      <c r="I82" s="292">
        <f t="shared" si="25"/>
        <v>43.6</v>
      </c>
      <c r="J82" s="292">
        <f t="shared" si="25"/>
        <v>42.8</v>
      </c>
      <c r="K82" s="293">
        <f t="shared" si="25"/>
        <v>49.2</v>
      </c>
      <c r="L82" s="291">
        <f t="shared" si="25"/>
        <v>96</v>
      </c>
      <c r="M82" s="292">
        <f t="shared" si="26"/>
        <v>51.2</v>
      </c>
      <c r="N82" s="292">
        <f t="shared" si="26"/>
        <v>48.4</v>
      </c>
      <c r="O82" s="294">
        <f t="shared" si="26"/>
        <v>32</v>
      </c>
      <c r="P82" s="292">
        <f t="shared" si="26"/>
        <v>30.8</v>
      </c>
      <c r="Q82" s="295">
        <f t="shared" si="26"/>
        <v>55.2</v>
      </c>
      <c r="R82" s="314"/>
      <c r="S82" s="315">
        <f t="shared" si="27"/>
        <v>22.8</v>
      </c>
      <c r="T82" s="316">
        <f t="shared" si="28"/>
        <v>22.8</v>
      </c>
      <c r="U82" s="317">
        <f t="shared" si="29"/>
        <v>33.6</v>
      </c>
      <c r="V82" s="222"/>
      <c r="W82" s="291">
        <f t="shared" si="30"/>
        <v>48</v>
      </c>
      <c r="X82" s="292">
        <f t="shared" si="30"/>
        <v>51.2</v>
      </c>
      <c r="Y82" s="292">
        <f t="shared" si="30"/>
        <v>51.2</v>
      </c>
      <c r="Z82" s="292">
        <f t="shared" si="30"/>
        <v>47.2</v>
      </c>
      <c r="AA82" s="318"/>
      <c r="AB82" s="318"/>
      <c r="AC82" s="293">
        <f t="shared" si="31"/>
        <v>51.2</v>
      </c>
      <c r="AD82" s="222"/>
      <c r="AE82" s="291">
        <f t="shared" si="32"/>
        <v>66.8</v>
      </c>
      <c r="AF82" s="292">
        <f t="shared" si="32"/>
        <v>64.400000000000006</v>
      </c>
      <c r="AG82" s="292">
        <f t="shared" si="32"/>
        <v>60.8</v>
      </c>
      <c r="AH82" s="292">
        <f t="shared" si="32"/>
        <v>60.4</v>
      </c>
      <c r="AI82" s="292">
        <f t="shared" si="32"/>
        <v>60.8</v>
      </c>
      <c r="AJ82" s="292">
        <f t="shared" si="32"/>
        <v>69.599999999999994</v>
      </c>
      <c r="AK82" s="318"/>
      <c r="AL82" s="318"/>
      <c r="AM82" s="319"/>
    </row>
    <row r="83" spans="1:40" ht="16.5" customHeight="1" x14ac:dyDescent="0.25">
      <c r="A83" s="257">
        <v>323300</v>
      </c>
      <c r="B83" s="258" t="s">
        <v>50</v>
      </c>
      <c r="C83" s="259" t="s">
        <v>528</v>
      </c>
      <c r="D83" s="459"/>
      <c r="E83" s="290">
        <v>4</v>
      </c>
      <c r="F83" s="262" cm="1">
        <f t="array" ref="F83">SUMPRODUCT((1*($G$9:$AM$9="x")),G83:AM83)</f>
        <v>136.4</v>
      </c>
      <c r="G83" s="291">
        <f t="shared" si="25"/>
        <v>37.200000000000003</v>
      </c>
      <c r="H83" s="292">
        <f t="shared" si="25"/>
        <v>46.8</v>
      </c>
      <c r="I83" s="292">
        <f t="shared" si="25"/>
        <v>43.6</v>
      </c>
      <c r="J83" s="292">
        <f t="shared" si="25"/>
        <v>42.8</v>
      </c>
      <c r="K83" s="293">
        <f t="shared" si="25"/>
        <v>49.2</v>
      </c>
      <c r="L83" s="291">
        <f t="shared" si="25"/>
        <v>96</v>
      </c>
      <c r="M83" s="292">
        <f t="shared" si="26"/>
        <v>51.2</v>
      </c>
      <c r="N83" s="292">
        <f t="shared" si="26"/>
        <v>48.4</v>
      </c>
      <c r="O83" s="294">
        <f t="shared" si="26"/>
        <v>32</v>
      </c>
      <c r="P83" s="292">
        <f t="shared" si="26"/>
        <v>30.8</v>
      </c>
      <c r="Q83" s="295">
        <f t="shared" si="26"/>
        <v>55.2</v>
      </c>
      <c r="R83" s="314"/>
      <c r="S83" s="315">
        <f t="shared" si="27"/>
        <v>22.8</v>
      </c>
      <c r="T83" s="316">
        <f t="shared" si="28"/>
        <v>22.8</v>
      </c>
      <c r="U83" s="317">
        <f t="shared" si="29"/>
        <v>33.6</v>
      </c>
      <c r="V83" s="222"/>
      <c r="W83" s="291">
        <f t="shared" si="30"/>
        <v>48</v>
      </c>
      <c r="X83" s="292">
        <f t="shared" si="30"/>
        <v>51.2</v>
      </c>
      <c r="Y83" s="292">
        <f t="shared" si="30"/>
        <v>51.2</v>
      </c>
      <c r="Z83" s="292">
        <f t="shared" si="30"/>
        <v>47.2</v>
      </c>
      <c r="AA83" s="318"/>
      <c r="AB83" s="318"/>
      <c r="AC83" s="293">
        <f t="shared" si="31"/>
        <v>51.2</v>
      </c>
      <c r="AD83" s="222"/>
      <c r="AE83" s="291">
        <f t="shared" si="32"/>
        <v>66.8</v>
      </c>
      <c r="AF83" s="292">
        <f t="shared" si="32"/>
        <v>64.400000000000006</v>
      </c>
      <c r="AG83" s="292">
        <f t="shared" si="32"/>
        <v>60.8</v>
      </c>
      <c r="AH83" s="292">
        <f t="shared" si="32"/>
        <v>60.4</v>
      </c>
      <c r="AI83" s="292">
        <f t="shared" si="32"/>
        <v>60.8</v>
      </c>
      <c r="AJ83" s="292">
        <f t="shared" si="32"/>
        <v>69.599999999999994</v>
      </c>
      <c r="AK83" s="318"/>
      <c r="AL83" s="318"/>
      <c r="AM83" s="319"/>
    </row>
    <row r="84" spans="1:40" ht="16.5" customHeight="1" x14ac:dyDescent="0.25">
      <c r="A84" s="257">
        <v>333300</v>
      </c>
      <c r="B84" s="258" t="s">
        <v>51</v>
      </c>
      <c r="C84" s="259" t="s">
        <v>538</v>
      </c>
      <c r="D84" s="459"/>
      <c r="E84" s="290">
        <v>4</v>
      </c>
      <c r="F84" s="262" cm="1">
        <f t="array" ref="F84">SUMPRODUCT((1*($G$9:$AM$9="x")),G84:AM84)</f>
        <v>136.4</v>
      </c>
      <c r="G84" s="291">
        <f t="shared" si="25"/>
        <v>37.200000000000003</v>
      </c>
      <c r="H84" s="292">
        <f t="shared" si="25"/>
        <v>46.8</v>
      </c>
      <c r="I84" s="292">
        <f t="shared" si="25"/>
        <v>43.6</v>
      </c>
      <c r="J84" s="292">
        <f t="shared" si="25"/>
        <v>42.8</v>
      </c>
      <c r="K84" s="293">
        <f t="shared" si="25"/>
        <v>49.2</v>
      </c>
      <c r="L84" s="291">
        <f t="shared" si="25"/>
        <v>96</v>
      </c>
      <c r="M84" s="292">
        <f t="shared" si="26"/>
        <v>51.2</v>
      </c>
      <c r="N84" s="292">
        <f t="shared" si="26"/>
        <v>48.4</v>
      </c>
      <c r="O84" s="294">
        <f t="shared" si="26"/>
        <v>32</v>
      </c>
      <c r="P84" s="292">
        <f t="shared" si="26"/>
        <v>30.8</v>
      </c>
      <c r="Q84" s="295">
        <f t="shared" si="26"/>
        <v>55.2</v>
      </c>
      <c r="R84" s="314"/>
      <c r="S84" s="315">
        <f t="shared" si="27"/>
        <v>22.8</v>
      </c>
      <c r="T84" s="316">
        <f t="shared" si="28"/>
        <v>22.8</v>
      </c>
      <c r="U84" s="317">
        <f t="shared" si="29"/>
        <v>33.6</v>
      </c>
      <c r="V84" s="222"/>
      <c r="W84" s="291">
        <f t="shared" si="30"/>
        <v>48</v>
      </c>
      <c r="X84" s="292">
        <f t="shared" si="30"/>
        <v>51.2</v>
      </c>
      <c r="Y84" s="292">
        <f t="shared" si="30"/>
        <v>51.2</v>
      </c>
      <c r="Z84" s="292">
        <f t="shared" si="30"/>
        <v>47.2</v>
      </c>
      <c r="AA84" s="318"/>
      <c r="AB84" s="318"/>
      <c r="AC84" s="293">
        <f t="shared" si="31"/>
        <v>51.2</v>
      </c>
      <c r="AD84" s="222"/>
      <c r="AE84" s="291">
        <f t="shared" si="32"/>
        <v>66.8</v>
      </c>
      <c r="AF84" s="292">
        <f t="shared" si="32"/>
        <v>64.400000000000006</v>
      </c>
      <c r="AG84" s="292">
        <f t="shared" si="32"/>
        <v>60.8</v>
      </c>
      <c r="AH84" s="292">
        <f t="shared" si="32"/>
        <v>60.4</v>
      </c>
      <c r="AI84" s="292">
        <f t="shared" si="32"/>
        <v>60.8</v>
      </c>
      <c r="AJ84" s="292">
        <f t="shared" si="32"/>
        <v>69.599999999999994</v>
      </c>
      <c r="AK84" s="318"/>
      <c r="AL84" s="318"/>
      <c r="AM84" s="319"/>
    </row>
    <row r="85" spans="1:40" ht="16.5" customHeight="1" x14ac:dyDescent="0.25">
      <c r="A85" s="257">
        <v>320800</v>
      </c>
      <c r="B85" s="258" t="s">
        <v>416</v>
      </c>
      <c r="C85" s="259" t="s">
        <v>528</v>
      </c>
      <c r="D85" s="459"/>
      <c r="E85" s="290">
        <v>4</v>
      </c>
      <c r="F85" s="262" cm="1">
        <f t="array" ref="F85">SUMPRODUCT((1*($G$9:$AM$9="x")),G85:AM85)</f>
        <v>136.4</v>
      </c>
      <c r="G85" s="291">
        <f t="shared" si="25"/>
        <v>37.200000000000003</v>
      </c>
      <c r="H85" s="292">
        <f t="shared" si="25"/>
        <v>46.8</v>
      </c>
      <c r="I85" s="292">
        <f t="shared" si="25"/>
        <v>43.6</v>
      </c>
      <c r="J85" s="292">
        <f t="shared" si="25"/>
        <v>42.8</v>
      </c>
      <c r="K85" s="293">
        <f t="shared" si="25"/>
        <v>49.2</v>
      </c>
      <c r="L85" s="291">
        <f t="shared" si="25"/>
        <v>96</v>
      </c>
      <c r="M85" s="292">
        <f t="shared" si="26"/>
        <v>51.2</v>
      </c>
      <c r="N85" s="292">
        <f t="shared" si="26"/>
        <v>48.4</v>
      </c>
      <c r="O85" s="294">
        <f t="shared" si="26"/>
        <v>32</v>
      </c>
      <c r="P85" s="292">
        <f t="shared" si="26"/>
        <v>30.8</v>
      </c>
      <c r="Q85" s="295">
        <f t="shared" si="26"/>
        <v>55.2</v>
      </c>
      <c r="R85" s="314"/>
      <c r="S85" s="315">
        <f t="shared" si="27"/>
        <v>22.8</v>
      </c>
      <c r="T85" s="316">
        <f t="shared" si="28"/>
        <v>22.8</v>
      </c>
      <c r="U85" s="317">
        <f t="shared" si="29"/>
        <v>33.6</v>
      </c>
      <c r="V85" s="222"/>
      <c r="W85" s="291">
        <f t="shared" si="30"/>
        <v>48</v>
      </c>
      <c r="X85" s="292">
        <f t="shared" si="30"/>
        <v>51.2</v>
      </c>
      <c r="Y85" s="292">
        <f t="shared" si="30"/>
        <v>51.2</v>
      </c>
      <c r="Z85" s="292">
        <f t="shared" si="30"/>
        <v>47.2</v>
      </c>
      <c r="AA85" s="318"/>
      <c r="AB85" s="318"/>
      <c r="AC85" s="293">
        <f t="shared" si="31"/>
        <v>51.2</v>
      </c>
      <c r="AD85" s="222"/>
      <c r="AE85" s="291">
        <f t="shared" si="32"/>
        <v>66.8</v>
      </c>
      <c r="AF85" s="292">
        <f t="shared" si="32"/>
        <v>64.400000000000006</v>
      </c>
      <c r="AG85" s="292">
        <f t="shared" si="32"/>
        <v>60.8</v>
      </c>
      <c r="AH85" s="292">
        <f t="shared" si="32"/>
        <v>60.4</v>
      </c>
      <c r="AI85" s="292">
        <f t="shared" si="32"/>
        <v>60.8</v>
      </c>
      <c r="AJ85" s="292">
        <f t="shared" si="32"/>
        <v>69.599999999999994</v>
      </c>
      <c r="AK85" s="318"/>
      <c r="AL85" s="318"/>
      <c r="AM85" s="319"/>
    </row>
    <row r="86" spans="1:40" ht="16.5" customHeight="1" x14ac:dyDescent="0.25">
      <c r="A86" s="257">
        <v>330800</v>
      </c>
      <c r="B86" s="258" t="s">
        <v>417</v>
      </c>
      <c r="C86" s="259" t="s">
        <v>538</v>
      </c>
      <c r="D86" s="459"/>
      <c r="E86" s="290">
        <v>4</v>
      </c>
      <c r="F86" s="262" cm="1">
        <f t="array" ref="F86">SUMPRODUCT((1*($G$9:$AM$9="x")),G86:AM86)</f>
        <v>136.4</v>
      </c>
      <c r="G86" s="291">
        <f t="shared" si="25"/>
        <v>37.200000000000003</v>
      </c>
      <c r="H86" s="292">
        <f t="shared" si="25"/>
        <v>46.8</v>
      </c>
      <c r="I86" s="292">
        <f t="shared" si="25"/>
        <v>43.6</v>
      </c>
      <c r="J86" s="292">
        <f t="shared" si="25"/>
        <v>42.8</v>
      </c>
      <c r="K86" s="293">
        <f t="shared" si="25"/>
        <v>49.2</v>
      </c>
      <c r="L86" s="291">
        <f t="shared" si="25"/>
        <v>96</v>
      </c>
      <c r="M86" s="292">
        <f t="shared" si="26"/>
        <v>51.2</v>
      </c>
      <c r="N86" s="292">
        <f t="shared" si="26"/>
        <v>48.4</v>
      </c>
      <c r="O86" s="294">
        <f t="shared" si="26"/>
        <v>32</v>
      </c>
      <c r="P86" s="292">
        <f t="shared" si="26"/>
        <v>30.8</v>
      </c>
      <c r="Q86" s="295">
        <f t="shared" si="26"/>
        <v>55.2</v>
      </c>
      <c r="R86" s="314"/>
      <c r="S86" s="315">
        <f t="shared" si="27"/>
        <v>22.8</v>
      </c>
      <c r="T86" s="316">
        <f t="shared" si="28"/>
        <v>22.8</v>
      </c>
      <c r="U86" s="317">
        <f t="shared" si="29"/>
        <v>33.6</v>
      </c>
      <c r="V86" s="222"/>
      <c r="W86" s="291">
        <f t="shared" si="30"/>
        <v>48</v>
      </c>
      <c r="X86" s="292">
        <f t="shared" si="30"/>
        <v>51.2</v>
      </c>
      <c r="Y86" s="292">
        <f t="shared" si="30"/>
        <v>51.2</v>
      </c>
      <c r="Z86" s="292">
        <f t="shared" si="30"/>
        <v>47.2</v>
      </c>
      <c r="AA86" s="318"/>
      <c r="AB86" s="318"/>
      <c r="AC86" s="293">
        <f t="shared" si="31"/>
        <v>51.2</v>
      </c>
      <c r="AD86" s="222"/>
      <c r="AE86" s="291">
        <f t="shared" si="32"/>
        <v>66.8</v>
      </c>
      <c r="AF86" s="292">
        <f t="shared" si="32"/>
        <v>64.400000000000006</v>
      </c>
      <c r="AG86" s="292">
        <f t="shared" si="32"/>
        <v>60.8</v>
      </c>
      <c r="AH86" s="292">
        <f t="shared" si="32"/>
        <v>60.4</v>
      </c>
      <c r="AI86" s="292">
        <f t="shared" si="32"/>
        <v>60.8</v>
      </c>
      <c r="AJ86" s="292">
        <f t="shared" si="32"/>
        <v>69.599999999999994</v>
      </c>
      <c r="AK86" s="318"/>
      <c r="AL86" s="318"/>
      <c r="AM86" s="319"/>
    </row>
    <row r="87" spans="1:40" ht="16.5" customHeight="1" x14ac:dyDescent="0.25">
      <c r="A87" s="257">
        <v>310800</v>
      </c>
      <c r="B87" s="258" t="s">
        <v>418</v>
      </c>
      <c r="C87" s="259" t="s">
        <v>536</v>
      </c>
      <c r="D87" s="459"/>
      <c r="E87" s="290">
        <v>4</v>
      </c>
      <c r="F87" s="262" cm="1">
        <f t="array" ref="F87">SUMPRODUCT((1*($G$9:$AM$9="x")),G87:AM87)</f>
        <v>136.4</v>
      </c>
      <c r="G87" s="291">
        <f t="shared" ref="G87:Q91" si="33">$E87*G$11</f>
        <v>37.200000000000003</v>
      </c>
      <c r="H87" s="292">
        <f t="shared" si="33"/>
        <v>46.8</v>
      </c>
      <c r="I87" s="292">
        <f t="shared" si="33"/>
        <v>43.6</v>
      </c>
      <c r="J87" s="292">
        <f t="shared" si="33"/>
        <v>42.8</v>
      </c>
      <c r="K87" s="293">
        <f t="shared" si="33"/>
        <v>49.2</v>
      </c>
      <c r="L87" s="291">
        <f t="shared" si="33"/>
        <v>96</v>
      </c>
      <c r="M87" s="292">
        <f t="shared" si="33"/>
        <v>51.2</v>
      </c>
      <c r="N87" s="292">
        <f t="shared" si="33"/>
        <v>48.4</v>
      </c>
      <c r="O87" s="294">
        <f t="shared" si="33"/>
        <v>32</v>
      </c>
      <c r="P87" s="292">
        <f t="shared" si="33"/>
        <v>30.8</v>
      </c>
      <c r="Q87" s="295">
        <f t="shared" si="33"/>
        <v>55.2</v>
      </c>
      <c r="R87" s="314"/>
      <c r="S87" s="315">
        <f t="shared" si="27"/>
        <v>22.8</v>
      </c>
      <c r="T87" s="316">
        <f t="shared" si="28"/>
        <v>22.8</v>
      </c>
      <c r="U87" s="317">
        <f t="shared" si="29"/>
        <v>33.6</v>
      </c>
      <c r="V87" s="222"/>
      <c r="W87" s="291">
        <f t="shared" ref="W87:Z89" si="34">W$11*$E87</f>
        <v>48</v>
      </c>
      <c r="X87" s="292">
        <f t="shared" si="34"/>
        <v>51.2</v>
      </c>
      <c r="Y87" s="292">
        <f t="shared" si="34"/>
        <v>51.2</v>
      </c>
      <c r="Z87" s="292">
        <f t="shared" si="34"/>
        <v>47.2</v>
      </c>
      <c r="AA87" s="318"/>
      <c r="AB87" s="318"/>
      <c r="AC87" s="293">
        <f t="shared" si="31"/>
        <v>51.2</v>
      </c>
      <c r="AD87" s="222"/>
      <c r="AE87" s="291">
        <f t="shared" ref="AE87:AJ90" si="35">AE$11*$E87</f>
        <v>66.8</v>
      </c>
      <c r="AF87" s="292">
        <f t="shared" si="35"/>
        <v>64.400000000000006</v>
      </c>
      <c r="AG87" s="292">
        <f t="shared" si="35"/>
        <v>60.8</v>
      </c>
      <c r="AH87" s="292">
        <f t="shared" si="35"/>
        <v>60.4</v>
      </c>
      <c r="AI87" s="292">
        <f t="shared" si="35"/>
        <v>60.8</v>
      </c>
      <c r="AJ87" s="292">
        <f t="shared" si="35"/>
        <v>69.599999999999994</v>
      </c>
      <c r="AK87" s="318"/>
      <c r="AL87" s="318"/>
      <c r="AM87" s="319"/>
    </row>
    <row r="88" spans="1:40" ht="16.5" customHeight="1" x14ac:dyDescent="0.25">
      <c r="A88" s="257">
        <v>370060</v>
      </c>
      <c r="B88" s="258" t="s">
        <v>148</v>
      </c>
      <c r="C88" s="259" t="s">
        <v>528</v>
      </c>
      <c r="D88" s="260">
        <f>A88</f>
        <v>370060</v>
      </c>
      <c r="E88" s="261">
        <v>3</v>
      </c>
      <c r="F88" s="262" cm="1">
        <f t="array" ref="F88">SUMPRODUCT((1*($G$9:$AM$9="x")),G88:AM88)</f>
        <v>102.30000000000001</v>
      </c>
      <c r="G88" s="263">
        <f t="shared" si="33"/>
        <v>27.900000000000002</v>
      </c>
      <c r="H88" s="264">
        <f t="shared" si="33"/>
        <v>35.099999999999994</v>
      </c>
      <c r="I88" s="264">
        <f t="shared" si="33"/>
        <v>32.700000000000003</v>
      </c>
      <c r="J88" s="264">
        <f t="shared" si="33"/>
        <v>32.099999999999994</v>
      </c>
      <c r="K88" s="265">
        <f t="shared" si="33"/>
        <v>36.900000000000006</v>
      </c>
      <c r="L88" s="263">
        <f>E88*$L$11</f>
        <v>72</v>
      </c>
      <c r="M88" s="264">
        <f>E88*$M$11</f>
        <v>38.400000000000006</v>
      </c>
      <c r="N88" s="264">
        <f>E88*$N$11</f>
        <v>36.299999999999997</v>
      </c>
      <c r="O88" s="264">
        <f>$E88*$O$11</f>
        <v>24</v>
      </c>
      <c r="P88" s="264">
        <f>$E88*$P$11</f>
        <v>23.1</v>
      </c>
      <c r="Q88" s="286">
        <f>E88*$Q$11</f>
        <v>41.400000000000006</v>
      </c>
      <c r="S88" s="263">
        <f>$E88*$S$11</f>
        <v>17.100000000000001</v>
      </c>
      <c r="T88" s="265">
        <f>E88*$T$11</f>
        <v>17.100000000000001</v>
      </c>
      <c r="U88" s="266">
        <f>E88*$U$11</f>
        <v>25.200000000000003</v>
      </c>
      <c r="V88" s="222"/>
      <c r="W88" s="263">
        <f t="shared" si="34"/>
        <v>36</v>
      </c>
      <c r="X88" s="264">
        <f t="shared" si="34"/>
        <v>38.400000000000006</v>
      </c>
      <c r="Y88" s="264">
        <f t="shared" si="34"/>
        <v>38.400000000000006</v>
      </c>
      <c r="Z88" s="264">
        <f t="shared" si="34"/>
        <v>35.400000000000006</v>
      </c>
      <c r="AA88" s="264"/>
      <c r="AB88" s="264"/>
      <c r="AC88" s="265">
        <f>AC$11*$E88</f>
        <v>38.400000000000006</v>
      </c>
      <c r="AD88" s="222"/>
      <c r="AE88" s="263">
        <f t="shared" si="35"/>
        <v>50.099999999999994</v>
      </c>
      <c r="AF88" s="264">
        <f t="shared" si="35"/>
        <v>48.300000000000004</v>
      </c>
      <c r="AG88" s="264">
        <f t="shared" si="35"/>
        <v>45.599999999999994</v>
      </c>
      <c r="AH88" s="264">
        <f t="shared" si="35"/>
        <v>45.3</v>
      </c>
      <c r="AI88" s="264">
        <f t="shared" si="35"/>
        <v>45.599999999999994</v>
      </c>
      <c r="AJ88" s="264">
        <f t="shared" si="35"/>
        <v>52.199999999999996</v>
      </c>
      <c r="AK88" s="264"/>
      <c r="AL88" s="264"/>
      <c r="AM88" s="265"/>
      <c r="AN88" s="222"/>
    </row>
    <row r="89" spans="1:40" ht="16.5" customHeight="1" x14ac:dyDescent="0.25">
      <c r="A89" s="257">
        <v>370040</v>
      </c>
      <c r="B89" s="258" t="s">
        <v>176</v>
      </c>
      <c r="C89" s="259" t="s">
        <v>528</v>
      </c>
      <c r="D89" s="260">
        <f>A89</f>
        <v>370040</v>
      </c>
      <c r="E89" s="261">
        <v>3</v>
      </c>
      <c r="F89" s="262" cm="1">
        <f t="array" ref="F89">SUMPRODUCT((1*($G$9:$AM$9="x")),G89:AM89)</f>
        <v>102.30000000000001</v>
      </c>
      <c r="G89" s="263">
        <f t="shared" si="33"/>
        <v>27.900000000000002</v>
      </c>
      <c r="H89" s="264">
        <f t="shared" si="33"/>
        <v>35.099999999999994</v>
      </c>
      <c r="I89" s="264">
        <f t="shared" si="33"/>
        <v>32.700000000000003</v>
      </c>
      <c r="J89" s="264">
        <f t="shared" si="33"/>
        <v>32.099999999999994</v>
      </c>
      <c r="K89" s="265">
        <f t="shared" si="33"/>
        <v>36.900000000000006</v>
      </c>
      <c r="L89" s="263">
        <f>E89*$L$11</f>
        <v>72</v>
      </c>
      <c r="M89" s="264">
        <f>E89*$M$11</f>
        <v>38.400000000000006</v>
      </c>
      <c r="N89" s="264">
        <f>E89*$N$11</f>
        <v>36.299999999999997</v>
      </c>
      <c r="O89" s="264">
        <f>$E89*$O$11</f>
        <v>24</v>
      </c>
      <c r="P89" s="264">
        <f>$E89*$P$11</f>
        <v>23.1</v>
      </c>
      <c r="Q89" s="286">
        <f>E89*$Q$11</f>
        <v>41.400000000000006</v>
      </c>
      <c r="S89" s="263">
        <f>$E89*$S$11</f>
        <v>17.100000000000001</v>
      </c>
      <c r="T89" s="265">
        <f>E89*$T$11</f>
        <v>17.100000000000001</v>
      </c>
      <c r="U89" s="266">
        <f>E89*$U$11</f>
        <v>25.200000000000003</v>
      </c>
      <c r="V89" s="222"/>
      <c r="W89" s="263">
        <f>W$11*$E89</f>
        <v>36</v>
      </c>
      <c r="X89" s="264">
        <f t="shared" si="34"/>
        <v>38.400000000000006</v>
      </c>
      <c r="Y89" s="264">
        <f t="shared" si="34"/>
        <v>38.400000000000006</v>
      </c>
      <c r="Z89" s="264">
        <f t="shared" si="34"/>
        <v>35.400000000000006</v>
      </c>
      <c r="AA89" s="264"/>
      <c r="AB89" s="264"/>
      <c r="AC89" s="265">
        <f>AC$11*$E89</f>
        <v>38.400000000000006</v>
      </c>
      <c r="AD89" s="222"/>
      <c r="AE89" s="263">
        <f t="shared" si="35"/>
        <v>50.099999999999994</v>
      </c>
      <c r="AF89" s="264">
        <f t="shared" si="35"/>
        <v>48.300000000000004</v>
      </c>
      <c r="AG89" s="264">
        <f t="shared" si="35"/>
        <v>45.599999999999994</v>
      </c>
      <c r="AH89" s="264">
        <f t="shared" si="35"/>
        <v>45.3</v>
      </c>
      <c r="AI89" s="264">
        <f t="shared" si="35"/>
        <v>45.599999999999994</v>
      </c>
      <c r="AJ89" s="264">
        <f t="shared" si="35"/>
        <v>52.199999999999996</v>
      </c>
      <c r="AK89" s="264"/>
      <c r="AL89" s="264"/>
      <c r="AM89" s="265"/>
      <c r="AN89" s="222"/>
    </row>
    <row r="90" spans="1:40" ht="16.5" customHeight="1" x14ac:dyDescent="0.25">
      <c r="A90" s="268">
        <v>390200</v>
      </c>
      <c r="B90" s="269" t="s">
        <v>59</v>
      </c>
      <c r="C90" s="270" t="s">
        <v>528</v>
      </c>
      <c r="D90" s="458" t="s">
        <v>545</v>
      </c>
      <c r="E90" s="288">
        <v>4</v>
      </c>
      <c r="F90" s="262" cm="1">
        <f t="array" ref="F90">SUMPRODUCT((1*($G$9:$AM$9="x")),G90:AM90)</f>
        <v>136.4</v>
      </c>
      <c r="G90" s="315">
        <f t="shared" si="33"/>
        <v>37.200000000000003</v>
      </c>
      <c r="H90" s="320">
        <f t="shared" si="33"/>
        <v>46.8</v>
      </c>
      <c r="I90" s="320">
        <f t="shared" si="33"/>
        <v>43.6</v>
      </c>
      <c r="J90" s="320">
        <f t="shared" si="33"/>
        <v>42.8</v>
      </c>
      <c r="K90" s="316">
        <f t="shared" si="33"/>
        <v>49.2</v>
      </c>
      <c r="L90" s="291">
        <f t="shared" si="33"/>
        <v>96</v>
      </c>
      <c r="M90" s="292">
        <f t="shared" si="33"/>
        <v>51.2</v>
      </c>
      <c r="N90" s="292">
        <f t="shared" si="33"/>
        <v>48.4</v>
      </c>
      <c r="O90" s="292">
        <f t="shared" si="33"/>
        <v>32</v>
      </c>
      <c r="P90" s="292">
        <f t="shared" si="33"/>
        <v>30.8</v>
      </c>
      <c r="Q90" s="295">
        <f t="shared" si="33"/>
        <v>55.2</v>
      </c>
      <c r="S90" s="321">
        <f t="shared" ref="S90:U91" si="36">$E$90*S$11</f>
        <v>22.8</v>
      </c>
      <c r="T90" s="322">
        <f t="shared" si="36"/>
        <v>22.8</v>
      </c>
      <c r="U90" s="323">
        <f t="shared" si="36"/>
        <v>33.6</v>
      </c>
      <c r="W90" s="263">
        <f t="shared" ref="W90:Z90" si="37">W$11*$E90</f>
        <v>48</v>
      </c>
      <c r="X90" s="264">
        <f t="shared" si="37"/>
        <v>51.2</v>
      </c>
      <c r="Y90" s="264">
        <f t="shared" si="37"/>
        <v>51.2</v>
      </c>
      <c r="Z90" s="264">
        <f t="shared" si="37"/>
        <v>47.2</v>
      </c>
      <c r="AA90" s="264"/>
      <c r="AB90" s="264"/>
      <c r="AC90" s="265">
        <f>AC$11*$E90</f>
        <v>51.2</v>
      </c>
      <c r="AD90" s="222"/>
      <c r="AE90" s="263">
        <f t="shared" si="35"/>
        <v>66.8</v>
      </c>
      <c r="AF90" s="264">
        <f t="shared" si="35"/>
        <v>64.400000000000006</v>
      </c>
      <c r="AG90" s="264">
        <f t="shared" si="35"/>
        <v>60.8</v>
      </c>
      <c r="AH90" s="264">
        <f t="shared" si="35"/>
        <v>60.4</v>
      </c>
      <c r="AI90" s="264">
        <f t="shared" si="35"/>
        <v>60.8</v>
      </c>
      <c r="AJ90" s="264">
        <f t="shared" si="35"/>
        <v>69.599999999999994</v>
      </c>
      <c r="AK90" s="318"/>
      <c r="AL90" s="318"/>
      <c r="AM90" s="319"/>
    </row>
    <row r="91" spans="1:40" ht="20.25" customHeight="1" x14ac:dyDescent="0.25">
      <c r="A91" s="268">
        <v>390100</v>
      </c>
      <c r="B91" s="269" t="s">
        <v>60</v>
      </c>
      <c r="C91" s="270" t="s">
        <v>528</v>
      </c>
      <c r="D91" s="458"/>
      <c r="E91" s="288">
        <v>4</v>
      </c>
      <c r="F91" s="262" cm="1">
        <f t="array" ref="F91">SUMPRODUCT((1*($G$9:$AM$9="x")),G91:AM91)</f>
        <v>37.200000000000003</v>
      </c>
      <c r="G91" s="315">
        <f t="shared" si="33"/>
        <v>37.200000000000003</v>
      </c>
      <c r="H91" s="320">
        <f t="shared" si="33"/>
        <v>46.8</v>
      </c>
      <c r="I91" s="320">
        <f t="shared" si="33"/>
        <v>43.6</v>
      </c>
      <c r="J91" s="320">
        <f t="shared" si="33"/>
        <v>42.8</v>
      </c>
      <c r="K91" s="316">
        <f t="shared" si="33"/>
        <v>49.2</v>
      </c>
      <c r="L91" s="291">
        <f t="shared" si="33"/>
        <v>96</v>
      </c>
      <c r="M91" s="292">
        <f t="shared" si="33"/>
        <v>51.2</v>
      </c>
      <c r="N91" s="292">
        <f t="shared" si="33"/>
        <v>48.4</v>
      </c>
      <c r="O91" s="292">
        <f t="shared" si="33"/>
        <v>32</v>
      </c>
      <c r="P91" s="292">
        <f t="shared" si="33"/>
        <v>30.8</v>
      </c>
      <c r="Q91" s="295">
        <f t="shared" si="33"/>
        <v>55.2</v>
      </c>
      <c r="S91" s="321">
        <f t="shared" si="36"/>
        <v>22.8</v>
      </c>
      <c r="T91" s="322">
        <f t="shared" si="36"/>
        <v>22.8</v>
      </c>
      <c r="U91" s="323">
        <f t="shared" si="36"/>
        <v>33.6</v>
      </c>
      <c r="W91" s="324"/>
      <c r="X91" s="318"/>
      <c r="Y91" s="223"/>
      <c r="Z91" s="318"/>
      <c r="AA91" s="318"/>
      <c r="AB91" s="318"/>
      <c r="AC91" s="319"/>
      <c r="AE91" s="324"/>
      <c r="AF91" s="318"/>
      <c r="AG91" s="318"/>
      <c r="AH91" s="318"/>
      <c r="AI91" s="318"/>
      <c r="AJ91" s="318"/>
      <c r="AK91" s="318"/>
      <c r="AL91" s="318"/>
      <c r="AM91" s="319"/>
    </row>
    <row r="92" spans="1:40" ht="16.5" customHeight="1" x14ac:dyDescent="0.25">
      <c r="A92" s="257">
        <v>300010</v>
      </c>
      <c r="B92" s="258" t="s">
        <v>173</v>
      </c>
      <c r="C92" s="259" t="s">
        <v>528</v>
      </c>
      <c r="D92" s="299" t="s">
        <v>529</v>
      </c>
      <c r="E92" s="261"/>
      <c r="F92" s="262" cm="1">
        <f t="array" ref="F92">SUMPRODUCT((1*($G$9:$AM$9="x")),G92:AM92)</f>
        <v>0</v>
      </c>
      <c r="G92" s="263"/>
      <c r="H92" s="264"/>
      <c r="I92" s="264"/>
      <c r="J92" s="264"/>
      <c r="K92" s="265"/>
      <c r="L92" s="263"/>
      <c r="M92" s="264"/>
      <c r="N92" s="264"/>
      <c r="O92" s="285"/>
      <c r="P92" s="264"/>
      <c r="Q92" s="286"/>
      <c r="S92" s="263"/>
      <c r="T92" s="265"/>
      <c r="U92" s="266"/>
      <c r="V92" s="222"/>
      <c r="W92" s="263"/>
      <c r="X92" s="264"/>
      <c r="Y92" s="264"/>
      <c r="Z92" s="264"/>
      <c r="AA92" s="264"/>
      <c r="AB92" s="264"/>
      <c r="AC92" s="265"/>
      <c r="AD92" s="222"/>
      <c r="AE92" s="263"/>
      <c r="AF92" s="264"/>
      <c r="AG92" s="264"/>
      <c r="AH92" s="264"/>
      <c r="AI92" s="264"/>
      <c r="AJ92" s="264"/>
      <c r="AK92" s="264"/>
      <c r="AL92" s="264"/>
      <c r="AM92" s="265"/>
      <c r="AN92" s="222"/>
    </row>
    <row r="93" spans="1:40" ht="23.25" customHeight="1" x14ac:dyDescent="0.25">
      <c r="A93" s="257">
        <v>351500</v>
      </c>
      <c r="B93" s="258" t="s">
        <v>419</v>
      </c>
      <c r="C93" s="259" t="s">
        <v>528</v>
      </c>
      <c r="D93" s="458" t="str">
        <f>D52</f>
        <v>Cavalo mecânico com semirreboque - 22 t</v>
      </c>
      <c r="E93" s="288">
        <v>4</v>
      </c>
      <c r="F93" s="262" cm="1">
        <f t="array" ref="F93">SUMPRODUCT((1*($G$9:$AM$9="x")),G93:AM93)</f>
        <v>136.4</v>
      </c>
      <c r="G93" s="315">
        <f t="shared" ref="G93:Q95" si="38">$E93*G$11</f>
        <v>37.200000000000003</v>
      </c>
      <c r="H93" s="320">
        <f t="shared" si="38"/>
        <v>46.8</v>
      </c>
      <c r="I93" s="320">
        <f t="shared" si="38"/>
        <v>43.6</v>
      </c>
      <c r="J93" s="320">
        <f t="shared" si="38"/>
        <v>42.8</v>
      </c>
      <c r="K93" s="316">
        <f t="shared" si="38"/>
        <v>49.2</v>
      </c>
      <c r="L93" s="291">
        <f t="shared" si="38"/>
        <v>96</v>
      </c>
      <c r="M93" s="292">
        <f t="shared" si="38"/>
        <v>51.2</v>
      </c>
      <c r="N93" s="292">
        <f t="shared" si="38"/>
        <v>48.4</v>
      </c>
      <c r="O93" s="292">
        <f t="shared" si="38"/>
        <v>32</v>
      </c>
      <c r="P93" s="292">
        <f t="shared" si="38"/>
        <v>30.8</v>
      </c>
      <c r="Q93" s="295">
        <f t="shared" si="38"/>
        <v>55.2</v>
      </c>
      <c r="S93" s="291">
        <v>20.8</v>
      </c>
      <c r="T93" s="293">
        <v>20.8</v>
      </c>
      <c r="U93" s="325">
        <f>E93*$U$11</f>
        <v>33.6</v>
      </c>
      <c r="V93" s="222"/>
      <c r="W93" s="291">
        <f>W$11*$E93</f>
        <v>48</v>
      </c>
      <c r="X93" s="292">
        <f>X$11*$E93</f>
        <v>51.2</v>
      </c>
      <c r="Y93" s="292">
        <f>Y$11*$E93</f>
        <v>51.2</v>
      </c>
      <c r="Z93" s="292">
        <f>Z$11*$E93</f>
        <v>47.2</v>
      </c>
      <c r="AA93" s="264"/>
      <c r="AB93" s="264"/>
      <c r="AC93" s="293">
        <f>AC$11*$E93</f>
        <v>51.2</v>
      </c>
      <c r="AD93" s="222"/>
      <c r="AE93" s="291">
        <f t="shared" ref="AE93:AJ95" si="39">AE$11*$E93</f>
        <v>66.8</v>
      </c>
      <c r="AF93" s="292">
        <f t="shared" si="39"/>
        <v>64.400000000000006</v>
      </c>
      <c r="AG93" s="292">
        <f t="shared" si="39"/>
        <v>60.8</v>
      </c>
      <c r="AH93" s="292">
        <f t="shared" si="39"/>
        <v>60.4</v>
      </c>
      <c r="AI93" s="292">
        <f t="shared" si="39"/>
        <v>60.8</v>
      </c>
      <c r="AJ93" s="292">
        <f t="shared" si="39"/>
        <v>69.599999999999994</v>
      </c>
      <c r="AK93" s="264"/>
      <c r="AL93" s="264"/>
      <c r="AM93" s="265"/>
      <c r="AN93" s="222"/>
    </row>
    <row r="94" spans="1:40" ht="27" customHeight="1" x14ac:dyDescent="0.25">
      <c r="A94" s="257">
        <v>351000</v>
      </c>
      <c r="B94" s="258" t="s">
        <v>546</v>
      </c>
      <c r="C94" s="259" t="s">
        <v>528</v>
      </c>
      <c r="D94" s="458"/>
      <c r="E94" s="288">
        <v>4</v>
      </c>
      <c r="F94" s="262" cm="1">
        <f t="array" ref="F94">SUMPRODUCT((1*($G$9:$AM$9="x")),G94:AM94)</f>
        <v>136.4</v>
      </c>
      <c r="G94" s="315">
        <f t="shared" si="38"/>
        <v>37.200000000000003</v>
      </c>
      <c r="H94" s="320">
        <f t="shared" si="38"/>
        <v>46.8</v>
      </c>
      <c r="I94" s="320">
        <f t="shared" si="38"/>
        <v>43.6</v>
      </c>
      <c r="J94" s="320">
        <f t="shared" si="38"/>
        <v>42.8</v>
      </c>
      <c r="K94" s="316">
        <f t="shared" si="38"/>
        <v>49.2</v>
      </c>
      <c r="L94" s="291">
        <f t="shared" si="38"/>
        <v>96</v>
      </c>
      <c r="M94" s="292">
        <f t="shared" si="38"/>
        <v>51.2</v>
      </c>
      <c r="N94" s="292">
        <f t="shared" si="38"/>
        <v>48.4</v>
      </c>
      <c r="O94" s="292">
        <f t="shared" si="38"/>
        <v>32</v>
      </c>
      <c r="P94" s="292">
        <f t="shared" si="38"/>
        <v>30.8</v>
      </c>
      <c r="Q94" s="295">
        <f t="shared" si="38"/>
        <v>55.2</v>
      </c>
      <c r="S94" s="291">
        <v>20.8</v>
      </c>
      <c r="T94" s="293">
        <v>20.8</v>
      </c>
      <c r="U94" s="325">
        <f t="shared" ref="U94:U95" si="40">E94*$U$11</f>
        <v>33.6</v>
      </c>
      <c r="V94" s="222"/>
      <c r="W94" s="291">
        <f t="shared" ref="W94:Z95" si="41">W$11*$E94</f>
        <v>48</v>
      </c>
      <c r="X94" s="292">
        <f t="shared" si="41"/>
        <v>51.2</v>
      </c>
      <c r="Y94" s="292">
        <f t="shared" si="41"/>
        <v>51.2</v>
      </c>
      <c r="Z94" s="292">
        <f t="shared" si="41"/>
        <v>47.2</v>
      </c>
      <c r="AA94" s="264"/>
      <c r="AB94" s="264"/>
      <c r="AC94" s="293">
        <f t="shared" ref="AC94:AC95" si="42">AC$11*$E94</f>
        <v>51.2</v>
      </c>
      <c r="AD94" s="222"/>
      <c r="AE94" s="291">
        <f t="shared" si="39"/>
        <v>66.8</v>
      </c>
      <c r="AF94" s="292">
        <f t="shared" si="39"/>
        <v>64.400000000000006</v>
      </c>
      <c r="AG94" s="292">
        <f t="shared" si="39"/>
        <v>60.8</v>
      </c>
      <c r="AH94" s="292">
        <f t="shared" si="39"/>
        <v>60.4</v>
      </c>
      <c r="AI94" s="292">
        <f t="shared" si="39"/>
        <v>60.8</v>
      </c>
      <c r="AJ94" s="292">
        <f t="shared" si="39"/>
        <v>69.599999999999994</v>
      </c>
      <c r="AK94" s="318"/>
      <c r="AL94" s="318"/>
      <c r="AM94" s="319"/>
    </row>
    <row r="95" spans="1:40" ht="24" customHeight="1" x14ac:dyDescent="0.25">
      <c r="A95" s="257">
        <v>352000</v>
      </c>
      <c r="B95" s="258" t="s">
        <v>63</v>
      </c>
      <c r="C95" s="259" t="s">
        <v>528</v>
      </c>
      <c r="D95" s="458"/>
      <c r="E95" s="288">
        <v>4</v>
      </c>
      <c r="F95" s="262" cm="1">
        <f t="array" ref="F95">SUMPRODUCT((1*($G$9:$AM$9="x")),G95:AM95)</f>
        <v>136.4</v>
      </c>
      <c r="G95" s="315">
        <f t="shared" si="38"/>
        <v>37.200000000000003</v>
      </c>
      <c r="H95" s="320">
        <f t="shared" si="38"/>
        <v>46.8</v>
      </c>
      <c r="I95" s="320">
        <f t="shared" si="38"/>
        <v>43.6</v>
      </c>
      <c r="J95" s="320">
        <f t="shared" si="38"/>
        <v>42.8</v>
      </c>
      <c r="K95" s="316">
        <f t="shared" si="38"/>
        <v>49.2</v>
      </c>
      <c r="L95" s="291">
        <f t="shared" si="38"/>
        <v>96</v>
      </c>
      <c r="M95" s="292">
        <f t="shared" si="38"/>
        <v>51.2</v>
      </c>
      <c r="N95" s="292">
        <f t="shared" si="38"/>
        <v>48.4</v>
      </c>
      <c r="O95" s="292">
        <f t="shared" si="38"/>
        <v>32</v>
      </c>
      <c r="P95" s="292">
        <f t="shared" si="38"/>
        <v>30.8</v>
      </c>
      <c r="Q95" s="295">
        <f t="shared" si="38"/>
        <v>55.2</v>
      </c>
      <c r="S95" s="291">
        <v>20.8</v>
      </c>
      <c r="T95" s="293">
        <v>20.8</v>
      </c>
      <c r="U95" s="325">
        <f t="shared" si="40"/>
        <v>33.6</v>
      </c>
      <c r="V95" s="222"/>
      <c r="W95" s="291">
        <f t="shared" si="41"/>
        <v>48</v>
      </c>
      <c r="X95" s="292">
        <f t="shared" si="41"/>
        <v>51.2</v>
      </c>
      <c r="Y95" s="292">
        <f t="shared" si="41"/>
        <v>51.2</v>
      </c>
      <c r="Z95" s="292">
        <f t="shared" si="41"/>
        <v>47.2</v>
      </c>
      <c r="AA95" s="264"/>
      <c r="AB95" s="264"/>
      <c r="AC95" s="293">
        <f t="shared" si="42"/>
        <v>51.2</v>
      </c>
      <c r="AD95" s="222"/>
      <c r="AE95" s="291">
        <f t="shared" si="39"/>
        <v>66.8</v>
      </c>
      <c r="AF95" s="292">
        <f t="shared" si="39"/>
        <v>64.400000000000006</v>
      </c>
      <c r="AG95" s="292">
        <f t="shared" si="39"/>
        <v>60.8</v>
      </c>
      <c r="AH95" s="292">
        <f t="shared" si="39"/>
        <v>60.4</v>
      </c>
      <c r="AI95" s="292">
        <f t="shared" si="39"/>
        <v>60.8</v>
      </c>
      <c r="AJ95" s="292">
        <f t="shared" si="39"/>
        <v>69.599999999999994</v>
      </c>
      <c r="AK95" s="318"/>
      <c r="AL95" s="318"/>
      <c r="AM95" s="319"/>
    </row>
    <row r="96" spans="1:40" ht="16.5" customHeight="1" x14ac:dyDescent="0.25">
      <c r="A96" s="257">
        <v>371200</v>
      </c>
      <c r="B96" s="258" t="s">
        <v>202</v>
      </c>
      <c r="C96" s="259" t="s">
        <v>528</v>
      </c>
      <c r="D96" s="299" t="s">
        <v>529</v>
      </c>
      <c r="E96" s="261"/>
      <c r="F96" s="262" cm="1">
        <f t="array" ref="F96">SUMPRODUCT((1*($G$9:$AM$9="x")),G96:AM96)</f>
        <v>0</v>
      </c>
      <c r="G96" s="263"/>
      <c r="H96" s="264"/>
      <c r="I96" s="264"/>
      <c r="J96" s="264"/>
      <c r="K96" s="265"/>
      <c r="L96" s="263"/>
      <c r="M96" s="264"/>
      <c r="N96" s="264"/>
      <c r="O96" s="285"/>
      <c r="P96" s="264"/>
      <c r="Q96" s="286"/>
      <c r="S96" s="263"/>
      <c r="T96" s="265"/>
      <c r="U96" s="266"/>
      <c r="V96" s="222"/>
      <c r="W96" s="263"/>
      <c r="X96" s="264"/>
      <c r="Y96" s="264"/>
      <c r="Z96" s="264"/>
      <c r="AA96" s="264"/>
      <c r="AB96" s="264"/>
      <c r="AC96" s="265"/>
      <c r="AD96" s="222"/>
      <c r="AE96" s="263"/>
      <c r="AF96" s="264"/>
      <c r="AG96" s="264"/>
      <c r="AH96" s="264"/>
      <c r="AI96" s="264"/>
      <c r="AJ96" s="264"/>
      <c r="AK96" s="264"/>
      <c r="AL96" s="264"/>
      <c r="AM96" s="265"/>
      <c r="AN96" s="222"/>
    </row>
    <row r="97" spans="1:40" ht="16.5" customHeight="1" x14ac:dyDescent="0.25">
      <c r="A97" s="257">
        <v>344000</v>
      </c>
      <c r="B97" s="258" t="s">
        <v>420</v>
      </c>
      <c r="C97" s="259" t="s">
        <v>528</v>
      </c>
      <c r="D97" s="299" t="s">
        <v>529</v>
      </c>
      <c r="E97" s="261"/>
      <c r="F97" s="262" cm="1">
        <f t="array" ref="F97">SUMPRODUCT((1*($G$9:$AM$9="x")),G97:AM97)</f>
        <v>0</v>
      </c>
      <c r="G97" s="263"/>
      <c r="H97" s="264"/>
      <c r="I97" s="264"/>
      <c r="J97" s="264"/>
      <c r="K97" s="265"/>
      <c r="L97" s="263"/>
      <c r="M97" s="264"/>
      <c r="N97" s="264"/>
      <c r="O97" s="285"/>
      <c r="P97" s="264"/>
      <c r="Q97" s="286"/>
      <c r="S97" s="263"/>
      <c r="T97" s="265"/>
      <c r="U97" s="266"/>
      <c r="V97" s="222"/>
      <c r="W97" s="263"/>
      <c r="X97" s="264"/>
      <c r="Y97" s="264"/>
      <c r="Z97" s="264"/>
      <c r="AA97" s="264"/>
      <c r="AB97" s="264"/>
      <c r="AC97" s="265"/>
      <c r="AD97" s="222"/>
      <c r="AE97" s="263"/>
      <c r="AF97" s="264"/>
      <c r="AG97" s="264"/>
      <c r="AH97" s="264"/>
      <c r="AI97" s="264"/>
      <c r="AJ97" s="264"/>
      <c r="AK97" s="264"/>
      <c r="AL97" s="264"/>
      <c r="AM97" s="265"/>
      <c r="AN97" s="222"/>
    </row>
    <row r="98" spans="1:40" ht="16.5" customHeight="1" x14ac:dyDescent="0.25">
      <c r="A98" s="257">
        <v>300240</v>
      </c>
      <c r="B98" s="258" t="s">
        <v>203</v>
      </c>
      <c r="C98" s="259" t="s">
        <v>528</v>
      </c>
      <c r="D98" s="299" t="s">
        <v>529</v>
      </c>
      <c r="E98" s="261"/>
      <c r="F98" s="262" cm="1">
        <f t="array" ref="F98">SUMPRODUCT((1*($G$9:$AM$9="x")),G98:AM98)</f>
        <v>0</v>
      </c>
      <c r="G98" s="263"/>
      <c r="H98" s="264"/>
      <c r="I98" s="264"/>
      <c r="J98" s="264"/>
      <c r="K98" s="265"/>
      <c r="L98" s="263"/>
      <c r="M98" s="264"/>
      <c r="N98" s="264"/>
      <c r="O98" s="285"/>
      <c r="P98" s="264"/>
      <c r="Q98" s="286"/>
      <c r="S98" s="263"/>
      <c r="T98" s="265"/>
      <c r="U98" s="266"/>
      <c r="V98" s="222"/>
      <c r="W98" s="263"/>
      <c r="X98" s="264"/>
      <c r="Y98" s="264"/>
      <c r="Z98" s="264"/>
      <c r="AA98" s="264"/>
      <c r="AB98" s="264"/>
      <c r="AC98" s="265"/>
      <c r="AD98" s="222"/>
      <c r="AE98" s="263"/>
      <c r="AF98" s="264"/>
      <c r="AG98" s="264"/>
      <c r="AH98" s="264"/>
      <c r="AI98" s="264"/>
      <c r="AJ98" s="264"/>
      <c r="AK98" s="264"/>
      <c r="AL98" s="264"/>
      <c r="AM98" s="265"/>
      <c r="AN98" s="222"/>
    </row>
    <row r="99" spans="1:40" ht="16.5" customHeight="1" x14ac:dyDescent="0.25">
      <c r="A99" s="257">
        <v>340400</v>
      </c>
      <c r="B99" s="258" t="s">
        <v>204</v>
      </c>
      <c r="C99" s="259" t="s">
        <v>528</v>
      </c>
      <c r="D99" s="299" t="s">
        <v>529</v>
      </c>
      <c r="E99" s="261"/>
      <c r="F99" s="262" cm="1">
        <f t="array" ref="F99">SUMPRODUCT((1*($G$9:$AM$9="x")),G99:AM99)</f>
        <v>0</v>
      </c>
      <c r="G99" s="263"/>
      <c r="H99" s="264"/>
      <c r="I99" s="264"/>
      <c r="J99" s="264"/>
      <c r="K99" s="265"/>
      <c r="L99" s="263"/>
      <c r="M99" s="264"/>
      <c r="N99" s="264"/>
      <c r="O99" s="285"/>
      <c r="P99" s="264"/>
      <c r="Q99" s="286"/>
      <c r="S99" s="263"/>
      <c r="T99" s="265"/>
      <c r="U99" s="266"/>
      <c r="V99" s="222"/>
      <c r="W99" s="263"/>
      <c r="X99" s="264"/>
      <c r="Y99" s="264"/>
      <c r="Z99" s="264"/>
      <c r="AA99" s="264"/>
      <c r="AB99" s="264"/>
      <c r="AC99" s="265"/>
      <c r="AD99" s="222"/>
      <c r="AE99" s="263"/>
      <c r="AF99" s="264"/>
      <c r="AG99" s="264"/>
      <c r="AH99" s="264"/>
      <c r="AI99" s="264"/>
      <c r="AJ99" s="264"/>
      <c r="AK99" s="264"/>
      <c r="AL99" s="264"/>
      <c r="AM99" s="265"/>
      <c r="AN99" s="222"/>
    </row>
    <row r="100" spans="1:40" ht="16.5" customHeight="1" x14ac:dyDescent="0.25">
      <c r="A100" s="257">
        <v>340610</v>
      </c>
      <c r="B100" s="258" t="s">
        <v>205</v>
      </c>
      <c r="C100" s="259" t="s">
        <v>528</v>
      </c>
      <c r="D100" s="299" t="s">
        <v>529</v>
      </c>
      <c r="E100" s="261"/>
      <c r="F100" s="262" cm="1">
        <f t="array" ref="F100">SUMPRODUCT((1*($G$9:$AM$9="x")),G100:AM100)</f>
        <v>0</v>
      </c>
      <c r="G100" s="263"/>
      <c r="H100" s="264"/>
      <c r="I100" s="264"/>
      <c r="J100" s="264"/>
      <c r="K100" s="265"/>
      <c r="L100" s="263"/>
      <c r="M100" s="264"/>
      <c r="N100" s="264"/>
      <c r="O100" s="285"/>
      <c r="P100" s="264"/>
      <c r="Q100" s="286"/>
      <c r="S100" s="263"/>
      <c r="T100" s="265"/>
      <c r="U100" s="266"/>
      <c r="V100" s="222"/>
      <c r="W100" s="263"/>
      <c r="X100" s="264"/>
      <c r="Y100" s="264"/>
      <c r="Z100" s="264"/>
      <c r="AA100" s="264"/>
      <c r="AB100" s="264"/>
      <c r="AC100" s="265"/>
      <c r="AD100" s="222"/>
      <c r="AE100" s="263"/>
      <c r="AF100" s="264"/>
      <c r="AG100" s="264"/>
      <c r="AH100" s="264"/>
      <c r="AI100" s="264"/>
      <c r="AJ100" s="264"/>
      <c r="AK100" s="264"/>
      <c r="AL100" s="264"/>
      <c r="AM100" s="265"/>
      <c r="AN100" s="222"/>
    </row>
    <row r="101" spans="1:40" ht="16.5" customHeight="1" x14ac:dyDescent="0.25">
      <c r="A101" s="257">
        <v>340300</v>
      </c>
      <c r="B101" s="258" t="s">
        <v>421</v>
      </c>
      <c r="C101" s="259" t="s">
        <v>528</v>
      </c>
      <c r="D101" s="299" t="s">
        <v>529</v>
      </c>
      <c r="E101" s="261"/>
      <c r="F101" s="262" cm="1">
        <f t="array" ref="F101">SUMPRODUCT((1*($G$9:$AM$9="x")),G101:AM101)</f>
        <v>0</v>
      </c>
      <c r="G101" s="263"/>
      <c r="H101" s="264"/>
      <c r="I101" s="264"/>
      <c r="J101" s="264"/>
      <c r="K101" s="265"/>
      <c r="L101" s="263"/>
      <c r="M101" s="264"/>
      <c r="N101" s="264"/>
      <c r="O101" s="285"/>
      <c r="P101" s="264"/>
      <c r="Q101" s="286"/>
      <c r="S101" s="263"/>
      <c r="T101" s="265"/>
      <c r="U101" s="266"/>
      <c r="V101" s="222"/>
      <c r="W101" s="263"/>
      <c r="X101" s="264"/>
      <c r="Y101" s="264"/>
      <c r="Z101" s="264"/>
      <c r="AA101" s="264"/>
      <c r="AB101" s="264"/>
      <c r="AC101" s="265"/>
      <c r="AD101" s="222"/>
      <c r="AE101" s="263"/>
      <c r="AF101" s="264"/>
      <c r="AG101" s="264"/>
      <c r="AH101" s="264"/>
      <c r="AI101" s="264"/>
      <c r="AJ101" s="264"/>
      <c r="AK101" s="264"/>
      <c r="AL101" s="264"/>
      <c r="AM101" s="265"/>
      <c r="AN101" s="222"/>
    </row>
    <row r="102" spans="1:40" ht="16.5" customHeight="1" x14ac:dyDescent="0.25">
      <c r="A102" s="257">
        <v>341810</v>
      </c>
      <c r="B102" s="258" t="s">
        <v>206</v>
      </c>
      <c r="C102" s="259" t="s">
        <v>528</v>
      </c>
      <c r="D102" s="299" t="s">
        <v>529</v>
      </c>
      <c r="E102" s="261"/>
      <c r="F102" s="262" cm="1">
        <f t="array" ref="F102">SUMPRODUCT((1*($G$9:$AM$9="x")),G102:AM102)</f>
        <v>0</v>
      </c>
      <c r="G102" s="263"/>
      <c r="H102" s="264"/>
      <c r="I102" s="264"/>
      <c r="J102" s="264"/>
      <c r="K102" s="265"/>
      <c r="L102" s="263"/>
      <c r="M102" s="264"/>
      <c r="N102" s="264"/>
      <c r="O102" s="285"/>
      <c r="P102" s="264"/>
      <c r="Q102" s="286"/>
      <c r="S102" s="263"/>
      <c r="T102" s="265"/>
      <c r="U102" s="266"/>
      <c r="V102" s="222"/>
      <c r="W102" s="263"/>
      <c r="X102" s="264"/>
      <c r="Y102" s="264"/>
      <c r="Z102" s="264"/>
      <c r="AA102" s="264"/>
      <c r="AB102" s="264"/>
      <c r="AC102" s="265"/>
      <c r="AD102" s="222"/>
      <c r="AE102" s="263"/>
      <c r="AF102" s="264"/>
      <c r="AG102" s="264"/>
      <c r="AH102" s="264"/>
      <c r="AI102" s="264"/>
      <c r="AJ102" s="264"/>
      <c r="AK102" s="264"/>
      <c r="AL102" s="264"/>
      <c r="AM102" s="265"/>
      <c r="AN102" s="222"/>
    </row>
    <row r="103" spans="1:40" ht="16.5" customHeight="1" x14ac:dyDescent="0.25">
      <c r="A103" s="257">
        <v>343600</v>
      </c>
      <c r="B103" s="258" t="s">
        <v>207</v>
      </c>
      <c r="C103" s="259" t="s">
        <v>528</v>
      </c>
      <c r="D103" s="299" t="s">
        <v>529</v>
      </c>
      <c r="E103" s="261"/>
      <c r="F103" s="262" cm="1">
        <f t="array" ref="F103">SUMPRODUCT((1*($G$9:$AM$9="x")),G103:AM103)</f>
        <v>0</v>
      </c>
      <c r="G103" s="263"/>
      <c r="H103" s="264"/>
      <c r="I103" s="264"/>
      <c r="J103" s="264"/>
      <c r="K103" s="265"/>
      <c r="L103" s="263"/>
      <c r="M103" s="264"/>
      <c r="N103" s="264"/>
      <c r="O103" s="285"/>
      <c r="P103" s="264"/>
      <c r="Q103" s="286"/>
      <c r="S103" s="263"/>
      <c r="T103" s="265"/>
      <c r="U103" s="266"/>
      <c r="V103" s="222"/>
      <c r="W103" s="263"/>
      <c r="X103" s="264"/>
      <c r="Y103" s="264"/>
      <c r="Z103" s="264"/>
      <c r="AA103" s="264"/>
      <c r="AB103" s="264"/>
      <c r="AC103" s="265"/>
      <c r="AD103" s="222"/>
      <c r="AE103" s="263"/>
      <c r="AF103" s="264"/>
      <c r="AG103" s="264"/>
      <c r="AH103" s="264"/>
      <c r="AI103" s="264"/>
      <c r="AJ103" s="264"/>
      <c r="AK103" s="264"/>
      <c r="AL103" s="264"/>
      <c r="AM103" s="265"/>
      <c r="AN103" s="222"/>
    </row>
    <row r="104" spans="1:40" ht="16.5" customHeight="1" x14ac:dyDescent="0.25">
      <c r="A104" s="257">
        <v>399910</v>
      </c>
      <c r="B104" s="258" t="s">
        <v>547</v>
      </c>
      <c r="C104" s="259"/>
      <c r="D104" s="299">
        <v>399910</v>
      </c>
      <c r="E104" s="261">
        <v>3</v>
      </c>
      <c r="F104" s="262" cm="1">
        <f t="array" ref="F104">SUMPRODUCT((1*($G$9:$AM$9="x")),G104:AM104)</f>
        <v>102.30000000000001</v>
      </c>
      <c r="G104" s="263">
        <f>$E104*G$11</f>
        <v>27.900000000000002</v>
      </c>
      <c r="H104" s="264">
        <f>$E104*H$11</f>
        <v>35.099999999999994</v>
      </c>
      <c r="I104" s="264">
        <f>$E104*I$11</f>
        <v>32.700000000000003</v>
      </c>
      <c r="J104" s="264">
        <f>$E104*J$11</f>
        <v>32.099999999999994</v>
      </c>
      <c r="K104" s="265">
        <f>$E104*K$11</f>
        <v>36.900000000000006</v>
      </c>
      <c r="L104" s="263">
        <f>E104*$L$11</f>
        <v>72</v>
      </c>
      <c r="M104" s="264">
        <f>E104*$M$11</f>
        <v>38.400000000000006</v>
      </c>
      <c r="N104" s="264">
        <f>E104*$N$11</f>
        <v>36.299999999999997</v>
      </c>
      <c r="O104" s="264">
        <f>$E104*$O$11</f>
        <v>24</v>
      </c>
      <c r="P104" s="264">
        <f>$E104*$P$11</f>
        <v>23.1</v>
      </c>
      <c r="Q104" s="286">
        <f>E104*$Q$11</f>
        <v>41.400000000000006</v>
      </c>
      <c r="S104" s="263">
        <f>E104*$S$11</f>
        <v>17.100000000000001</v>
      </c>
      <c r="T104" s="265">
        <f>E104*$T$11</f>
        <v>17.100000000000001</v>
      </c>
      <c r="U104" s="266">
        <f>E104*$U$11</f>
        <v>25.200000000000003</v>
      </c>
      <c r="V104" s="222"/>
      <c r="W104" s="263">
        <f>W$11*$E104</f>
        <v>36</v>
      </c>
      <c r="X104" s="264">
        <f>X$11*$E104</f>
        <v>38.400000000000006</v>
      </c>
      <c r="Y104" s="264">
        <f>Y$11*$E104</f>
        <v>38.400000000000006</v>
      </c>
      <c r="Z104" s="264">
        <f>Z$11*$E104</f>
        <v>35.400000000000006</v>
      </c>
      <c r="AA104" s="264"/>
      <c r="AB104" s="264"/>
      <c r="AC104" s="265">
        <f>AC$11*$E104</f>
        <v>38.400000000000006</v>
      </c>
      <c r="AD104" s="222"/>
      <c r="AE104" s="263">
        <f t="shared" ref="AE104:AJ104" si="43">AE$11*$E104</f>
        <v>50.099999999999994</v>
      </c>
      <c r="AF104" s="264">
        <f t="shared" si="43"/>
        <v>48.300000000000004</v>
      </c>
      <c r="AG104" s="264">
        <f t="shared" si="43"/>
        <v>45.599999999999994</v>
      </c>
      <c r="AH104" s="264">
        <f t="shared" si="43"/>
        <v>45.3</v>
      </c>
      <c r="AI104" s="264">
        <f t="shared" si="43"/>
        <v>45.599999999999994</v>
      </c>
      <c r="AJ104" s="264">
        <f t="shared" si="43"/>
        <v>52.199999999999996</v>
      </c>
      <c r="AK104" s="264"/>
      <c r="AL104" s="264"/>
      <c r="AM104" s="265"/>
      <c r="AN104" s="222"/>
    </row>
    <row r="105" spans="1:40" ht="16.5" customHeight="1" x14ac:dyDescent="0.25">
      <c r="A105" s="257">
        <v>337000</v>
      </c>
      <c r="B105" s="258" t="s">
        <v>208</v>
      </c>
      <c r="C105" s="259" t="s">
        <v>528</v>
      </c>
      <c r="D105" s="299" t="s">
        <v>529</v>
      </c>
      <c r="E105" s="261"/>
      <c r="F105" s="262" cm="1">
        <f t="array" ref="F105">SUMPRODUCT((1*($G$9:$AM$9="x")),G105:AM105)</f>
        <v>0</v>
      </c>
      <c r="G105" s="263"/>
      <c r="H105" s="264"/>
      <c r="I105" s="264"/>
      <c r="J105" s="264"/>
      <c r="K105" s="265"/>
      <c r="L105" s="263"/>
      <c r="M105" s="264"/>
      <c r="N105" s="264"/>
      <c r="O105" s="285"/>
      <c r="P105" s="264"/>
      <c r="Q105" s="286"/>
      <c r="S105" s="263"/>
      <c r="T105" s="265"/>
      <c r="U105" s="266"/>
      <c r="V105" s="222"/>
      <c r="W105" s="263"/>
      <c r="X105" s="264"/>
      <c r="Y105" s="264"/>
      <c r="Z105" s="264"/>
      <c r="AA105" s="264"/>
      <c r="AB105" s="264"/>
      <c r="AC105" s="265"/>
      <c r="AD105" s="222"/>
      <c r="AE105" s="263"/>
      <c r="AF105" s="264"/>
      <c r="AG105" s="264"/>
      <c r="AH105" s="264"/>
      <c r="AI105" s="264"/>
      <c r="AJ105" s="264"/>
      <c r="AK105" s="264"/>
      <c r="AL105" s="264"/>
      <c r="AM105" s="265"/>
      <c r="AN105" s="222"/>
    </row>
    <row r="106" spans="1:40" ht="16.5" customHeight="1" x14ac:dyDescent="0.25">
      <c r="A106" s="257">
        <v>370440</v>
      </c>
      <c r="B106" s="258" t="s">
        <v>162</v>
      </c>
      <c r="C106" s="259" t="s">
        <v>528</v>
      </c>
      <c r="D106" s="260">
        <f>A106</f>
        <v>370440</v>
      </c>
      <c r="E106" s="261">
        <v>2</v>
      </c>
      <c r="F106" s="262" cm="1">
        <f t="array" ref="F106">SUMPRODUCT((1*($G$9:$AM$9="x")),G106:AM106)</f>
        <v>68.2</v>
      </c>
      <c r="G106" s="263">
        <f>$E106*G$11</f>
        <v>18.600000000000001</v>
      </c>
      <c r="H106" s="264">
        <f>$E106*H$11</f>
        <v>23.4</v>
      </c>
      <c r="I106" s="264">
        <f>$E106*I$11</f>
        <v>21.8</v>
      </c>
      <c r="J106" s="264">
        <f>$E106*J$11</f>
        <v>21.4</v>
      </c>
      <c r="K106" s="265">
        <f>$E106*K$11</f>
        <v>24.6</v>
      </c>
      <c r="L106" s="263">
        <f>E106*$L$11</f>
        <v>48</v>
      </c>
      <c r="M106" s="264">
        <f>E106*$M$11</f>
        <v>25.6</v>
      </c>
      <c r="N106" s="264">
        <f>E106*$N$11</f>
        <v>24.2</v>
      </c>
      <c r="O106" s="264">
        <f>$E106*$O$11</f>
        <v>16</v>
      </c>
      <c r="P106" s="264">
        <f>$E106*$P$11</f>
        <v>15.4</v>
      </c>
      <c r="Q106" s="286">
        <f>E106*$Q$11</f>
        <v>27.6</v>
      </c>
      <c r="S106" s="263">
        <f>E106*$S$11</f>
        <v>11.4</v>
      </c>
      <c r="T106" s="265">
        <f>E106*$T$11</f>
        <v>11.4</v>
      </c>
      <c r="U106" s="266">
        <f>E106*$U$11</f>
        <v>16.8</v>
      </c>
      <c r="V106" s="222"/>
      <c r="W106" s="263">
        <f>W$11*$E106</f>
        <v>24</v>
      </c>
      <c r="X106" s="264">
        <f>X$11*$E106</f>
        <v>25.6</v>
      </c>
      <c r="Y106" s="264">
        <f>Y$11*$E106</f>
        <v>25.6</v>
      </c>
      <c r="Z106" s="264">
        <f>Z$11*$E106</f>
        <v>23.6</v>
      </c>
      <c r="AA106" s="264"/>
      <c r="AB106" s="264"/>
      <c r="AC106" s="265">
        <f>AC$11*$E106</f>
        <v>25.6</v>
      </c>
      <c r="AD106" s="222"/>
      <c r="AE106" s="263">
        <f t="shared" ref="AE106:AJ106" si="44">AE$11*$E106</f>
        <v>33.4</v>
      </c>
      <c r="AF106" s="264">
        <f t="shared" si="44"/>
        <v>32.200000000000003</v>
      </c>
      <c r="AG106" s="264">
        <f t="shared" si="44"/>
        <v>30.4</v>
      </c>
      <c r="AH106" s="264">
        <f t="shared" si="44"/>
        <v>30.2</v>
      </c>
      <c r="AI106" s="264">
        <f t="shared" si="44"/>
        <v>30.4</v>
      </c>
      <c r="AJ106" s="264">
        <f t="shared" si="44"/>
        <v>34.799999999999997</v>
      </c>
      <c r="AK106" s="264"/>
      <c r="AL106" s="264"/>
      <c r="AM106" s="265"/>
      <c r="AN106" s="222"/>
    </row>
    <row r="107" spans="1:40" ht="16.5" customHeight="1" x14ac:dyDescent="0.25">
      <c r="A107" s="257">
        <v>307050</v>
      </c>
      <c r="B107" s="258" t="s">
        <v>422</v>
      </c>
      <c r="C107" s="259" t="s">
        <v>528</v>
      </c>
      <c r="D107" s="299" t="s">
        <v>529</v>
      </c>
      <c r="E107" s="261"/>
      <c r="F107" s="262" cm="1">
        <f t="array" ref="F107">SUMPRODUCT((1*($G$9:$AM$9="x")),G107:AM107)</f>
        <v>0</v>
      </c>
      <c r="G107" s="263"/>
      <c r="H107" s="264"/>
      <c r="I107" s="264"/>
      <c r="J107" s="264"/>
      <c r="K107" s="265"/>
      <c r="L107" s="263"/>
      <c r="M107" s="264"/>
      <c r="N107" s="264"/>
      <c r="O107" s="285"/>
      <c r="P107" s="264"/>
      <c r="Q107" s="286"/>
      <c r="S107" s="263"/>
      <c r="T107" s="265"/>
      <c r="U107" s="266"/>
      <c r="V107" s="222"/>
      <c r="W107" s="263"/>
      <c r="X107" s="264"/>
      <c r="Y107" s="264"/>
      <c r="Z107" s="264"/>
      <c r="AA107" s="264"/>
      <c r="AB107" s="264"/>
      <c r="AC107" s="265"/>
      <c r="AD107" s="222"/>
      <c r="AE107" s="263"/>
      <c r="AF107" s="264"/>
      <c r="AG107" s="264"/>
      <c r="AH107" s="264"/>
      <c r="AI107" s="264"/>
      <c r="AJ107" s="264"/>
      <c r="AK107" s="264"/>
      <c r="AL107" s="264"/>
      <c r="AM107" s="265"/>
      <c r="AN107" s="222"/>
    </row>
    <row r="108" spans="1:40" ht="16.5" customHeight="1" x14ac:dyDescent="0.25">
      <c r="A108" s="257">
        <v>307000</v>
      </c>
      <c r="B108" s="258" t="s">
        <v>209</v>
      </c>
      <c r="C108" s="259" t="s">
        <v>528</v>
      </c>
      <c r="D108" s="299" t="s">
        <v>529</v>
      </c>
      <c r="E108" s="261"/>
      <c r="F108" s="262" cm="1">
        <f t="array" ref="F108">SUMPRODUCT((1*($G$9:$AM$9="x")),G108:AM108)</f>
        <v>0</v>
      </c>
      <c r="G108" s="263"/>
      <c r="H108" s="264"/>
      <c r="I108" s="264"/>
      <c r="J108" s="264"/>
      <c r="K108" s="265"/>
      <c r="L108" s="263"/>
      <c r="M108" s="264"/>
      <c r="N108" s="264"/>
      <c r="O108" s="285"/>
      <c r="P108" s="264"/>
      <c r="Q108" s="286"/>
      <c r="S108" s="263"/>
      <c r="T108" s="265"/>
      <c r="U108" s="266"/>
      <c r="V108" s="222"/>
      <c r="W108" s="263"/>
      <c r="X108" s="264"/>
      <c r="Y108" s="264"/>
      <c r="Z108" s="264"/>
      <c r="AA108" s="264"/>
      <c r="AB108" s="264"/>
      <c r="AC108" s="265"/>
      <c r="AD108" s="222"/>
      <c r="AE108" s="263"/>
      <c r="AF108" s="264"/>
      <c r="AG108" s="264"/>
      <c r="AH108" s="264"/>
      <c r="AI108" s="264"/>
      <c r="AJ108" s="264"/>
      <c r="AK108" s="264"/>
      <c r="AL108" s="264"/>
      <c r="AM108" s="265"/>
      <c r="AN108" s="222"/>
    </row>
    <row r="109" spans="1:40" ht="16.5" customHeight="1" x14ac:dyDescent="0.25">
      <c r="A109" s="257">
        <v>300050</v>
      </c>
      <c r="B109" s="258" t="s">
        <v>210</v>
      </c>
      <c r="C109" s="259" t="s">
        <v>528</v>
      </c>
      <c r="D109" s="299" t="s">
        <v>529</v>
      </c>
      <c r="E109" s="261"/>
      <c r="F109" s="262" cm="1">
        <f t="array" ref="F109">SUMPRODUCT((1*($G$9:$AM$9="x")),G109:AM109)</f>
        <v>0</v>
      </c>
      <c r="G109" s="263"/>
      <c r="H109" s="264"/>
      <c r="I109" s="264"/>
      <c r="J109" s="264"/>
      <c r="K109" s="265"/>
      <c r="L109" s="263"/>
      <c r="M109" s="264"/>
      <c r="N109" s="264"/>
      <c r="O109" s="285"/>
      <c r="P109" s="264"/>
      <c r="Q109" s="286"/>
      <c r="S109" s="263"/>
      <c r="T109" s="265"/>
      <c r="U109" s="266"/>
      <c r="V109" s="222"/>
      <c r="W109" s="263"/>
      <c r="X109" s="264"/>
      <c r="Y109" s="264"/>
      <c r="Z109" s="264"/>
      <c r="AA109" s="264"/>
      <c r="AB109" s="264"/>
      <c r="AC109" s="265"/>
      <c r="AD109" s="222"/>
      <c r="AE109" s="263"/>
      <c r="AF109" s="264"/>
      <c r="AG109" s="264"/>
      <c r="AH109" s="264"/>
      <c r="AI109" s="264"/>
      <c r="AJ109" s="264"/>
      <c r="AK109" s="264"/>
      <c r="AL109" s="264"/>
      <c r="AM109" s="265"/>
      <c r="AN109" s="222"/>
    </row>
    <row r="110" spans="1:40" ht="16.5" customHeight="1" x14ac:dyDescent="0.25">
      <c r="A110" s="257">
        <v>370020</v>
      </c>
      <c r="B110" s="258" t="s">
        <v>138</v>
      </c>
      <c r="C110" s="259" t="s">
        <v>528</v>
      </c>
      <c r="D110" s="260">
        <f>A110</f>
        <v>370020</v>
      </c>
      <c r="E110" s="261">
        <v>2</v>
      </c>
      <c r="F110" s="262" cm="1">
        <f t="array" ref="F110">SUMPRODUCT((1*($G$9:$AM$9="x")),G110:AM110)</f>
        <v>68.2</v>
      </c>
      <c r="G110" s="263">
        <f>$E110*G$11</f>
        <v>18.600000000000001</v>
      </c>
      <c r="H110" s="264">
        <f t="shared" ref="H110:K124" si="45">$E110*H$11</f>
        <v>23.4</v>
      </c>
      <c r="I110" s="264">
        <f t="shared" si="45"/>
        <v>21.8</v>
      </c>
      <c r="J110" s="264">
        <f t="shared" si="45"/>
        <v>21.4</v>
      </c>
      <c r="K110" s="265">
        <f t="shared" si="45"/>
        <v>24.6</v>
      </c>
      <c r="L110" s="263">
        <f>E110*$L$11</f>
        <v>48</v>
      </c>
      <c r="M110" s="264">
        <f>E110*$M$11</f>
        <v>25.6</v>
      </c>
      <c r="N110" s="264">
        <f>E110*$N$11</f>
        <v>24.2</v>
      </c>
      <c r="O110" s="264">
        <f>$E110*$O$11</f>
        <v>16</v>
      </c>
      <c r="P110" s="264">
        <f>$E110*$P$11</f>
        <v>15.4</v>
      </c>
      <c r="Q110" s="286">
        <f>E110*$Q$11</f>
        <v>27.6</v>
      </c>
      <c r="S110" s="263">
        <f>E110*$S$11</f>
        <v>11.4</v>
      </c>
      <c r="T110" s="265">
        <f>E110*$T$11</f>
        <v>11.4</v>
      </c>
      <c r="U110" s="266">
        <f>E110*$U$11</f>
        <v>16.8</v>
      </c>
      <c r="V110" s="222"/>
      <c r="W110" s="263">
        <f t="shared" ref="W110:Z124" si="46">W$11*$E110</f>
        <v>24</v>
      </c>
      <c r="X110" s="264">
        <f t="shared" si="46"/>
        <v>25.6</v>
      </c>
      <c r="Y110" s="264">
        <f t="shared" si="46"/>
        <v>25.6</v>
      </c>
      <c r="Z110" s="264">
        <f t="shared" si="46"/>
        <v>23.6</v>
      </c>
      <c r="AA110" s="264"/>
      <c r="AB110" s="264"/>
      <c r="AC110" s="265">
        <f>AC$11*$E110</f>
        <v>25.6</v>
      </c>
      <c r="AD110" s="222"/>
      <c r="AE110" s="263">
        <f t="shared" ref="AE110:AJ124" si="47">AE$11*$E110</f>
        <v>33.4</v>
      </c>
      <c r="AF110" s="264">
        <f t="shared" si="47"/>
        <v>32.200000000000003</v>
      </c>
      <c r="AG110" s="264">
        <f t="shared" si="47"/>
        <v>30.4</v>
      </c>
      <c r="AH110" s="264">
        <f t="shared" si="47"/>
        <v>30.2</v>
      </c>
      <c r="AI110" s="264">
        <f t="shared" si="47"/>
        <v>30.4</v>
      </c>
      <c r="AJ110" s="264">
        <f t="shared" si="47"/>
        <v>34.799999999999997</v>
      </c>
      <c r="AK110" s="264"/>
      <c r="AL110" s="264"/>
      <c r="AM110" s="265"/>
      <c r="AN110" s="222"/>
    </row>
    <row r="111" spans="1:40" ht="16.5" customHeight="1" x14ac:dyDescent="0.25">
      <c r="A111" s="257">
        <v>370030</v>
      </c>
      <c r="B111" s="258" t="s">
        <v>139</v>
      </c>
      <c r="C111" s="259" t="s">
        <v>528</v>
      </c>
      <c r="D111" s="260">
        <f>A111</f>
        <v>370030</v>
      </c>
      <c r="E111" s="261">
        <v>2</v>
      </c>
      <c r="F111" s="262" cm="1">
        <f t="array" ref="F111">SUMPRODUCT((1*($G$9:$AM$9="x")),G111:AM111)</f>
        <v>68.2</v>
      </c>
      <c r="G111" s="263">
        <f>$E111*G$11</f>
        <v>18.600000000000001</v>
      </c>
      <c r="H111" s="264">
        <f t="shared" si="45"/>
        <v>23.4</v>
      </c>
      <c r="I111" s="264">
        <f t="shared" si="45"/>
        <v>21.8</v>
      </c>
      <c r="J111" s="264">
        <f t="shared" si="45"/>
        <v>21.4</v>
      </c>
      <c r="K111" s="265">
        <f t="shared" si="45"/>
        <v>24.6</v>
      </c>
      <c r="L111" s="263">
        <f>E111*$L$11</f>
        <v>48</v>
      </c>
      <c r="M111" s="264">
        <f>E111*$M$11</f>
        <v>25.6</v>
      </c>
      <c r="N111" s="264">
        <f>E111*$N$11</f>
        <v>24.2</v>
      </c>
      <c r="O111" s="264">
        <f>$E111*$O$11</f>
        <v>16</v>
      </c>
      <c r="P111" s="264">
        <f>$E111*$P$11</f>
        <v>15.4</v>
      </c>
      <c r="Q111" s="286">
        <f>E111*$Q$11</f>
        <v>27.6</v>
      </c>
      <c r="S111" s="263">
        <f>E111*$S$11</f>
        <v>11.4</v>
      </c>
      <c r="T111" s="265">
        <f>E111*$T$11</f>
        <v>11.4</v>
      </c>
      <c r="U111" s="266">
        <f>E111*$U$11</f>
        <v>16.8</v>
      </c>
      <c r="V111" s="222"/>
      <c r="W111" s="263">
        <f t="shared" si="46"/>
        <v>24</v>
      </c>
      <c r="X111" s="264">
        <f t="shared" si="46"/>
        <v>25.6</v>
      </c>
      <c r="Y111" s="264">
        <f t="shared" si="46"/>
        <v>25.6</v>
      </c>
      <c r="Z111" s="264">
        <f t="shared" si="46"/>
        <v>23.6</v>
      </c>
      <c r="AA111" s="264"/>
      <c r="AB111" s="264"/>
      <c r="AC111" s="265">
        <f>AC$11*$E111</f>
        <v>25.6</v>
      </c>
      <c r="AD111" s="222"/>
      <c r="AE111" s="263">
        <f t="shared" si="47"/>
        <v>33.4</v>
      </c>
      <c r="AF111" s="264">
        <f t="shared" si="47"/>
        <v>32.200000000000003</v>
      </c>
      <c r="AG111" s="264">
        <f t="shared" si="47"/>
        <v>30.4</v>
      </c>
      <c r="AH111" s="264">
        <f t="shared" si="47"/>
        <v>30.2</v>
      </c>
      <c r="AI111" s="264">
        <f t="shared" si="47"/>
        <v>30.4</v>
      </c>
      <c r="AJ111" s="264">
        <f t="shared" si="47"/>
        <v>34.799999999999997</v>
      </c>
      <c r="AK111" s="264"/>
      <c r="AL111" s="264"/>
      <c r="AM111" s="265"/>
      <c r="AN111" s="222"/>
    </row>
    <row r="112" spans="1:40" ht="51" customHeight="1" x14ac:dyDescent="0.25">
      <c r="A112" s="257">
        <v>344500</v>
      </c>
      <c r="B112" s="258" t="s">
        <v>133</v>
      </c>
      <c r="C112" s="259" t="s">
        <v>528</v>
      </c>
      <c r="D112" s="458" t="str">
        <f>D52</f>
        <v>Cavalo mecânico com semirreboque - 22 t</v>
      </c>
      <c r="E112" s="288">
        <v>4</v>
      </c>
      <c r="F112" s="262" cm="1">
        <f t="array" ref="F112">SUMPRODUCT((1*($G$9:$AM$9="x")),G112:AM112)</f>
        <v>136.4</v>
      </c>
      <c r="G112" s="291">
        <f>$E112*G$11</f>
        <v>37.200000000000003</v>
      </c>
      <c r="H112" s="292">
        <f t="shared" si="45"/>
        <v>46.8</v>
      </c>
      <c r="I112" s="292">
        <f t="shared" si="45"/>
        <v>43.6</v>
      </c>
      <c r="J112" s="292">
        <f t="shared" si="45"/>
        <v>42.8</v>
      </c>
      <c r="K112" s="293">
        <f t="shared" si="45"/>
        <v>49.2</v>
      </c>
      <c r="L112" s="291">
        <f>E112*$L$11</f>
        <v>96</v>
      </c>
      <c r="M112" s="292">
        <f>E112*$M$11</f>
        <v>51.2</v>
      </c>
      <c r="N112" s="292">
        <f>E112*$N$11</f>
        <v>48.4</v>
      </c>
      <c r="O112" s="294">
        <f>E112*$O$11</f>
        <v>32</v>
      </c>
      <c r="P112" s="292">
        <f>E112*$P$11</f>
        <v>30.8</v>
      </c>
      <c r="Q112" s="295">
        <f>E112*$Q$11</f>
        <v>55.2</v>
      </c>
      <c r="S112" s="321">
        <f>E112*$S$11</f>
        <v>22.8</v>
      </c>
      <c r="T112" s="322">
        <f>E112*$T$11</f>
        <v>22.8</v>
      </c>
      <c r="U112" s="317">
        <f>E112*$U$11</f>
        <v>33.6</v>
      </c>
      <c r="V112" s="222"/>
      <c r="W112" s="291">
        <f t="shared" si="46"/>
        <v>48</v>
      </c>
      <c r="X112" s="292">
        <f t="shared" si="46"/>
        <v>51.2</v>
      </c>
      <c r="Y112" s="292">
        <f t="shared" si="46"/>
        <v>51.2</v>
      </c>
      <c r="Z112" s="292">
        <f t="shared" si="46"/>
        <v>47.2</v>
      </c>
      <c r="AA112" s="264"/>
      <c r="AB112" s="264"/>
      <c r="AC112" s="293">
        <f>AC$11*$E112</f>
        <v>51.2</v>
      </c>
      <c r="AD112" s="222"/>
      <c r="AE112" s="291">
        <f t="shared" si="47"/>
        <v>66.8</v>
      </c>
      <c r="AF112" s="292">
        <f t="shared" si="47"/>
        <v>64.400000000000006</v>
      </c>
      <c r="AG112" s="292">
        <f t="shared" si="47"/>
        <v>60.8</v>
      </c>
      <c r="AH112" s="292">
        <f t="shared" si="47"/>
        <v>60.4</v>
      </c>
      <c r="AI112" s="292">
        <f t="shared" si="47"/>
        <v>60.8</v>
      </c>
      <c r="AJ112" s="292">
        <f t="shared" si="47"/>
        <v>69.599999999999994</v>
      </c>
      <c r="AK112" s="264"/>
      <c r="AL112" s="264"/>
      <c r="AM112" s="265"/>
      <c r="AN112" s="222"/>
    </row>
    <row r="113" spans="1:40" ht="45.75" customHeight="1" x14ac:dyDescent="0.25">
      <c r="A113" s="257">
        <v>352500</v>
      </c>
      <c r="B113" s="258" t="s">
        <v>65</v>
      </c>
      <c r="C113" s="259" t="s">
        <v>538</v>
      </c>
      <c r="D113" s="458"/>
      <c r="E113" s="288">
        <v>4</v>
      </c>
      <c r="F113" s="262" cm="1">
        <f t="array" ref="F113">SUMPRODUCT((1*($G$9:$AM$9="x")),G113:AM113)</f>
        <v>136.4</v>
      </c>
      <c r="G113" s="291">
        <f t="shared" ref="G113:G124" si="48">$E113*G$11</f>
        <v>37.200000000000003</v>
      </c>
      <c r="H113" s="292">
        <f t="shared" si="45"/>
        <v>46.8</v>
      </c>
      <c r="I113" s="292">
        <f t="shared" si="45"/>
        <v>43.6</v>
      </c>
      <c r="J113" s="292">
        <f t="shared" si="45"/>
        <v>42.8</v>
      </c>
      <c r="K113" s="293">
        <f t="shared" si="45"/>
        <v>49.2</v>
      </c>
      <c r="L113" s="291">
        <f t="shared" ref="L113:L124" si="49">E113*$L$11</f>
        <v>96</v>
      </c>
      <c r="M113" s="292">
        <f t="shared" ref="M113:M124" si="50">E113*$M$11</f>
        <v>51.2</v>
      </c>
      <c r="N113" s="292">
        <f t="shared" ref="N113:N124" si="51">E113*$N$11</f>
        <v>48.4</v>
      </c>
      <c r="O113" s="294">
        <f t="shared" ref="O113:O124" si="52">E113*$O$11</f>
        <v>32</v>
      </c>
      <c r="P113" s="292">
        <f t="shared" ref="P113:P124" si="53">E113*$P$11</f>
        <v>30.8</v>
      </c>
      <c r="Q113" s="295">
        <f t="shared" ref="Q113:Q124" si="54">E113*$Q$11</f>
        <v>55.2</v>
      </c>
      <c r="S113" s="321">
        <f t="shared" ref="S113:S124" si="55">E113*$S$11</f>
        <v>22.8</v>
      </c>
      <c r="T113" s="322">
        <f t="shared" ref="T113:T124" si="56">E113*$T$11</f>
        <v>22.8</v>
      </c>
      <c r="U113" s="317">
        <f t="shared" ref="U113:U124" si="57">E113*$U$11</f>
        <v>33.6</v>
      </c>
      <c r="V113" s="222"/>
      <c r="W113" s="291">
        <f t="shared" si="46"/>
        <v>48</v>
      </c>
      <c r="X113" s="292">
        <f t="shared" si="46"/>
        <v>51.2</v>
      </c>
      <c r="Y113" s="292">
        <f t="shared" si="46"/>
        <v>51.2</v>
      </c>
      <c r="Z113" s="292">
        <f t="shared" si="46"/>
        <v>47.2</v>
      </c>
      <c r="AA113" s="264"/>
      <c r="AB113" s="264"/>
      <c r="AC113" s="293">
        <f t="shared" ref="AC113:AC124" si="58">AC$11*$E113</f>
        <v>51.2</v>
      </c>
      <c r="AD113" s="222"/>
      <c r="AE113" s="291">
        <f t="shared" si="47"/>
        <v>66.8</v>
      </c>
      <c r="AF113" s="292">
        <f t="shared" si="47"/>
        <v>64.400000000000006</v>
      </c>
      <c r="AG113" s="292">
        <f t="shared" si="47"/>
        <v>60.8</v>
      </c>
      <c r="AH113" s="292">
        <f t="shared" si="47"/>
        <v>60.4</v>
      </c>
      <c r="AI113" s="292">
        <f t="shared" si="47"/>
        <v>60.8</v>
      </c>
      <c r="AJ113" s="292">
        <f t="shared" si="47"/>
        <v>69.599999999999994</v>
      </c>
      <c r="AK113" s="326"/>
      <c r="AL113" s="326"/>
      <c r="AM113" s="327"/>
      <c r="AN113" s="314"/>
    </row>
    <row r="114" spans="1:40" ht="29.25" customHeight="1" x14ac:dyDescent="0.25">
      <c r="A114" s="257">
        <v>312000</v>
      </c>
      <c r="B114" s="258" t="s">
        <v>66</v>
      </c>
      <c r="C114" s="259" t="s">
        <v>528</v>
      </c>
      <c r="D114" s="458"/>
      <c r="E114" s="288">
        <v>4</v>
      </c>
      <c r="F114" s="262" cm="1">
        <f t="array" ref="F114">SUMPRODUCT((1*($G$9:$AM$9="x")),G114:AM114)</f>
        <v>136.4</v>
      </c>
      <c r="G114" s="291">
        <f t="shared" si="48"/>
        <v>37.200000000000003</v>
      </c>
      <c r="H114" s="292">
        <f t="shared" si="45"/>
        <v>46.8</v>
      </c>
      <c r="I114" s="292">
        <f t="shared" si="45"/>
        <v>43.6</v>
      </c>
      <c r="J114" s="292">
        <f t="shared" si="45"/>
        <v>42.8</v>
      </c>
      <c r="K114" s="293">
        <f t="shared" si="45"/>
        <v>49.2</v>
      </c>
      <c r="L114" s="291">
        <f t="shared" si="49"/>
        <v>96</v>
      </c>
      <c r="M114" s="292">
        <f t="shared" si="50"/>
        <v>51.2</v>
      </c>
      <c r="N114" s="292">
        <f t="shared" si="51"/>
        <v>48.4</v>
      </c>
      <c r="O114" s="294">
        <f t="shared" si="52"/>
        <v>32</v>
      </c>
      <c r="P114" s="292">
        <f t="shared" si="53"/>
        <v>30.8</v>
      </c>
      <c r="Q114" s="295">
        <f t="shared" si="54"/>
        <v>55.2</v>
      </c>
      <c r="S114" s="321">
        <f t="shared" si="55"/>
        <v>22.8</v>
      </c>
      <c r="T114" s="322">
        <f t="shared" si="56"/>
        <v>22.8</v>
      </c>
      <c r="U114" s="317">
        <f t="shared" si="57"/>
        <v>33.6</v>
      </c>
      <c r="V114" s="222"/>
      <c r="W114" s="291">
        <f t="shared" si="46"/>
        <v>48</v>
      </c>
      <c r="X114" s="292">
        <f t="shared" si="46"/>
        <v>51.2</v>
      </c>
      <c r="Y114" s="292">
        <f t="shared" si="46"/>
        <v>51.2</v>
      </c>
      <c r="Z114" s="292">
        <f t="shared" si="46"/>
        <v>47.2</v>
      </c>
      <c r="AA114" s="264"/>
      <c r="AB114" s="264"/>
      <c r="AC114" s="293">
        <f t="shared" si="58"/>
        <v>51.2</v>
      </c>
      <c r="AD114" s="222"/>
      <c r="AE114" s="291">
        <f t="shared" si="47"/>
        <v>66.8</v>
      </c>
      <c r="AF114" s="292">
        <f t="shared" si="47"/>
        <v>64.400000000000006</v>
      </c>
      <c r="AG114" s="292">
        <f t="shared" si="47"/>
        <v>60.8</v>
      </c>
      <c r="AH114" s="292">
        <f t="shared" si="47"/>
        <v>60.4</v>
      </c>
      <c r="AI114" s="292">
        <f t="shared" si="47"/>
        <v>60.8</v>
      </c>
      <c r="AJ114" s="292">
        <f t="shared" si="47"/>
        <v>69.599999999999994</v>
      </c>
      <c r="AK114" s="326"/>
      <c r="AL114" s="326"/>
      <c r="AM114" s="327"/>
      <c r="AN114" s="314"/>
    </row>
    <row r="115" spans="1:40" ht="29.25" customHeight="1" x14ac:dyDescent="0.25">
      <c r="A115" s="257">
        <v>327530</v>
      </c>
      <c r="B115" s="258" t="s">
        <v>423</v>
      </c>
      <c r="C115" s="259" t="s">
        <v>528</v>
      </c>
      <c r="D115" s="458"/>
      <c r="E115" s="288">
        <v>4</v>
      </c>
      <c r="F115" s="262" cm="1">
        <f t="array" ref="F115">SUMPRODUCT((1*($G$9:$AM$9="x")),G115:AM115)</f>
        <v>136.4</v>
      </c>
      <c r="G115" s="291">
        <f t="shared" si="48"/>
        <v>37.200000000000003</v>
      </c>
      <c r="H115" s="292">
        <f t="shared" si="45"/>
        <v>46.8</v>
      </c>
      <c r="I115" s="292">
        <f t="shared" si="45"/>
        <v>43.6</v>
      </c>
      <c r="J115" s="292">
        <f t="shared" si="45"/>
        <v>42.8</v>
      </c>
      <c r="K115" s="293">
        <f t="shared" si="45"/>
        <v>49.2</v>
      </c>
      <c r="L115" s="291">
        <f t="shared" si="49"/>
        <v>96</v>
      </c>
      <c r="M115" s="292">
        <f t="shared" si="50"/>
        <v>51.2</v>
      </c>
      <c r="N115" s="292">
        <f t="shared" si="51"/>
        <v>48.4</v>
      </c>
      <c r="O115" s="294">
        <f t="shared" si="52"/>
        <v>32</v>
      </c>
      <c r="P115" s="292">
        <f t="shared" si="53"/>
        <v>30.8</v>
      </c>
      <c r="Q115" s="295">
        <f t="shared" si="54"/>
        <v>55.2</v>
      </c>
      <c r="S115" s="321">
        <f t="shared" si="55"/>
        <v>22.8</v>
      </c>
      <c r="T115" s="322">
        <f t="shared" si="56"/>
        <v>22.8</v>
      </c>
      <c r="U115" s="317">
        <f t="shared" si="57"/>
        <v>33.6</v>
      </c>
      <c r="V115" s="222"/>
      <c r="W115" s="291">
        <f t="shared" si="46"/>
        <v>48</v>
      </c>
      <c r="X115" s="292">
        <f t="shared" si="46"/>
        <v>51.2</v>
      </c>
      <c r="Y115" s="292">
        <f t="shared" si="46"/>
        <v>51.2</v>
      </c>
      <c r="Z115" s="292">
        <f t="shared" si="46"/>
        <v>47.2</v>
      </c>
      <c r="AA115" s="264"/>
      <c r="AB115" s="264"/>
      <c r="AC115" s="293">
        <f t="shared" si="58"/>
        <v>51.2</v>
      </c>
      <c r="AD115" s="222"/>
      <c r="AE115" s="291">
        <f t="shared" si="47"/>
        <v>66.8</v>
      </c>
      <c r="AF115" s="292">
        <f t="shared" si="47"/>
        <v>64.400000000000006</v>
      </c>
      <c r="AG115" s="292">
        <f t="shared" si="47"/>
        <v>60.8</v>
      </c>
      <c r="AH115" s="292">
        <f t="shared" si="47"/>
        <v>60.4</v>
      </c>
      <c r="AI115" s="292">
        <f t="shared" si="47"/>
        <v>60.8</v>
      </c>
      <c r="AJ115" s="292">
        <f t="shared" si="47"/>
        <v>69.599999999999994</v>
      </c>
      <c r="AK115" s="326"/>
      <c r="AL115" s="326"/>
      <c r="AM115" s="327"/>
      <c r="AN115" s="314"/>
    </row>
    <row r="116" spans="1:40" ht="16.5" customHeight="1" x14ac:dyDescent="0.25">
      <c r="A116" s="257">
        <v>311400</v>
      </c>
      <c r="B116" s="258" t="s">
        <v>73</v>
      </c>
      <c r="C116" s="259" t="s">
        <v>536</v>
      </c>
      <c r="D116" s="458"/>
      <c r="E116" s="288">
        <v>4</v>
      </c>
      <c r="F116" s="262" cm="1">
        <f t="array" ref="F116">SUMPRODUCT((1*($G$9:$AM$9="x")),G116:AM116)</f>
        <v>136.4</v>
      </c>
      <c r="G116" s="291">
        <f t="shared" si="48"/>
        <v>37.200000000000003</v>
      </c>
      <c r="H116" s="292">
        <f t="shared" si="45"/>
        <v>46.8</v>
      </c>
      <c r="I116" s="292">
        <f t="shared" si="45"/>
        <v>43.6</v>
      </c>
      <c r="J116" s="292">
        <f t="shared" si="45"/>
        <v>42.8</v>
      </c>
      <c r="K116" s="293">
        <f t="shared" si="45"/>
        <v>49.2</v>
      </c>
      <c r="L116" s="291">
        <f t="shared" si="49"/>
        <v>96</v>
      </c>
      <c r="M116" s="292">
        <f t="shared" si="50"/>
        <v>51.2</v>
      </c>
      <c r="N116" s="292">
        <f t="shared" si="51"/>
        <v>48.4</v>
      </c>
      <c r="O116" s="294">
        <f t="shared" si="52"/>
        <v>32</v>
      </c>
      <c r="P116" s="292">
        <f t="shared" si="53"/>
        <v>30.8</v>
      </c>
      <c r="Q116" s="295">
        <f t="shared" si="54"/>
        <v>55.2</v>
      </c>
      <c r="S116" s="321">
        <f t="shared" si="55"/>
        <v>22.8</v>
      </c>
      <c r="T116" s="322">
        <f t="shared" si="56"/>
        <v>22.8</v>
      </c>
      <c r="U116" s="317">
        <f t="shared" si="57"/>
        <v>33.6</v>
      </c>
      <c r="V116" s="222"/>
      <c r="W116" s="291">
        <f t="shared" si="46"/>
        <v>48</v>
      </c>
      <c r="X116" s="292">
        <f t="shared" si="46"/>
        <v>51.2</v>
      </c>
      <c r="Y116" s="292">
        <f t="shared" si="46"/>
        <v>51.2</v>
      </c>
      <c r="Z116" s="292">
        <f t="shared" si="46"/>
        <v>47.2</v>
      </c>
      <c r="AA116" s="264"/>
      <c r="AB116" s="264"/>
      <c r="AC116" s="293">
        <f t="shared" si="58"/>
        <v>51.2</v>
      </c>
      <c r="AD116" s="222"/>
      <c r="AE116" s="291">
        <f t="shared" si="47"/>
        <v>66.8</v>
      </c>
      <c r="AF116" s="292">
        <f t="shared" si="47"/>
        <v>64.400000000000006</v>
      </c>
      <c r="AG116" s="292">
        <f t="shared" si="47"/>
        <v>60.8</v>
      </c>
      <c r="AH116" s="292">
        <f t="shared" si="47"/>
        <v>60.4</v>
      </c>
      <c r="AI116" s="292">
        <f t="shared" si="47"/>
        <v>60.8</v>
      </c>
      <c r="AJ116" s="292">
        <f t="shared" si="47"/>
        <v>69.599999999999994</v>
      </c>
      <c r="AK116" s="326"/>
      <c r="AL116" s="326"/>
      <c r="AM116" s="327"/>
      <c r="AN116" s="314"/>
    </row>
    <row r="117" spans="1:40" ht="16.5" customHeight="1" x14ac:dyDescent="0.25">
      <c r="A117" s="257">
        <v>321400</v>
      </c>
      <c r="B117" s="258" t="s">
        <v>74</v>
      </c>
      <c r="C117" s="259" t="s">
        <v>528</v>
      </c>
      <c r="D117" s="458"/>
      <c r="E117" s="288">
        <v>4</v>
      </c>
      <c r="F117" s="262" cm="1">
        <f t="array" ref="F117">SUMPRODUCT((1*($G$9:$AM$9="x")),G117:AM117)</f>
        <v>136.4</v>
      </c>
      <c r="G117" s="291">
        <f t="shared" si="48"/>
        <v>37.200000000000003</v>
      </c>
      <c r="H117" s="292">
        <f t="shared" si="45"/>
        <v>46.8</v>
      </c>
      <c r="I117" s="292">
        <f t="shared" si="45"/>
        <v>43.6</v>
      </c>
      <c r="J117" s="292">
        <f t="shared" si="45"/>
        <v>42.8</v>
      </c>
      <c r="K117" s="293">
        <f t="shared" si="45"/>
        <v>49.2</v>
      </c>
      <c r="L117" s="291">
        <f t="shared" si="49"/>
        <v>96</v>
      </c>
      <c r="M117" s="292">
        <f t="shared" si="50"/>
        <v>51.2</v>
      </c>
      <c r="N117" s="292">
        <f t="shared" si="51"/>
        <v>48.4</v>
      </c>
      <c r="O117" s="294">
        <f t="shared" si="52"/>
        <v>32</v>
      </c>
      <c r="P117" s="292">
        <f t="shared" si="53"/>
        <v>30.8</v>
      </c>
      <c r="Q117" s="295">
        <f t="shared" si="54"/>
        <v>55.2</v>
      </c>
      <c r="S117" s="321">
        <f t="shared" si="55"/>
        <v>22.8</v>
      </c>
      <c r="T117" s="322">
        <f t="shared" si="56"/>
        <v>22.8</v>
      </c>
      <c r="U117" s="317">
        <f t="shared" si="57"/>
        <v>33.6</v>
      </c>
      <c r="V117" s="222"/>
      <c r="W117" s="291">
        <f t="shared" si="46"/>
        <v>48</v>
      </c>
      <c r="X117" s="292">
        <f t="shared" si="46"/>
        <v>51.2</v>
      </c>
      <c r="Y117" s="292">
        <f t="shared" si="46"/>
        <v>51.2</v>
      </c>
      <c r="Z117" s="292">
        <f t="shared" si="46"/>
        <v>47.2</v>
      </c>
      <c r="AA117" s="264"/>
      <c r="AB117" s="264"/>
      <c r="AC117" s="293">
        <f t="shared" si="58"/>
        <v>51.2</v>
      </c>
      <c r="AD117" s="222"/>
      <c r="AE117" s="291">
        <f t="shared" si="47"/>
        <v>66.8</v>
      </c>
      <c r="AF117" s="292">
        <f t="shared" si="47"/>
        <v>64.400000000000006</v>
      </c>
      <c r="AG117" s="292">
        <f t="shared" si="47"/>
        <v>60.8</v>
      </c>
      <c r="AH117" s="292">
        <f t="shared" si="47"/>
        <v>60.4</v>
      </c>
      <c r="AI117" s="292">
        <f t="shared" si="47"/>
        <v>60.8</v>
      </c>
      <c r="AJ117" s="292">
        <f t="shared" si="47"/>
        <v>69.599999999999994</v>
      </c>
      <c r="AK117" s="326"/>
      <c r="AL117" s="326"/>
      <c r="AM117" s="327"/>
      <c r="AN117" s="314"/>
    </row>
    <row r="118" spans="1:40" ht="16.5" customHeight="1" x14ac:dyDescent="0.25">
      <c r="A118" s="257">
        <v>331400</v>
      </c>
      <c r="B118" s="258" t="s">
        <v>75</v>
      </c>
      <c r="C118" s="259" t="s">
        <v>538</v>
      </c>
      <c r="D118" s="458"/>
      <c r="E118" s="288">
        <v>4</v>
      </c>
      <c r="F118" s="262" cm="1">
        <f t="array" ref="F118">SUMPRODUCT((1*($G$9:$AM$9="x")),G118:AM118)</f>
        <v>136.4</v>
      </c>
      <c r="G118" s="291">
        <f t="shared" si="48"/>
        <v>37.200000000000003</v>
      </c>
      <c r="H118" s="292">
        <f t="shared" si="45"/>
        <v>46.8</v>
      </c>
      <c r="I118" s="292">
        <f t="shared" si="45"/>
        <v>43.6</v>
      </c>
      <c r="J118" s="292">
        <f t="shared" si="45"/>
        <v>42.8</v>
      </c>
      <c r="K118" s="293">
        <f t="shared" si="45"/>
        <v>49.2</v>
      </c>
      <c r="L118" s="291">
        <f t="shared" si="49"/>
        <v>96</v>
      </c>
      <c r="M118" s="292">
        <f t="shared" si="50"/>
        <v>51.2</v>
      </c>
      <c r="N118" s="292">
        <f t="shared" si="51"/>
        <v>48.4</v>
      </c>
      <c r="O118" s="294">
        <f t="shared" si="52"/>
        <v>32</v>
      </c>
      <c r="P118" s="292">
        <f t="shared" si="53"/>
        <v>30.8</v>
      </c>
      <c r="Q118" s="295">
        <f t="shared" si="54"/>
        <v>55.2</v>
      </c>
      <c r="S118" s="321">
        <f t="shared" si="55"/>
        <v>22.8</v>
      </c>
      <c r="T118" s="322">
        <f t="shared" si="56"/>
        <v>22.8</v>
      </c>
      <c r="U118" s="317">
        <f t="shared" si="57"/>
        <v>33.6</v>
      </c>
      <c r="V118" s="222"/>
      <c r="W118" s="291">
        <f t="shared" si="46"/>
        <v>48</v>
      </c>
      <c r="X118" s="292">
        <f t="shared" si="46"/>
        <v>51.2</v>
      </c>
      <c r="Y118" s="292">
        <f t="shared" si="46"/>
        <v>51.2</v>
      </c>
      <c r="Z118" s="292">
        <f t="shared" si="46"/>
        <v>47.2</v>
      </c>
      <c r="AA118" s="264"/>
      <c r="AB118" s="264"/>
      <c r="AC118" s="293">
        <f t="shared" si="58"/>
        <v>51.2</v>
      </c>
      <c r="AD118" s="222"/>
      <c r="AE118" s="291">
        <f t="shared" si="47"/>
        <v>66.8</v>
      </c>
      <c r="AF118" s="292">
        <f t="shared" si="47"/>
        <v>64.400000000000006</v>
      </c>
      <c r="AG118" s="292">
        <f t="shared" si="47"/>
        <v>60.8</v>
      </c>
      <c r="AH118" s="292">
        <f t="shared" si="47"/>
        <v>60.4</v>
      </c>
      <c r="AI118" s="292">
        <f t="shared" si="47"/>
        <v>60.8</v>
      </c>
      <c r="AJ118" s="292">
        <f t="shared" si="47"/>
        <v>69.599999999999994</v>
      </c>
      <c r="AK118" s="326"/>
      <c r="AL118" s="326"/>
      <c r="AM118" s="327"/>
      <c r="AN118" s="314"/>
    </row>
    <row r="119" spans="1:40" ht="16.5" customHeight="1" x14ac:dyDescent="0.25">
      <c r="A119" s="257">
        <v>311200</v>
      </c>
      <c r="B119" s="258" t="s">
        <v>67</v>
      </c>
      <c r="C119" s="259" t="s">
        <v>536</v>
      </c>
      <c r="D119" s="458"/>
      <c r="E119" s="288">
        <v>4</v>
      </c>
      <c r="F119" s="262" cm="1">
        <f t="array" ref="F119">SUMPRODUCT((1*($G$9:$AM$9="x")),G119:AM119)</f>
        <v>136.4</v>
      </c>
      <c r="G119" s="291">
        <f t="shared" si="48"/>
        <v>37.200000000000003</v>
      </c>
      <c r="H119" s="292">
        <f t="shared" si="45"/>
        <v>46.8</v>
      </c>
      <c r="I119" s="292">
        <f t="shared" si="45"/>
        <v>43.6</v>
      </c>
      <c r="J119" s="292">
        <f t="shared" si="45"/>
        <v>42.8</v>
      </c>
      <c r="K119" s="293">
        <f t="shared" si="45"/>
        <v>49.2</v>
      </c>
      <c r="L119" s="291">
        <f t="shared" si="49"/>
        <v>96</v>
      </c>
      <c r="M119" s="292">
        <f t="shared" si="50"/>
        <v>51.2</v>
      </c>
      <c r="N119" s="292">
        <f t="shared" si="51"/>
        <v>48.4</v>
      </c>
      <c r="O119" s="294">
        <f t="shared" si="52"/>
        <v>32</v>
      </c>
      <c r="P119" s="292">
        <f t="shared" si="53"/>
        <v>30.8</v>
      </c>
      <c r="Q119" s="295">
        <f t="shared" si="54"/>
        <v>55.2</v>
      </c>
      <c r="S119" s="321">
        <f t="shared" si="55"/>
        <v>22.8</v>
      </c>
      <c r="T119" s="322">
        <f t="shared" si="56"/>
        <v>22.8</v>
      </c>
      <c r="U119" s="317">
        <f t="shared" si="57"/>
        <v>33.6</v>
      </c>
      <c r="V119" s="222"/>
      <c r="W119" s="291">
        <f t="shared" si="46"/>
        <v>48</v>
      </c>
      <c r="X119" s="292">
        <f t="shared" si="46"/>
        <v>51.2</v>
      </c>
      <c r="Y119" s="292">
        <f t="shared" si="46"/>
        <v>51.2</v>
      </c>
      <c r="Z119" s="292">
        <f t="shared" si="46"/>
        <v>47.2</v>
      </c>
      <c r="AA119" s="264"/>
      <c r="AB119" s="264"/>
      <c r="AC119" s="293">
        <f t="shared" si="58"/>
        <v>51.2</v>
      </c>
      <c r="AD119" s="222"/>
      <c r="AE119" s="291">
        <f t="shared" si="47"/>
        <v>66.8</v>
      </c>
      <c r="AF119" s="292">
        <f t="shared" si="47"/>
        <v>64.400000000000006</v>
      </c>
      <c r="AG119" s="292">
        <f t="shared" si="47"/>
        <v>60.8</v>
      </c>
      <c r="AH119" s="292">
        <f t="shared" si="47"/>
        <v>60.4</v>
      </c>
      <c r="AI119" s="292">
        <f t="shared" si="47"/>
        <v>60.8</v>
      </c>
      <c r="AJ119" s="292">
        <f t="shared" si="47"/>
        <v>69.599999999999994</v>
      </c>
      <c r="AK119" s="326"/>
      <c r="AL119" s="326"/>
      <c r="AM119" s="327"/>
      <c r="AN119" s="314"/>
    </row>
    <row r="120" spans="1:40" ht="16.5" customHeight="1" x14ac:dyDescent="0.25">
      <c r="A120" s="257">
        <v>321200</v>
      </c>
      <c r="B120" s="258" t="s">
        <v>68</v>
      </c>
      <c r="C120" s="259" t="s">
        <v>528</v>
      </c>
      <c r="D120" s="458"/>
      <c r="E120" s="288">
        <v>4</v>
      </c>
      <c r="F120" s="262" cm="1">
        <f t="array" ref="F120">SUMPRODUCT((1*($G$9:$AM$9="x")),G120:AM120)</f>
        <v>136.4</v>
      </c>
      <c r="G120" s="291">
        <f t="shared" si="48"/>
        <v>37.200000000000003</v>
      </c>
      <c r="H120" s="292">
        <f t="shared" si="45"/>
        <v>46.8</v>
      </c>
      <c r="I120" s="292">
        <f t="shared" si="45"/>
        <v>43.6</v>
      </c>
      <c r="J120" s="292">
        <f t="shared" si="45"/>
        <v>42.8</v>
      </c>
      <c r="K120" s="293">
        <f t="shared" si="45"/>
        <v>49.2</v>
      </c>
      <c r="L120" s="291">
        <f t="shared" si="49"/>
        <v>96</v>
      </c>
      <c r="M120" s="292">
        <f t="shared" si="50"/>
        <v>51.2</v>
      </c>
      <c r="N120" s="292">
        <f t="shared" si="51"/>
        <v>48.4</v>
      </c>
      <c r="O120" s="294">
        <f t="shared" si="52"/>
        <v>32</v>
      </c>
      <c r="P120" s="292">
        <f t="shared" si="53"/>
        <v>30.8</v>
      </c>
      <c r="Q120" s="295">
        <f t="shared" si="54"/>
        <v>55.2</v>
      </c>
      <c r="S120" s="321">
        <f t="shared" si="55"/>
        <v>22.8</v>
      </c>
      <c r="T120" s="322">
        <f t="shared" si="56"/>
        <v>22.8</v>
      </c>
      <c r="U120" s="317">
        <f t="shared" si="57"/>
        <v>33.6</v>
      </c>
      <c r="V120" s="222"/>
      <c r="W120" s="291">
        <f t="shared" si="46"/>
        <v>48</v>
      </c>
      <c r="X120" s="292">
        <f t="shared" si="46"/>
        <v>51.2</v>
      </c>
      <c r="Y120" s="292">
        <f t="shared" si="46"/>
        <v>51.2</v>
      </c>
      <c r="Z120" s="292">
        <f t="shared" si="46"/>
        <v>47.2</v>
      </c>
      <c r="AA120" s="264"/>
      <c r="AB120" s="264"/>
      <c r="AC120" s="293">
        <f t="shared" si="58"/>
        <v>51.2</v>
      </c>
      <c r="AD120" s="222"/>
      <c r="AE120" s="291">
        <f t="shared" si="47"/>
        <v>66.8</v>
      </c>
      <c r="AF120" s="292">
        <f t="shared" si="47"/>
        <v>64.400000000000006</v>
      </c>
      <c r="AG120" s="292">
        <f t="shared" si="47"/>
        <v>60.8</v>
      </c>
      <c r="AH120" s="292">
        <f t="shared" si="47"/>
        <v>60.4</v>
      </c>
      <c r="AI120" s="292">
        <f t="shared" si="47"/>
        <v>60.8</v>
      </c>
      <c r="AJ120" s="292">
        <f t="shared" si="47"/>
        <v>69.599999999999994</v>
      </c>
      <c r="AK120" s="326"/>
      <c r="AL120" s="326"/>
      <c r="AM120" s="327"/>
      <c r="AN120" s="314"/>
    </row>
    <row r="121" spans="1:40" ht="16.5" customHeight="1" x14ac:dyDescent="0.25">
      <c r="A121" s="257">
        <v>331200</v>
      </c>
      <c r="B121" s="258" t="s">
        <v>69</v>
      </c>
      <c r="C121" s="259" t="s">
        <v>538</v>
      </c>
      <c r="D121" s="458"/>
      <c r="E121" s="288">
        <v>4</v>
      </c>
      <c r="F121" s="262" cm="1">
        <f t="array" ref="F121">SUMPRODUCT((1*($G$9:$AM$9="x")),G121:AM121)</f>
        <v>136.4</v>
      </c>
      <c r="G121" s="291">
        <f t="shared" si="48"/>
        <v>37.200000000000003</v>
      </c>
      <c r="H121" s="292">
        <f t="shared" si="45"/>
        <v>46.8</v>
      </c>
      <c r="I121" s="292">
        <f t="shared" si="45"/>
        <v>43.6</v>
      </c>
      <c r="J121" s="292">
        <f t="shared" si="45"/>
        <v>42.8</v>
      </c>
      <c r="K121" s="293">
        <f t="shared" si="45"/>
        <v>49.2</v>
      </c>
      <c r="L121" s="291">
        <f t="shared" si="49"/>
        <v>96</v>
      </c>
      <c r="M121" s="292">
        <f t="shared" si="50"/>
        <v>51.2</v>
      </c>
      <c r="N121" s="292">
        <f t="shared" si="51"/>
        <v>48.4</v>
      </c>
      <c r="O121" s="294">
        <f t="shared" si="52"/>
        <v>32</v>
      </c>
      <c r="P121" s="292">
        <f t="shared" si="53"/>
        <v>30.8</v>
      </c>
      <c r="Q121" s="295">
        <f t="shared" si="54"/>
        <v>55.2</v>
      </c>
      <c r="S121" s="321">
        <f t="shared" si="55"/>
        <v>22.8</v>
      </c>
      <c r="T121" s="322">
        <f t="shared" si="56"/>
        <v>22.8</v>
      </c>
      <c r="U121" s="317">
        <f t="shared" si="57"/>
        <v>33.6</v>
      </c>
      <c r="V121" s="222"/>
      <c r="W121" s="291">
        <f t="shared" si="46"/>
        <v>48</v>
      </c>
      <c r="X121" s="292">
        <f t="shared" si="46"/>
        <v>51.2</v>
      </c>
      <c r="Y121" s="292">
        <f t="shared" si="46"/>
        <v>51.2</v>
      </c>
      <c r="Z121" s="292">
        <f t="shared" si="46"/>
        <v>47.2</v>
      </c>
      <c r="AA121" s="264"/>
      <c r="AB121" s="264"/>
      <c r="AC121" s="293">
        <f t="shared" si="58"/>
        <v>51.2</v>
      </c>
      <c r="AD121" s="222"/>
      <c r="AE121" s="291">
        <f t="shared" si="47"/>
        <v>66.8</v>
      </c>
      <c r="AF121" s="292">
        <f t="shared" si="47"/>
        <v>64.400000000000006</v>
      </c>
      <c r="AG121" s="292">
        <f t="shared" si="47"/>
        <v>60.8</v>
      </c>
      <c r="AH121" s="292">
        <f t="shared" si="47"/>
        <v>60.4</v>
      </c>
      <c r="AI121" s="292">
        <f t="shared" si="47"/>
        <v>60.8</v>
      </c>
      <c r="AJ121" s="292">
        <f t="shared" si="47"/>
        <v>69.599999999999994</v>
      </c>
      <c r="AK121" s="326"/>
      <c r="AL121" s="326"/>
      <c r="AM121" s="327"/>
      <c r="AN121" s="314"/>
    </row>
    <row r="122" spans="1:40" ht="16.5" customHeight="1" x14ac:dyDescent="0.25">
      <c r="A122" s="257">
        <v>310400</v>
      </c>
      <c r="B122" s="258" t="s">
        <v>70</v>
      </c>
      <c r="C122" s="259" t="s">
        <v>536</v>
      </c>
      <c r="D122" s="458"/>
      <c r="E122" s="288">
        <v>4</v>
      </c>
      <c r="F122" s="262" cm="1">
        <f t="array" ref="F122">SUMPRODUCT((1*($G$9:$AM$9="x")),G122:AM122)</f>
        <v>136.4</v>
      </c>
      <c r="G122" s="291">
        <f t="shared" si="48"/>
        <v>37.200000000000003</v>
      </c>
      <c r="H122" s="292">
        <f t="shared" si="45"/>
        <v>46.8</v>
      </c>
      <c r="I122" s="292">
        <f t="shared" si="45"/>
        <v>43.6</v>
      </c>
      <c r="J122" s="292">
        <f t="shared" si="45"/>
        <v>42.8</v>
      </c>
      <c r="K122" s="293">
        <f t="shared" si="45"/>
        <v>49.2</v>
      </c>
      <c r="L122" s="291">
        <f t="shared" si="49"/>
        <v>96</v>
      </c>
      <c r="M122" s="292">
        <f t="shared" si="50"/>
        <v>51.2</v>
      </c>
      <c r="N122" s="292">
        <f t="shared" si="51"/>
        <v>48.4</v>
      </c>
      <c r="O122" s="294">
        <f t="shared" si="52"/>
        <v>32</v>
      </c>
      <c r="P122" s="292">
        <f t="shared" si="53"/>
        <v>30.8</v>
      </c>
      <c r="Q122" s="295">
        <f t="shared" si="54"/>
        <v>55.2</v>
      </c>
      <c r="S122" s="321">
        <f t="shared" si="55"/>
        <v>22.8</v>
      </c>
      <c r="T122" s="322">
        <f t="shared" si="56"/>
        <v>22.8</v>
      </c>
      <c r="U122" s="317">
        <f t="shared" si="57"/>
        <v>33.6</v>
      </c>
      <c r="V122" s="222"/>
      <c r="W122" s="291">
        <f t="shared" si="46"/>
        <v>48</v>
      </c>
      <c r="X122" s="292">
        <f t="shared" si="46"/>
        <v>51.2</v>
      </c>
      <c r="Y122" s="292">
        <f t="shared" si="46"/>
        <v>51.2</v>
      </c>
      <c r="Z122" s="292">
        <f t="shared" si="46"/>
        <v>47.2</v>
      </c>
      <c r="AA122" s="264"/>
      <c r="AB122" s="264"/>
      <c r="AC122" s="293">
        <f t="shared" si="58"/>
        <v>51.2</v>
      </c>
      <c r="AD122" s="222"/>
      <c r="AE122" s="291">
        <f t="shared" si="47"/>
        <v>66.8</v>
      </c>
      <c r="AF122" s="292">
        <f t="shared" si="47"/>
        <v>64.400000000000006</v>
      </c>
      <c r="AG122" s="292">
        <f t="shared" si="47"/>
        <v>60.8</v>
      </c>
      <c r="AH122" s="292">
        <f t="shared" si="47"/>
        <v>60.4</v>
      </c>
      <c r="AI122" s="292">
        <f t="shared" si="47"/>
        <v>60.8</v>
      </c>
      <c r="AJ122" s="292">
        <f t="shared" si="47"/>
        <v>69.599999999999994</v>
      </c>
      <c r="AK122" s="326"/>
      <c r="AL122" s="326"/>
      <c r="AM122" s="327"/>
      <c r="AN122" s="314"/>
    </row>
    <row r="123" spans="1:40" ht="16.5" customHeight="1" x14ac:dyDescent="0.25">
      <c r="A123" s="257">
        <v>320400</v>
      </c>
      <c r="B123" s="258" t="s">
        <v>71</v>
      </c>
      <c r="C123" s="259" t="s">
        <v>528</v>
      </c>
      <c r="D123" s="458"/>
      <c r="E123" s="288">
        <v>4</v>
      </c>
      <c r="F123" s="262" cm="1">
        <f t="array" ref="F123">SUMPRODUCT((1*($G$9:$AM$9="x")),G123:AM123)</f>
        <v>136.4</v>
      </c>
      <c r="G123" s="291">
        <f t="shared" si="48"/>
        <v>37.200000000000003</v>
      </c>
      <c r="H123" s="292">
        <f t="shared" si="45"/>
        <v>46.8</v>
      </c>
      <c r="I123" s="292">
        <f t="shared" si="45"/>
        <v>43.6</v>
      </c>
      <c r="J123" s="292">
        <f t="shared" si="45"/>
        <v>42.8</v>
      </c>
      <c r="K123" s="293">
        <f t="shared" si="45"/>
        <v>49.2</v>
      </c>
      <c r="L123" s="291">
        <f t="shared" si="49"/>
        <v>96</v>
      </c>
      <c r="M123" s="292">
        <f t="shared" si="50"/>
        <v>51.2</v>
      </c>
      <c r="N123" s="292">
        <f t="shared" si="51"/>
        <v>48.4</v>
      </c>
      <c r="O123" s="294">
        <f t="shared" si="52"/>
        <v>32</v>
      </c>
      <c r="P123" s="292">
        <f t="shared" si="53"/>
        <v>30.8</v>
      </c>
      <c r="Q123" s="295">
        <f t="shared" si="54"/>
        <v>55.2</v>
      </c>
      <c r="S123" s="321">
        <f t="shared" si="55"/>
        <v>22.8</v>
      </c>
      <c r="T123" s="322">
        <f t="shared" si="56"/>
        <v>22.8</v>
      </c>
      <c r="U123" s="317">
        <f t="shared" si="57"/>
        <v>33.6</v>
      </c>
      <c r="V123" s="222"/>
      <c r="W123" s="291">
        <f t="shared" si="46"/>
        <v>48</v>
      </c>
      <c r="X123" s="292">
        <f t="shared" si="46"/>
        <v>51.2</v>
      </c>
      <c r="Y123" s="292">
        <f t="shared" si="46"/>
        <v>51.2</v>
      </c>
      <c r="Z123" s="292">
        <f t="shared" si="46"/>
        <v>47.2</v>
      </c>
      <c r="AA123" s="264"/>
      <c r="AB123" s="264"/>
      <c r="AC123" s="293">
        <f t="shared" si="58"/>
        <v>51.2</v>
      </c>
      <c r="AD123" s="222"/>
      <c r="AE123" s="291">
        <f t="shared" si="47"/>
        <v>66.8</v>
      </c>
      <c r="AF123" s="292">
        <f t="shared" si="47"/>
        <v>64.400000000000006</v>
      </c>
      <c r="AG123" s="292">
        <f t="shared" si="47"/>
        <v>60.8</v>
      </c>
      <c r="AH123" s="292">
        <f t="shared" si="47"/>
        <v>60.4</v>
      </c>
      <c r="AI123" s="292">
        <f t="shared" si="47"/>
        <v>60.8</v>
      </c>
      <c r="AJ123" s="292">
        <f t="shared" si="47"/>
        <v>69.599999999999994</v>
      </c>
      <c r="AK123" s="326"/>
      <c r="AL123" s="326"/>
      <c r="AM123" s="327"/>
      <c r="AN123" s="314"/>
    </row>
    <row r="124" spans="1:40" ht="16.5" customHeight="1" x14ac:dyDescent="0.25">
      <c r="A124" s="257">
        <v>330400</v>
      </c>
      <c r="B124" s="258" t="s">
        <v>72</v>
      </c>
      <c r="C124" s="259" t="s">
        <v>538</v>
      </c>
      <c r="D124" s="458"/>
      <c r="E124" s="288">
        <v>4</v>
      </c>
      <c r="F124" s="262" cm="1">
        <f t="array" ref="F124">SUMPRODUCT((1*($G$9:$AM$9="x")),G124:AM124)</f>
        <v>136.4</v>
      </c>
      <c r="G124" s="291">
        <f t="shared" si="48"/>
        <v>37.200000000000003</v>
      </c>
      <c r="H124" s="292">
        <f t="shared" si="45"/>
        <v>46.8</v>
      </c>
      <c r="I124" s="292">
        <f t="shared" si="45"/>
        <v>43.6</v>
      </c>
      <c r="J124" s="292">
        <f t="shared" si="45"/>
        <v>42.8</v>
      </c>
      <c r="K124" s="293">
        <f t="shared" si="45"/>
        <v>49.2</v>
      </c>
      <c r="L124" s="291">
        <f t="shared" si="49"/>
        <v>96</v>
      </c>
      <c r="M124" s="292">
        <f t="shared" si="50"/>
        <v>51.2</v>
      </c>
      <c r="N124" s="292">
        <f t="shared" si="51"/>
        <v>48.4</v>
      </c>
      <c r="O124" s="294">
        <f t="shared" si="52"/>
        <v>32</v>
      </c>
      <c r="P124" s="292">
        <f t="shared" si="53"/>
        <v>30.8</v>
      </c>
      <c r="Q124" s="295">
        <f t="shared" si="54"/>
        <v>55.2</v>
      </c>
      <c r="S124" s="321">
        <f t="shared" si="55"/>
        <v>22.8</v>
      </c>
      <c r="T124" s="322">
        <f t="shared" si="56"/>
        <v>22.8</v>
      </c>
      <c r="U124" s="317">
        <f t="shared" si="57"/>
        <v>33.6</v>
      </c>
      <c r="V124" s="222"/>
      <c r="W124" s="291">
        <f t="shared" si="46"/>
        <v>48</v>
      </c>
      <c r="X124" s="292">
        <f t="shared" si="46"/>
        <v>51.2</v>
      </c>
      <c r="Y124" s="292">
        <f t="shared" si="46"/>
        <v>51.2</v>
      </c>
      <c r="Z124" s="292">
        <f t="shared" si="46"/>
        <v>47.2</v>
      </c>
      <c r="AA124" s="264"/>
      <c r="AB124" s="264"/>
      <c r="AC124" s="293">
        <f t="shared" si="58"/>
        <v>51.2</v>
      </c>
      <c r="AD124" s="222"/>
      <c r="AE124" s="291">
        <f t="shared" si="47"/>
        <v>66.8</v>
      </c>
      <c r="AF124" s="292">
        <f t="shared" si="47"/>
        <v>64.400000000000006</v>
      </c>
      <c r="AG124" s="292">
        <f t="shared" si="47"/>
        <v>60.8</v>
      </c>
      <c r="AH124" s="292">
        <f t="shared" si="47"/>
        <v>60.4</v>
      </c>
      <c r="AI124" s="292">
        <f t="shared" si="47"/>
        <v>60.8</v>
      </c>
      <c r="AJ124" s="292">
        <f t="shared" si="47"/>
        <v>69.599999999999994</v>
      </c>
      <c r="AK124" s="326"/>
      <c r="AL124" s="326"/>
      <c r="AM124" s="327"/>
      <c r="AN124" s="314"/>
    </row>
    <row r="125" spans="1:40" ht="16.5" customHeight="1" x14ac:dyDescent="0.25">
      <c r="A125" s="257">
        <v>370250</v>
      </c>
      <c r="B125" s="258" t="s">
        <v>211</v>
      </c>
      <c r="C125" s="259"/>
      <c r="D125" s="299" t="s">
        <v>529</v>
      </c>
      <c r="E125" s="261"/>
      <c r="F125" s="262" cm="1">
        <f t="array" ref="F125">SUMPRODUCT((1*($G$9:$AM$9="x")),G125:AM125)</f>
        <v>0</v>
      </c>
      <c r="G125" s="263"/>
      <c r="H125" s="264"/>
      <c r="I125" s="264"/>
      <c r="J125" s="264"/>
      <c r="K125" s="265"/>
      <c r="L125" s="263"/>
      <c r="M125" s="264"/>
      <c r="N125" s="264"/>
      <c r="O125" s="285"/>
      <c r="P125" s="264"/>
      <c r="Q125" s="286"/>
      <c r="S125" s="263"/>
      <c r="T125" s="265"/>
      <c r="U125" s="266"/>
      <c r="V125" s="222"/>
      <c r="W125" s="263"/>
      <c r="X125" s="264"/>
      <c r="Y125" s="264"/>
      <c r="Z125" s="264"/>
      <c r="AA125" s="264"/>
      <c r="AB125" s="264"/>
      <c r="AC125" s="265"/>
      <c r="AD125" s="222"/>
      <c r="AE125" s="263"/>
      <c r="AF125" s="264"/>
      <c r="AG125" s="264"/>
      <c r="AH125" s="264"/>
      <c r="AI125" s="264"/>
      <c r="AJ125" s="264"/>
      <c r="AK125" s="264"/>
      <c r="AL125" s="264"/>
      <c r="AM125" s="265"/>
      <c r="AN125" s="222"/>
    </row>
    <row r="126" spans="1:40" ht="16.5" customHeight="1" x14ac:dyDescent="0.25">
      <c r="A126" s="257">
        <v>370200</v>
      </c>
      <c r="B126" s="258" t="s">
        <v>424</v>
      </c>
      <c r="C126" s="259" t="s">
        <v>528</v>
      </c>
      <c r="D126" s="299" t="s">
        <v>529</v>
      </c>
      <c r="E126" s="261"/>
      <c r="F126" s="262" cm="1">
        <f t="array" ref="F126">SUMPRODUCT((1*($G$9:$AM$9="x")),G126:AM126)</f>
        <v>0</v>
      </c>
      <c r="G126" s="263"/>
      <c r="H126" s="264"/>
      <c r="I126" s="264"/>
      <c r="J126" s="264"/>
      <c r="K126" s="265"/>
      <c r="L126" s="263"/>
      <c r="M126" s="264"/>
      <c r="N126" s="264"/>
      <c r="O126" s="285"/>
      <c r="P126" s="264"/>
      <c r="Q126" s="286"/>
      <c r="S126" s="263"/>
      <c r="T126" s="265"/>
      <c r="U126" s="266"/>
      <c r="V126" s="222"/>
      <c r="W126" s="263"/>
      <c r="X126" s="264"/>
      <c r="Y126" s="264"/>
      <c r="Z126" s="264"/>
      <c r="AA126" s="264"/>
      <c r="AB126" s="264"/>
      <c r="AC126" s="265"/>
      <c r="AD126" s="222"/>
      <c r="AE126" s="263"/>
      <c r="AF126" s="264"/>
      <c r="AG126" s="264"/>
      <c r="AH126" s="264"/>
      <c r="AI126" s="264"/>
      <c r="AJ126" s="264"/>
      <c r="AK126" s="264"/>
      <c r="AL126" s="264"/>
      <c r="AM126" s="265"/>
      <c r="AN126" s="222"/>
    </row>
    <row r="127" spans="1:40" ht="25.5" customHeight="1" x14ac:dyDescent="0.25">
      <c r="A127" s="257">
        <v>323104</v>
      </c>
      <c r="B127" s="258" t="s">
        <v>392</v>
      </c>
      <c r="C127" s="259" t="s">
        <v>528</v>
      </c>
      <c r="D127" s="458" t="str">
        <f>D52</f>
        <v>Cavalo mecânico com semirreboque - 22 t</v>
      </c>
      <c r="E127" s="288">
        <v>4</v>
      </c>
      <c r="F127" s="262" cm="1">
        <f t="array" ref="F127">SUMPRODUCT((1*($G$9:$AM$9="x")),G127:AM127)</f>
        <v>136.4</v>
      </c>
      <c r="G127" s="315">
        <f>$E127*G$11</f>
        <v>37.200000000000003</v>
      </c>
      <c r="H127" s="328">
        <f t="shared" ref="H127:Q129" si="59">$E127*H$11</f>
        <v>46.8</v>
      </c>
      <c r="I127" s="320">
        <f t="shared" si="59"/>
        <v>43.6</v>
      </c>
      <c r="J127" s="320">
        <f t="shared" si="59"/>
        <v>42.8</v>
      </c>
      <c r="K127" s="316">
        <f t="shared" si="59"/>
        <v>49.2</v>
      </c>
      <c r="L127" s="291">
        <f>$E127*L$11</f>
        <v>96</v>
      </c>
      <c r="M127" s="292">
        <f t="shared" si="59"/>
        <v>51.2</v>
      </c>
      <c r="N127" s="292">
        <f t="shared" si="59"/>
        <v>48.4</v>
      </c>
      <c r="O127" s="294">
        <f t="shared" si="59"/>
        <v>32</v>
      </c>
      <c r="P127" s="292">
        <f t="shared" si="59"/>
        <v>30.8</v>
      </c>
      <c r="Q127" s="295">
        <f t="shared" si="59"/>
        <v>55.2</v>
      </c>
      <c r="R127" s="314"/>
      <c r="S127" s="329">
        <f>E127*$S$11</f>
        <v>22.8</v>
      </c>
      <c r="T127" s="330">
        <f>E127*$T$11</f>
        <v>22.8</v>
      </c>
      <c r="U127" s="317">
        <f>E127*$U$11</f>
        <v>33.6</v>
      </c>
      <c r="V127" s="314"/>
      <c r="W127" s="291">
        <f>W$11*$E127</f>
        <v>48</v>
      </c>
      <c r="X127" s="292">
        <f>X$11*$E127</f>
        <v>51.2</v>
      </c>
      <c r="Y127" s="292">
        <f>Y$11*$E127</f>
        <v>51.2</v>
      </c>
      <c r="Z127" s="292">
        <f>Z$11*$E127</f>
        <v>47.2</v>
      </c>
      <c r="AA127" s="264"/>
      <c r="AB127" s="264"/>
      <c r="AC127" s="293">
        <f>AC$11*$E127</f>
        <v>51.2</v>
      </c>
      <c r="AD127" s="222"/>
      <c r="AE127" s="291">
        <f t="shared" ref="AE127:AJ129" si="60">AE$11*$E127</f>
        <v>66.8</v>
      </c>
      <c r="AF127" s="292">
        <f t="shared" si="60"/>
        <v>64.400000000000006</v>
      </c>
      <c r="AG127" s="292">
        <f t="shared" si="60"/>
        <v>60.8</v>
      </c>
      <c r="AH127" s="292">
        <f t="shared" si="60"/>
        <v>60.4</v>
      </c>
      <c r="AI127" s="292">
        <f t="shared" si="60"/>
        <v>60.8</v>
      </c>
      <c r="AJ127" s="292">
        <f t="shared" si="60"/>
        <v>69.599999999999994</v>
      </c>
      <c r="AK127" s="326"/>
      <c r="AL127" s="326"/>
      <c r="AM127" s="327"/>
      <c r="AN127" s="314"/>
    </row>
    <row r="128" spans="1:40" ht="25.5" customHeight="1" x14ac:dyDescent="0.25">
      <c r="A128" s="257">
        <v>325125</v>
      </c>
      <c r="B128" s="258" t="s">
        <v>76</v>
      </c>
      <c r="C128" s="259" t="s">
        <v>528</v>
      </c>
      <c r="D128" s="458"/>
      <c r="E128" s="288">
        <v>4</v>
      </c>
      <c r="F128" s="262" cm="1">
        <f t="array" ref="F128">SUMPRODUCT((1*($G$9:$AM$9="x")),G128:AM128)</f>
        <v>136.4</v>
      </c>
      <c r="G128" s="315">
        <f t="shared" ref="G128:G129" si="61">$E128*G$11</f>
        <v>37.200000000000003</v>
      </c>
      <c r="H128" s="328">
        <f t="shared" si="59"/>
        <v>46.8</v>
      </c>
      <c r="I128" s="320">
        <f t="shared" si="59"/>
        <v>43.6</v>
      </c>
      <c r="J128" s="320">
        <f t="shared" si="59"/>
        <v>42.8</v>
      </c>
      <c r="K128" s="316">
        <f t="shared" si="59"/>
        <v>49.2</v>
      </c>
      <c r="L128" s="291">
        <f t="shared" si="59"/>
        <v>96</v>
      </c>
      <c r="M128" s="292">
        <f t="shared" si="59"/>
        <v>51.2</v>
      </c>
      <c r="N128" s="292">
        <f t="shared" si="59"/>
        <v>48.4</v>
      </c>
      <c r="O128" s="294">
        <f t="shared" si="59"/>
        <v>32</v>
      </c>
      <c r="P128" s="292">
        <f t="shared" si="59"/>
        <v>30.8</v>
      </c>
      <c r="Q128" s="295">
        <f t="shared" si="59"/>
        <v>55.2</v>
      </c>
      <c r="R128" s="314"/>
      <c r="S128" s="329">
        <f t="shared" ref="S128:S129" si="62">E128*$S$11</f>
        <v>22.8</v>
      </c>
      <c r="T128" s="330">
        <f t="shared" ref="T128:T129" si="63">E128*$T$11</f>
        <v>22.8</v>
      </c>
      <c r="U128" s="317">
        <f t="shared" ref="U128:U129" si="64">E128*$U$11</f>
        <v>33.6</v>
      </c>
      <c r="V128" s="314"/>
      <c r="W128" s="291">
        <f t="shared" ref="W128:Z129" si="65">W$11*$E128</f>
        <v>48</v>
      </c>
      <c r="X128" s="292">
        <f t="shared" si="65"/>
        <v>51.2</v>
      </c>
      <c r="Y128" s="292">
        <f t="shared" si="65"/>
        <v>51.2</v>
      </c>
      <c r="Z128" s="292">
        <f t="shared" si="65"/>
        <v>47.2</v>
      </c>
      <c r="AA128" s="264"/>
      <c r="AB128" s="264"/>
      <c r="AC128" s="293">
        <f t="shared" ref="AC128:AC129" si="66">AC$11*$E128</f>
        <v>51.2</v>
      </c>
      <c r="AD128" s="222"/>
      <c r="AE128" s="291">
        <f t="shared" si="60"/>
        <v>66.8</v>
      </c>
      <c r="AF128" s="292">
        <f t="shared" si="60"/>
        <v>64.400000000000006</v>
      </c>
      <c r="AG128" s="292">
        <f t="shared" si="60"/>
        <v>60.8</v>
      </c>
      <c r="AH128" s="292">
        <f t="shared" si="60"/>
        <v>60.4</v>
      </c>
      <c r="AI128" s="292">
        <f t="shared" si="60"/>
        <v>60.8</v>
      </c>
      <c r="AJ128" s="292">
        <f t="shared" si="60"/>
        <v>69.599999999999994</v>
      </c>
      <c r="AK128" s="326"/>
      <c r="AL128" s="326"/>
      <c r="AM128" s="327"/>
      <c r="AN128" s="314"/>
    </row>
    <row r="129" spans="1:40" ht="25.5" customHeight="1" x14ac:dyDescent="0.25">
      <c r="A129" s="257">
        <v>323010</v>
      </c>
      <c r="B129" s="258" t="s">
        <v>548</v>
      </c>
      <c r="C129" s="259"/>
      <c r="D129" s="458"/>
      <c r="E129" s="288">
        <v>4</v>
      </c>
      <c r="F129" s="262" cm="1">
        <f t="array" ref="F129">SUMPRODUCT((1*($G$9:$AM$9="x")),G129:AM129)</f>
        <v>136.4</v>
      </c>
      <c r="G129" s="315">
        <f t="shared" si="61"/>
        <v>37.200000000000003</v>
      </c>
      <c r="H129" s="328">
        <f t="shared" si="59"/>
        <v>46.8</v>
      </c>
      <c r="I129" s="320">
        <f t="shared" si="59"/>
        <v>43.6</v>
      </c>
      <c r="J129" s="320">
        <f t="shared" si="59"/>
        <v>42.8</v>
      </c>
      <c r="K129" s="316">
        <f t="shared" si="59"/>
        <v>49.2</v>
      </c>
      <c r="L129" s="291">
        <f t="shared" si="59"/>
        <v>96</v>
      </c>
      <c r="M129" s="292">
        <f t="shared" si="59"/>
        <v>51.2</v>
      </c>
      <c r="N129" s="292">
        <f t="shared" si="59"/>
        <v>48.4</v>
      </c>
      <c r="O129" s="294">
        <f t="shared" si="59"/>
        <v>32</v>
      </c>
      <c r="P129" s="292">
        <f t="shared" si="59"/>
        <v>30.8</v>
      </c>
      <c r="Q129" s="295">
        <f t="shared" si="59"/>
        <v>55.2</v>
      </c>
      <c r="R129" s="314"/>
      <c r="S129" s="329">
        <f t="shared" si="62"/>
        <v>22.8</v>
      </c>
      <c r="T129" s="330">
        <f t="shared" si="63"/>
        <v>22.8</v>
      </c>
      <c r="U129" s="317">
        <f t="shared" si="64"/>
        <v>33.6</v>
      </c>
      <c r="V129" s="314"/>
      <c r="W129" s="291">
        <f t="shared" si="65"/>
        <v>48</v>
      </c>
      <c r="X129" s="292">
        <f t="shared" si="65"/>
        <v>51.2</v>
      </c>
      <c r="Y129" s="292">
        <f t="shared" si="65"/>
        <v>51.2</v>
      </c>
      <c r="Z129" s="292">
        <f t="shared" si="65"/>
        <v>47.2</v>
      </c>
      <c r="AA129" s="264"/>
      <c r="AB129" s="264"/>
      <c r="AC129" s="293">
        <f t="shared" si="66"/>
        <v>51.2</v>
      </c>
      <c r="AD129" s="222"/>
      <c r="AE129" s="291">
        <f t="shared" si="60"/>
        <v>66.8</v>
      </c>
      <c r="AF129" s="292">
        <f t="shared" si="60"/>
        <v>64.400000000000006</v>
      </c>
      <c r="AG129" s="292">
        <f t="shared" si="60"/>
        <v>60.8</v>
      </c>
      <c r="AH129" s="292">
        <f t="shared" si="60"/>
        <v>60.4</v>
      </c>
      <c r="AI129" s="292">
        <f t="shared" si="60"/>
        <v>60.8</v>
      </c>
      <c r="AJ129" s="292">
        <f t="shared" si="60"/>
        <v>69.599999999999994</v>
      </c>
      <c r="AK129" s="326"/>
      <c r="AL129" s="326"/>
      <c r="AM129" s="327"/>
      <c r="AN129" s="314"/>
    </row>
    <row r="130" spans="1:40" ht="16.5" customHeight="1" x14ac:dyDescent="0.25">
      <c r="A130" s="257">
        <v>307100</v>
      </c>
      <c r="B130" s="258" t="s">
        <v>212</v>
      </c>
      <c r="C130" s="259" t="s">
        <v>528</v>
      </c>
      <c r="D130" s="299" t="s">
        <v>529</v>
      </c>
      <c r="E130" s="261"/>
      <c r="F130" s="262" cm="1">
        <f t="array" ref="F130">SUMPRODUCT((1*($G$9:$AM$9="x")),G130:AM130)</f>
        <v>0</v>
      </c>
      <c r="G130" s="263"/>
      <c r="H130" s="264"/>
      <c r="I130" s="264"/>
      <c r="J130" s="264"/>
      <c r="K130" s="265"/>
      <c r="L130" s="263"/>
      <c r="M130" s="264"/>
      <c r="N130" s="264"/>
      <c r="O130" s="285"/>
      <c r="P130" s="264"/>
      <c r="Q130" s="286"/>
      <c r="S130" s="263"/>
      <c r="T130" s="265"/>
      <c r="U130" s="266"/>
      <c r="V130" s="222"/>
      <c r="W130" s="263"/>
      <c r="X130" s="264"/>
      <c r="Y130" s="264"/>
      <c r="Z130" s="264"/>
      <c r="AA130" s="264"/>
      <c r="AB130" s="264"/>
      <c r="AC130" s="265"/>
      <c r="AD130" s="222"/>
      <c r="AE130" s="263"/>
      <c r="AF130" s="264"/>
      <c r="AG130" s="264"/>
      <c r="AH130" s="264"/>
      <c r="AI130" s="264"/>
      <c r="AJ130" s="264"/>
      <c r="AK130" s="264"/>
      <c r="AL130" s="264"/>
      <c r="AM130" s="265"/>
      <c r="AN130" s="222"/>
    </row>
    <row r="131" spans="1:40" ht="16.5" customHeight="1" x14ac:dyDescent="0.25">
      <c r="A131" s="257">
        <v>305710</v>
      </c>
      <c r="B131" s="258" t="s">
        <v>213</v>
      </c>
      <c r="C131" s="259" t="s">
        <v>528</v>
      </c>
      <c r="D131" s="299" t="s">
        <v>529</v>
      </c>
      <c r="E131" s="261"/>
      <c r="F131" s="262" cm="1">
        <f t="array" ref="F131">SUMPRODUCT((1*($G$9:$AM$9="x")),G131:AM131)</f>
        <v>0</v>
      </c>
      <c r="G131" s="263"/>
      <c r="H131" s="264"/>
      <c r="I131" s="264"/>
      <c r="J131" s="264"/>
      <c r="K131" s="265"/>
      <c r="L131" s="263"/>
      <c r="M131" s="264"/>
      <c r="N131" s="264"/>
      <c r="O131" s="285"/>
      <c r="P131" s="264"/>
      <c r="Q131" s="286"/>
      <c r="S131" s="263"/>
      <c r="T131" s="265"/>
      <c r="U131" s="266"/>
      <c r="V131" s="222"/>
      <c r="W131" s="263"/>
      <c r="X131" s="264"/>
      <c r="Y131" s="264"/>
      <c r="Z131" s="264"/>
      <c r="AA131" s="264"/>
      <c r="AB131" s="264"/>
      <c r="AC131" s="265"/>
      <c r="AD131" s="222"/>
      <c r="AE131" s="263"/>
      <c r="AF131" s="264"/>
      <c r="AG131" s="264"/>
      <c r="AH131" s="264"/>
      <c r="AI131" s="264"/>
      <c r="AJ131" s="264"/>
      <c r="AK131" s="264"/>
      <c r="AL131" s="264"/>
      <c r="AM131" s="265"/>
      <c r="AN131" s="222"/>
    </row>
    <row r="132" spans="1:40" ht="16.5" customHeight="1" x14ac:dyDescent="0.25">
      <c r="A132" s="257">
        <v>306580</v>
      </c>
      <c r="B132" s="258" t="s">
        <v>214</v>
      </c>
      <c r="C132" s="259" t="s">
        <v>528</v>
      </c>
      <c r="D132" s="299" t="s">
        <v>529</v>
      </c>
      <c r="E132" s="261"/>
      <c r="F132" s="262" cm="1">
        <f t="array" ref="F132">SUMPRODUCT((1*($G$9:$AM$9="x")),G132:AM132)</f>
        <v>0</v>
      </c>
      <c r="G132" s="263"/>
      <c r="H132" s="264"/>
      <c r="I132" s="264"/>
      <c r="J132" s="264"/>
      <c r="K132" s="265"/>
      <c r="L132" s="263"/>
      <c r="M132" s="264"/>
      <c r="N132" s="264"/>
      <c r="O132" s="285"/>
      <c r="P132" s="264"/>
      <c r="Q132" s="286"/>
      <c r="S132" s="263"/>
      <c r="T132" s="265"/>
      <c r="U132" s="266"/>
      <c r="V132" s="222"/>
      <c r="W132" s="263"/>
      <c r="X132" s="264"/>
      <c r="Y132" s="264"/>
      <c r="Z132" s="264"/>
      <c r="AA132" s="264"/>
      <c r="AB132" s="264"/>
      <c r="AC132" s="265"/>
      <c r="AD132" s="222"/>
      <c r="AE132" s="263"/>
      <c r="AF132" s="264"/>
      <c r="AG132" s="264"/>
      <c r="AH132" s="264"/>
      <c r="AI132" s="264"/>
      <c r="AJ132" s="264"/>
      <c r="AK132" s="264"/>
      <c r="AL132" s="264"/>
      <c r="AM132" s="265"/>
      <c r="AN132" s="222"/>
    </row>
    <row r="133" spans="1:40" ht="16.5" customHeight="1" x14ac:dyDescent="0.25">
      <c r="A133" s="257">
        <v>300030</v>
      </c>
      <c r="B133" s="258" t="s">
        <v>187</v>
      </c>
      <c r="C133" s="259" t="s">
        <v>528</v>
      </c>
      <c r="D133" s="260">
        <f>A133</f>
        <v>300030</v>
      </c>
      <c r="E133" s="261">
        <v>4</v>
      </c>
      <c r="F133" s="262" cm="1">
        <f t="array" ref="F133">SUMPRODUCT((1*($G$9:$AM$9="x")),G133:AM133)</f>
        <v>136.4</v>
      </c>
      <c r="G133" s="263">
        <f>$E133*G$11</f>
        <v>37.200000000000003</v>
      </c>
      <c r="H133" s="264">
        <f t="shared" ref="H133:K138" si="67">$E133*H$11</f>
        <v>46.8</v>
      </c>
      <c r="I133" s="264">
        <f t="shared" si="67"/>
        <v>43.6</v>
      </c>
      <c r="J133" s="264">
        <f t="shared" si="67"/>
        <v>42.8</v>
      </c>
      <c r="K133" s="265">
        <f t="shared" si="67"/>
        <v>49.2</v>
      </c>
      <c r="L133" s="263">
        <f>E133*$L$11</f>
        <v>96</v>
      </c>
      <c r="M133" s="264">
        <f>E133*$M$11</f>
        <v>51.2</v>
      </c>
      <c r="N133" s="264">
        <f>E133*$N$11</f>
        <v>48.4</v>
      </c>
      <c r="O133" s="285">
        <f>E133*$O$11</f>
        <v>32</v>
      </c>
      <c r="P133" s="264">
        <f>E133*$P$11</f>
        <v>30.8</v>
      </c>
      <c r="Q133" s="286">
        <f>E133*$Q$11</f>
        <v>55.2</v>
      </c>
      <c r="S133" s="263">
        <f>E133*$S$11</f>
        <v>22.8</v>
      </c>
      <c r="T133" s="265">
        <f>E133*$T$11</f>
        <v>22.8</v>
      </c>
      <c r="U133" s="266">
        <f>E133*$U$11</f>
        <v>33.6</v>
      </c>
      <c r="V133" s="222"/>
      <c r="W133" s="263">
        <f t="shared" ref="W133:Z138" si="68">W$11*$E133</f>
        <v>48</v>
      </c>
      <c r="X133" s="264">
        <f t="shared" si="68"/>
        <v>51.2</v>
      </c>
      <c r="Y133" s="264">
        <f t="shared" si="68"/>
        <v>51.2</v>
      </c>
      <c r="Z133" s="264">
        <f t="shared" si="68"/>
        <v>47.2</v>
      </c>
      <c r="AA133" s="264"/>
      <c r="AB133" s="264"/>
      <c r="AC133" s="265">
        <f>AC$11*$E133</f>
        <v>51.2</v>
      </c>
      <c r="AD133" s="222"/>
      <c r="AE133" s="263">
        <f t="shared" ref="AE133:AJ138" si="69">AE$11*$E133</f>
        <v>66.8</v>
      </c>
      <c r="AF133" s="264">
        <f t="shared" si="69"/>
        <v>64.400000000000006</v>
      </c>
      <c r="AG133" s="264">
        <f t="shared" si="69"/>
        <v>60.8</v>
      </c>
      <c r="AH133" s="264">
        <f t="shared" si="69"/>
        <v>60.4</v>
      </c>
      <c r="AI133" s="264">
        <f t="shared" si="69"/>
        <v>60.8</v>
      </c>
      <c r="AJ133" s="264">
        <f t="shared" si="69"/>
        <v>69.599999999999994</v>
      </c>
      <c r="AK133" s="264"/>
      <c r="AL133" s="264"/>
      <c r="AM133" s="265"/>
      <c r="AN133" s="222"/>
    </row>
    <row r="134" spans="1:40" ht="16.5" customHeight="1" x14ac:dyDescent="0.25">
      <c r="A134" s="257">
        <v>325020</v>
      </c>
      <c r="B134" s="258" t="s">
        <v>77</v>
      </c>
      <c r="C134" s="259" t="s">
        <v>528</v>
      </c>
      <c r="D134" s="458" t="str">
        <f>D52</f>
        <v>Cavalo mecânico com semirreboque - 22 t</v>
      </c>
      <c r="E134" s="288">
        <v>4</v>
      </c>
      <c r="F134" s="262" cm="1">
        <f t="array" ref="F134">SUMPRODUCT((1*($G$9:$AM$9="x")),G134:AM134)</f>
        <v>136.4</v>
      </c>
      <c r="G134" s="315">
        <f>$E134*G$11</f>
        <v>37.200000000000003</v>
      </c>
      <c r="H134" s="315">
        <f t="shared" si="67"/>
        <v>46.8</v>
      </c>
      <c r="I134" s="315">
        <f t="shared" si="67"/>
        <v>43.6</v>
      </c>
      <c r="J134" s="320">
        <f t="shared" si="67"/>
        <v>42.8</v>
      </c>
      <c r="K134" s="316">
        <f t="shared" si="67"/>
        <v>49.2</v>
      </c>
      <c r="L134" s="291">
        <f>E134*$L$11</f>
        <v>96</v>
      </c>
      <c r="M134" s="292">
        <f>E134*$M$11</f>
        <v>51.2</v>
      </c>
      <c r="N134" s="292">
        <f>E134*$N$11</f>
        <v>48.4</v>
      </c>
      <c r="O134" s="292">
        <f>E134*$O$11</f>
        <v>32</v>
      </c>
      <c r="P134" s="292">
        <f>E134*$P$11</f>
        <v>30.8</v>
      </c>
      <c r="Q134" s="292">
        <f>E134*$Q$11</f>
        <v>55.2</v>
      </c>
      <c r="S134" s="292">
        <f>E134*$S$11</f>
        <v>22.8</v>
      </c>
      <c r="T134" s="292">
        <f>E134*$T$11</f>
        <v>22.8</v>
      </c>
      <c r="U134" s="292">
        <f>E134*$U$11</f>
        <v>33.6</v>
      </c>
      <c r="V134" s="222"/>
      <c r="W134" s="291">
        <f t="shared" si="68"/>
        <v>48</v>
      </c>
      <c r="X134" s="292">
        <f t="shared" si="68"/>
        <v>51.2</v>
      </c>
      <c r="Y134" s="292">
        <f t="shared" si="68"/>
        <v>51.2</v>
      </c>
      <c r="Z134" s="292">
        <f t="shared" si="68"/>
        <v>47.2</v>
      </c>
      <c r="AA134" s="264"/>
      <c r="AB134" s="264"/>
      <c r="AC134" s="293">
        <f>AC$11*$E134</f>
        <v>51.2</v>
      </c>
      <c r="AD134" s="222"/>
      <c r="AE134" s="291">
        <f t="shared" si="69"/>
        <v>66.8</v>
      </c>
      <c r="AF134" s="292">
        <f t="shared" si="69"/>
        <v>64.400000000000006</v>
      </c>
      <c r="AG134" s="292">
        <f t="shared" si="69"/>
        <v>60.8</v>
      </c>
      <c r="AH134" s="292">
        <f t="shared" si="69"/>
        <v>60.4</v>
      </c>
      <c r="AI134" s="292">
        <f t="shared" si="69"/>
        <v>60.8</v>
      </c>
      <c r="AJ134" s="292">
        <f t="shared" si="69"/>
        <v>69.599999999999994</v>
      </c>
      <c r="AK134" s="264"/>
      <c r="AL134" s="264"/>
      <c r="AM134" s="265"/>
      <c r="AN134" s="222"/>
    </row>
    <row r="135" spans="1:40" ht="16.5" customHeight="1" x14ac:dyDescent="0.25">
      <c r="A135" s="257">
        <v>325010</v>
      </c>
      <c r="B135" s="258" t="s">
        <v>78</v>
      </c>
      <c r="C135" s="259" t="s">
        <v>528</v>
      </c>
      <c r="D135" s="458"/>
      <c r="E135" s="288">
        <v>4</v>
      </c>
      <c r="F135" s="262" cm="1">
        <f t="array" ref="F135">SUMPRODUCT((1*($G$9:$AM$9="x")),G135:AM135)</f>
        <v>136.4</v>
      </c>
      <c r="G135" s="315">
        <f t="shared" ref="G135:G138" si="70">$E135*G$11</f>
        <v>37.200000000000003</v>
      </c>
      <c r="H135" s="315">
        <f t="shared" si="67"/>
        <v>46.8</v>
      </c>
      <c r="I135" s="315">
        <f t="shared" si="67"/>
        <v>43.6</v>
      </c>
      <c r="J135" s="320">
        <f t="shared" si="67"/>
        <v>42.8</v>
      </c>
      <c r="K135" s="316">
        <f t="shared" si="67"/>
        <v>49.2</v>
      </c>
      <c r="L135" s="291">
        <f t="shared" ref="L135:L138" si="71">E135*$L$11</f>
        <v>96</v>
      </c>
      <c r="M135" s="292">
        <f t="shared" ref="M135:M138" si="72">E135*$M$11</f>
        <v>51.2</v>
      </c>
      <c r="N135" s="292">
        <f t="shared" ref="N135:N138" si="73">E135*$N$11</f>
        <v>48.4</v>
      </c>
      <c r="O135" s="292">
        <f t="shared" ref="O135:O138" si="74">E135*$O$11</f>
        <v>32</v>
      </c>
      <c r="P135" s="292">
        <f t="shared" ref="P135:P138" si="75">E135*$P$11</f>
        <v>30.8</v>
      </c>
      <c r="Q135" s="292">
        <f t="shared" ref="Q135:Q138" si="76">E135*$Q$11</f>
        <v>55.2</v>
      </c>
      <c r="S135" s="292">
        <f t="shared" ref="S135:S138" si="77">E135*$S$11</f>
        <v>22.8</v>
      </c>
      <c r="T135" s="292">
        <f t="shared" ref="T135:T138" si="78">E135*$T$11</f>
        <v>22.8</v>
      </c>
      <c r="U135" s="292">
        <f t="shared" ref="U135:U138" si="79">E135*$U$11</f>
        <v>33.6</v>
      </c>
      <c r="V135" s="222"/>
      <c r="W135" s="291">
        <f t="shared" si="68"/>
        <v>48</v>
      </c>
      <c r="X135" s="292">
        <f t="shared" si="68"/>
        <v>51.2</v>
      </c>
      <c r="Y135" s="292">
        <f t="shared" si="68"/>
        <v>51.2</v>
      </c>
      <c r="Z135" s="292">
        <f t="shared" si="68"/>
        <v>47.2</v>
      </c>
      <c r="AA135" s="264"/>
      <c r="AB135" s="264"/>
      <c r="AC135" s="293">
        <f t="shared" ref="AC135:AC138" si="80">AC$11*$E135</f>
        <v>51.2</v>
      </c>
      <c r="AD135" s="222"/>
      <c r="AE135" s="291">
        <f t="shared" si="69"/>
        <v>66.8</v>
      </c>
      <c r="AF135" s="292">
        <f t="shared" si="69"/>
        <v>64.400000000000006</v>
      </c>
      <c r="AG135" s="292">
        <f t="shared" si="69"/>
        <v>60.8</v>
      </c>
      <c r="AH135" s="292">
        <f t="shared" si="69"/>
        <v>60.4</v>
      </c>
      <c r="AI135" s="292">
        <f t="shared" si="69"/>
        <v>60.8</v>
      </c>
      <c r="AJ135" s="292">
        <f t="shared" si="69"/>
        <v>69.599999999999994</v>
      </c>
      <c r="AK135" s="264"/>
      <c r="AL135" s="264"/>
      <c r="AM135" s="265"/>
      <c r="AN135" s="222"/>
    </row>
    <row r="136" spans="1:40" ht="16.5" customHeight="1" x14ac:dyDescent="0.25">
      <c r="A136" s="257">
        <v>325200</v>
      </c>
      <c r="B136" s="258" t="s">
        <v>425</v>
      </c>
      <c r="C136" s="259" t="s">
        <v>528</v>
      </c>
      <c r="D136" s="458"/>
      <c r="E136" s="288">
        <v>4</v>
      </c>
      <c r="F136" s="262" cm="1">
        <f t="array" ref="F136">SUMPRODUCT((1*($G$9:$AM$9="x")),G136:AM136)</f>
        <v>136.4</v>
      </c>
      <c r="G136" s="315">
        <f t="shared" si="70"/>
        <v>37.200000000000003</v>
      </c>
      <c r="H136" s="315">
        <f t="shared" si="67"/>
        <v>46.8</v>
      </c>
      <c r="I136" s="315">
        <f t="shared" si="67"/>
        <v>43.6</v>
      </c>
      <c r="J136" s="320">
        <f t="shared" si="67"/>
        <v>42.8</v>
      </c>
      <c r="K136" s="316">
        <f t="shared" si="67"/>
        <v>49.2</v>
      </c>
      <c r="L136" s="291">
        <f t="shared" si="71"/>
        <v>96</v>
      </c>
      <c r="M136" s="292">
        <f t="shared" si="72"/>
        <v>51.2</v>
      </c>
      <c r="N136" s="292">
        <f t="shared" si="73"/>
        <v>48.4</v>
      </c>
      <c r="O136" s="292">
        <f t="shared" si="74"/>
        <v>32</v>
      </c>
      <c r="P136" s="292">
        <f t="shared" si="75"/>
        <v>30.8</v>
      </c>
      <c r="Q136" s="292">
        <f t="shared" si="76"/>
        <v>55.2</v>
      </c>
      <c r="S136" s="292">
        <f t="shared" si="77"/>
        <v>22.8</v>
      </c>
      <c r="T136" s="292">
        <f t="shared" si="78"/>
        <v>22.8</v>
      </c>
      <c r="U136" s="292">
        <f t="shared" si="79"/>
        <v>33.6</v>
      </c>
      <c r="V136" s="222"/>
      <c r="W136" s="291">
        <f t="shared" si="68"/>
        <v>48</v>
      </c>
      <c r="X136" s="292">
        <f t="shared" si="68"/>
        <v>51.2</v>
      </c>
      <c r="Y136" s="292">
        <f t="shared" si="68"/>
        <v>51.2</v>
      </c>
      <c r="Z136" s="292">
        <f t="shared" si="68"/>
        <v>47.2</v>
      </c>
      <c r="AA136" s="264"/>
      <c r="AB136" s="264"/>
      <c r="AC136" s="293">
        <f t="shared" si="80"/>
        <v>51.2</v>
      </c>
      <c r="AD136" s="222"/>
      <c r="AE136" s="291">
        <f t="shared" si="69"/>
        <v>66.8</v>
      </c>
      <c r="AF136" s="292">
        <f t="shared" si="69"/>
        <v>64.400000000000006</v>
      </c>
      <c r="AG136" s="292">
        <f t="shared" si="69"/>
        <v>60.8</v>
      </c>
      <c r="AH136" s="292">
        <f t="shared" si="69"/>
        <v>60.4</v>
      </c>
      <c r="AI136" s="292">
        <f t="shared" si="69"/>
        <v>60.8</v>
      </c>
      <c r="AJ136" s="292">
        <f t="shared" si="69"/>
        <v>69.599999999999994</v>
      </c>
      <c r="AK136" s="264"/>
      <c r="AL136" s="264"/>
      <c r="AM136" s="265"/>
      <c r="AN136" s="222"/>
    </row>
    <row r="137" spans="1:40" ht="16.5" customHeight="1" x14ac:dyDescent="0.25">
      <c r="A137" s="257">
        <v>325250</v>
      </c>
      <c r="B137" s="258" t="s">
        <v>81</v>
      </c>
      <c r="C137" s="259" t="s">
        <v>528</v>
      </c>
      <c r="D137" s="458"/>
      <c r="E137" s="288">
        <v>4</v>
      </c>
      <c r="F137" s="262" cm="1">
        <f t="array" ref="F137">SUMPRODUCT((1*($G$9:$AM$9="x")),G137:AM137)</f>
        <v>136.4</v>
      </c>
      <c r="G137" s="315">
        <f t="shared" si="70"/>
        <v>37.200000000000003</v>
      </c>
      <c r="H137" s="315">
        <f t="shared" si="67"/>
        <v>46.8</v>
      </c>
      <c r="I137" s="315">
        <f t="shared" si="67"/>
        <v>43.6</v>
      </c>
      <c r="J137" s="320">
        <f t="shared" si="67"/>
        <v>42.8</v>
      </c>
      <c r="K137" s="316">
        <f t="shared" si="67"/>
        <v>49.2</v>
      </c>
      <c r="L137" s="291">
        <f t="shared" si="71"/>
        <v>96</v>
      </c>
      <c r="M137" s="292">
        <f t="shared" si="72"/>
        <v>51.2</v>
      </c>
      <c r="N137" s="292">
        <f t="shared" si="73"/>
        <v>48.4</v>
      </c>
      <c r="O137" s="292">
        <f t="shared" si="74"/>
        <v>32</v>
      </c>
      <c r="P137" s="292">
        <f t="shared" si="75"/>
        <v>30.8</v>
      </c>
      <c r="Q137" s="292">
        <f t="shared" si="76"/>
        <v>55.2</v>
      </c>
      <c r="S137" s="292">
        <f t="shared" si="77"/>
        <v>22.8</v>
      </c>
      <c r="T137" s="292">
        <f t="shared" si="78"/>
        <v>22.8</v>
      </c>
      <c r="U137" s="292">
        <f t="shared" si="79"/>
        <v>33.6</v>
      </c>
      <c r="V137" s="222"/>
      <c r="W137" s="291">
        <f t="shared" si="68"/>
        <v>48</v>
      </c>
      <c r="X137" s="292">
        <f t="shared" si="68"/>
        <v>51.2</v>
      </c>
      <c r="Y137" s="292">
        <f t="shared" si="68"/>
        <v>51.2</v>
      </c>
      <c r="Z137" s="292">
        <f t="shared" si="68"/>
        <v>47.2</v>
      </c>
      <c r="AA137" s="264"/>
      <c r="AB137" s="264"/>
      <c r="AC137" s="293">
        <f t="shared" si="80"/>
        <v>51.2</v>
      </c>
      <c r="AD137" s="222"/>
      <c r="AE137" s="291">
        <f t="shared" si="69"/>
        <v>66.8</v>
      </c>
      <c r="AF137" s="292">
        <f t="shared" si="69"/>
        <v>64.400000000000006</v>
      </c>
      <c r="AG137" s="292">
        <f t="shared" si="69"/>
        <v>60.8</v>
      </c>
      <c r="AH137" s="292">
        <f t="shared" si="69"/>
        <v>60.4</v>
      </c>
      <c r="AI137" s="292">
        <f t="shared" si="69"/>
        <v>60.8</v>
      </c>
      <c r="AJ137" s="292">
        <f t="shared" si="69"/>
        <v>69.599999999999994</v>
      </c>
      <c r="AK137" s="264"/>
      <c r="AL137" s="264"/>
      <c r="AM137" s="265"/>
      <c r="AN137" s="222"/>
    </row>
    <row r="138" spans="1:40" ht="16.5" customHeight="1" x14ac:dyDescent="0.25">
      <c r="A138" s="257">
        <v>325150</v>
      </c>
      <c r="B138" s="258" t="s">
        <v>426</v>
      </c>
      <c r="C138" s="259" t="s">
        <v>528</v>
      </c>
      <c r="D138" s="458"/>
      <c r="E138" s="288">
        <v>4</v>
      </c>
      <c r="F138" s="262" cm="1">
        <f t="array" ref="F138">SUMPRODUCT((1*($G$9:$AM$9="x")),G138:AM138)</f>
        <v>136.4</v>
      </c>
      <c r="G138" s="315">
        <f t="shared" si="70"/>
        <v>37.200000000000003</v>
      </c>
      <c r="H138" s="315">
        <f t="shared" si="67"/>
        <v>46.8</v>
      </c>
      <c r="I138" s="315">
        <f t="shared" si="67"/>
        <v>43.6</v>
      </c>
      <c r="J138" s="320">
        <f t="shared" si="67"/>
        <v>42.8</v>
      </c>
      <c r="K138" s="316">
        <f t="shared" si="67"/>
        <v>49.2</v>
      </c>
      <c r="L138" s="291">
        <f t="shared" si="71"/>
        <v>96</v>
      </c>
      <c r="M138" s="292">
        <f t="shared" si="72"/>
        <v>51.2</v>
      </c>
      <c r="N138" s="292">
        <f t="shared" si="73"/>
        <v>48.4</v>
      </c>
      <c r="O138" s="292">
        <f t="shared" si="74"/>
        <v>32</v>
      </c>
      <c r="P138" s="292">
        <f t="shared" si="75"/>
        <v>30.8</v>
      </c>
      <c r="Q138" s="292">
        <f t="shared" si="76"/>
        <v>55.2</v>
      </c>
      <c r="S138" s="292">
        <f t="shared" si="77"/>
        <v>22.8</v>
      </c>
      <c r="T138" s="292">
        <f t="shared" si="78"/>
        <v>22.8</v>
      </c>
      <c r="U138" s="292">
        <f t="shared" si="79"/>
        <v>33.6</v>
      </c>
      <c r="V138" s="222"/>
      <c r="W138" s="291">
        <f t="shared" si="68"/>
        <v>48</v>
      </c>
      <c r="X138" s="292">
        <f t="shared" si="68"/>
        <v>51.2</v>
      </c>
      <c r="Y138" s="292">
        <f t="shared" si="68"/>
        <v>51.2</v>
      </c>
      <c r="Z138" s="292">
        <f t="shared" si="68"/>
        <v>47.2</v>
      </c>
      <c r="AA138" s="264"/>
      <c r="AB138" s="264"/>
      <c r="AC138" s="293">
        <f t="shared" si="80"/>
        <v>51.2</v>
      </c>
      <c r="AD138" s="222"/>
      <c r="AE138" s="291">
        <f t="shared" si="69"/>
        <v>66.8</v>
      </c>
      <c r="AF138" s="292">
        <f t="shared" si="69"/>
        <v>64.400000000000006</v>
      </c>
      <c r="AG138" s="292">
        <f t="shared" si="69"/>
        <v>60.8</v>
      </c>
      <c r="AH138" s="292">
        <f t="shared" si="69"/>
        <v>60.4</v>
      </c>
      <c r="AI138" s="292">
        <f t="shared" si="69"/>
        <v>60.8</v>
      </c>
      <c r="AJ138" s="292">
        <f t="shared" si="69"/>
        <v>69.599999999999994</v>
      </c>
      <c r="AK138" s="264"/>
      <c r="AL138" s="264"/>
      <c r="AM138" s="265"/>
      <c r="AN138" s="222"/>
    </row>
    <row r="139" spans="1:40" s="350" customFormat="1" ht="16.5" customHeight="1" x14ac:dyDescent="0.25">
      <c r="A139" s="331">
        <v>371150</v>
      </c>
      <c r="B139" s="332" t="s">
        <v>82</v>
      </c>
      <c r="C139" s="333" t="s">
        <v>528</v>
      </c>
      <c r="D139" s="334" t="s">
        <v>529</v>
      </c>
      <c r="E139" s="335"/>
      <c r="F139" s="262" cm="1">
        <f t="array" ref="F139">SUMPRODUCT((1*($G$9:$AM$9="x")),G139:AM139)</f>
        <v>0</v>
      </c>
      <c r="G139" s="336"/>
      <c r="H139" s="337"/>
      <c r="I139" s="337"/>
      <c r="J139" s="337"/>
      <c r="K139" s="338"/>
      <c r="L139" s="339"/>
      <c r="M139" s="340"/>
      <c r="N139" s="340"/>
      <c r="O139" s="341"/>
      <c r="P139" s="340"/>
      <c r="Q139" s="342"/>
      <c r="R139" s="343"/>
      <c r="S139" s="344"/>
      <c r="T139" s="345"/>
      <c r="U139" s="346"/>
      <c r="V139" s="343"/>
      <c r="W139" s="347"/>
      <c r="X139" s="348"/>
      <c r="Y139" s="348"/>
      <c r="Z139" s="348"/>
      <c r="AA139" s="348"/>
      <c r="AB139" s="348"/>
      <c r="AC139" s="349"/>
      <c r="AD139" s="343"/>
      <c r="AE139" s="347"/>
      <c r="AF139" s="348"/>
      <c r="AG139" s="348"/>
      <c r="AH139" s="348"/>
      <c r="AI139" s="348"/>
      <c r="AJ139" s="348"/>
      <c r="AK139" s="348"/>
      <c r="AL139" s="348"/>
      <c r="AM139" s="349"/>
      <c r="AN139" s="343"/>
    </row>
    <row r="140" spans="1:40" ht="16.5" customHeight="1" x14ac:dyDescent="0.25">
      <c r="A140" s="257">
        <v>312520</v>
      </c>
      <c r="B140" s="258" t="s">
        <v>83</v>
      </c>
      <c r="C140" s="259" t="s">
        <v>536</v>
      </c>
      <c r="D140" s="459" t="str">
        <f>D52</f>
        <v>Cavalo mecânico com semirreboque - 22 t</v>
      </c>
      <c r="E140" s="288">
        <v>4</v>
      </c>
      <c r="F140" s="262" cm="1">
        <f t="array" ref="F140">SUMPRODUCT((1*($G$9:$AM$9="x")),G140:AM140)</f>
        <v>136.4</v>
      </c>
      <c r="G140" s="315">
        <f>$E140*G$11</f>
        <v>37.200000000000003</v>
      </c>
      <c r="H140" s="320">
        <f>$E140*H$11</f>
        <v>46.8</v>
      </c>
      <c r="I140" s="320">
        <f>$E140*I$11</f>
        <v>43.6</v>
      </c>
      <c r="J140" s="320">
        <f>$E140*J$11</f>
        <v>42.8</v>
      </c>
      <c r="K140" s="316">
        <f>$E140*K$11</f>
        <v>49.2</v>
      </c>
      <c r="L140" s="291">
        <f>E140*$L$11</f>
        <v>96</v>
      </c>
      <c r="M140" s="292">
        <f>E140*$M$11</f>
        <v>51.2</v>
      </c>
      <c r="N140" s="292">
        <f>E140*$N$11</f>
        <v>48.4</v>
      </c>
      <c r="O140" s="292">
        <f>E140*$O$11</f>
        <v>32</v>
      </c>
      <c r="P140" s="292">
        <f>E140*$P$11</f>
        <v>30.8</v>
      </c>
      <c r="Q140" s="293">
        <f>E140*$Q$11</f>
        <v>55.2</v>
      </c>
      <c r="S140" s="293">
        <f>E140*$S$11</f>
        <v>22.8</v>
      </c>
      <c r="T140" s="293">
        <f>E140*$T$11</f>
        <v>22.8</v>
      </c>
      <c r="U140" s="293">
        <f>E140*$U$11</f>
        <v>33.6</v>
      </c>
      <c r="V140" s="222"/>
      <c r="W140" s="291">
        <f>W$11*$E140</f>
        <v>48</v>
      </c>
      <c r="X140" s="292">
        <f>X$11*$E140</f>
        <v>51.2</v>
      </c>
      <c r="Y140" s="292">
        <f>Y$11*$E140</f>
        <v>51.2</v>
      </c>
      <c r="Z140" s="292">
        <f>Z$11*$E140</f>
        <v>47.2</v>
      </c>
      <c r="AA140" s="264"/>
      <c r="AB140" s="264"/>
      <c r="AC140" s="293">
        <f>AC$11*$E140</f>
        <v>51.2</v>
      </c>
      <c r="AD140" s="222"/>
      <c r="AE140" s="291">
        <f t="shared" ref="AE140:AJ142" si="81">AE$11*$E140</f>
        <v>66.8</v>
      </c>
      <c r="AF140" s="292">
        <f t="shared" si="81"/>
        <v>64.400000000000006</v>
      </c>
      <c r="AG140" s="292">
        <f t="shared" si="81"/>
        <v>60.8</v>
      </c>
      <c r="AH140" s="292">
        <f t="shared" si="81"/>
        <v>60.4</v>
      </c>
      <c r="AI140" s="292">
        <f t="shared" si="81"/>
        <v>60.8</v>
      </c>
      <c r="AJ140" s="292">
        <f t="shared" si="81"/>
        <v>69.599999999999994</v>
      </c>
      <c r="AK140" s="264"/>
      <c r="AL140" s="264"/>
      <c r="AM140" s="265"/>
      <c r="AN140" s="222"/>
    </row>
    <row r="141" spans="1:40" ht="16.5" customHeight="1" x14ac:dyDescent="0.25">
      <c r="A141" s="257">
        <v>322520</v>
      </c>
      <c r="B141" s="258" t="s">
        <v>84</v>
      </c>
      <c r="C141" s="259" t="s">
        <v>528</v>
      </c>
      <c r="D141" s="459"/>
      <c r="E141" s="288">
        <v>4</v>
      </c>
      <c r="F141" s="262" cm="1">
        <f t="array" ref="F141">SUMPRODUCT((1*($G$9:$AM$9="x")),G141:AM141)</f>
        <v>136.4</v>
      </c>
      <c r="G141" s="315">
        <f t="shared" ref="G141:K142" si="82">$E141*G$11</f>
        <v>37.200000000000003</v>
      </c>
      <c r="H141" s="320">
        <f t="shared" si="82"/>
        <v>46.8</v>
      </c>
      <c r="I141" s="320">
        <f t="shared" si="82"/>
        <v>43.6</v>
      </c>
      <c r="J141" s="320">
        <f t="shared" si="82"/>
        <v>42.8</v>
      </c>
      <c r="K141" s="316">
        <f t="shared" si="82"/>
        <v>49.2</v>
      </c>
      <c r="L141" s="291">
        <f t="shared" ref="L141:L142" si="83">E141*$L$11</f>
        <v>96</v>
      </c>
      <c r="M141" s="292">
        <f t="shared" ref="M141:M142" si="84">E141*$M$11</f>
        <v>51.2</v>
      </c>
      <c r="N141" s="292">
        <f t="shared" ref="N141:N142" si="85">E141*$N$11</f>
        <v>48.4</v>
      </c>
      <c r="O141" s="292">
        <f t="shared" ref="O141:O142" si="86">E141*$O$11</f>
        <v>32</v>
      </c>
      <c r="P141" s="292">
        <f t="shared" ref="P141:P142" si="87">E141*$P$11</f>
        <v>30.8</v>
      </c>
      <c r="Q141" s="293">
        <f t="shared" ref="Q141:Q142" si="88">E141*$Q$11</f>
        <v>55.2</v>
      </c>
      <c r="S141" s="293">
        <f t="shared" ref="S141:S142" si="89">E141*$S$11</f>
        <v>22.8</v>
      </c>
      <c r="T141" s="293">
        <f t="shared" ref="T141:T142" si="90">E141*$T$11</f>
        <v>22.8</v>
      </c>
      <c r="U141" s="293">
        <f t="shared" ref="U141:U142" si="91">E141*$U$11</f>
        <v>33.6</v>
      </c>
      <c r="V141" s="222"/>
      <c r="W141" s="291">
        <f t="shared" ref="W141:Z142" si="92">W$11*$E141</f>
        <v>48</v>
      </c>
      <c r="X141" s="292">
        <f t="shared" si="92"/>
        <v>51.2</v>
      </c>
      <c r="Y141" s="292">
        <f t="shared" si="92"/>
        <v>51.2</v>
      </c>
      <c r="Z141" s="292">
        <f t="shared" si="92"/>
        <v>47.2</v>
      </c>
      <c r="AA141" s="264"/>
      <c r="AB141" s="264"/>
      <c r="AC141" s="293">
        <f t="shared" ref="AC141:AC142" si="93">AC$11*$E141</f>
        <v>51.2</v>
      </c>
      <c r="AD141" s="222"/>
      <c r="AE141" s="291">
        <f t="shared" si="81"/>
        <v>66.8</v>
      </c>
      <c r="AF141" s="292">
        <f t="shared" si="81"/>
        <v>64.400000000000006</v>
      </c>
      <c r="AG141" s="292">
        <f t="shared" si="81"/>
        <v>60.8</v>
      </c>
      <c r="AH141" s="292">
        <f t="shared" si="81"/>
        <v>60.4</v>
      </c>
      <c r="AI141" s="292">
        <f t="shared" si="81"/>
        <v>60.8</v>
      </c>
      <c r="AJ141" s="292">
        <f t="shared" si="81"/>
        <v>69.599999999999994</v>
      </c>
      <c r="AK141" s="264"/>
      <c r="AL141" s="264"/>
      <c r="AM141" s="265"/>
      <c r="AN141" s="222"/>
    </row>
    <row r="142" spans="1:40" ht="16.5" customHeight="1" x14ac:dyDescent="0.25">
      <c r="A142" s="257">
        <v>332520</v>
      </c>
      <c r="B142" s="258" t="s">
        <v>85</v>
      </c>
      <c r="C142" s="259" t="s">
        <v>538</v>
      </c>
      <c r="D142" s="459"/>
      <c r="E142" s="288">
        <v>4</v>
      </c>
      <c r="F142" s="262" cm="1">
        <f t="array" ref="F142">SUMPRODUCT((1*($G$9:$AM$9="x")),G142:AM142)</f>
        <v>136.4</v>
      </c>
      <c r="G142" s="315">
        <f t="shared" si="82"/>
        <v>37.200000000000003</v>
      </c>
      <c r="H142" s="320">
        <f t="shared" si="82"/>
        <v>46.8</v>
      </c>
      <c r="I142" s="320">
        <f t="shared" si="82"/>
        <v>43.6</v>
      </c>
      <c r="J142" s="320">
        <f t="shared" si="82"/>
        <v>42.8</v>
      </c>
      <c r="K142" s="316">
        <f t="shared" si="82"/>
        <v>49.2</v>
      </c>
      <c r="L142" s="291">
        <f t="shared" si="83"/>
        <v>96</v>
      </c>
      <c r="M142" s="292">
        <f t="shared" si="84"/>
        <v>51.2</v>
      </c>
      <c r="N142" s="292">
        <f t="shared" si="85"/>
        <v>48.4</v>
      </c>
      <c r="O142" s="292">
        <f t="shared" si="86"/>
        <v>32</v>
      </c>
      <c r="P142" s="292">
        <f t="shared" si="87"/>
        <v>30.8</v>
      </c>
      <c r="Q142" s="293">
        <f t="shared" si="88"/>
        <v>55.2</v>
      </c>
      <c r="S142" s="293">
        <f t="shared" si="89"/>
        <v>22.8</v>
      </c>
      <c r="T142" s="293">
        <f t="shared" si="90"/>
        <v>22.8</v>
      </c>
      <c r="U142" s="293">
        <f t="shared" si="91"/>
        <v>33.6</v>
      </c>
      <c r="V142" s="222"/>
      <c r="W142" s="291">
        <f t="shared" si="92"/>
        <v>48</v>
      </c>
      <c r="X142" s="292">
        <f t="shared" si="92"/>
        <v>51.2</v>
      </c>
      <c r="Y142" s="292">
        <f t="shared" si="92"/>
        <v>51.2</v>
      </c>
      <c r="Z142" s="292">
        <f t="shared" si="92"/>
        <v>47.2</v>
      </c>
      <c r="AA142" s="264"/>
      <c r="AB142" s="264"/>
      <c r="AC142" s="293">
        <f t="shared" si="93"/>
        <v>51.2</v>
      </c>
      <c r="AD142" s="222"/>
      <c r="AE142" s="291">
        <f t="shared" si="81"/>
        <v>66.8</v>
      </c>
      <c r="AF142" s="292">
        <f t="shared" si="81"/>
        <v>64.400000000000006</v>
      </c>
      <c r="AG142" s="292">
        <f t="shared" si="81"/>
        <v>60.8</v>
      </c>
      <c r="AH142" s="292">
        <f t="shared" si="81"/>
        <v>60.4</v>
      </c>
      <c r="AI142" s="292">
        <f t="shared" si="81"/>
        <v>60.8</v>
      </c>
      <c r="AJ142" s="292">
        <f t="shared" si="81"/>
        <v>69.599999999999994</v>
      </c>
      <c r="AK142" s="264"/>
      <c r="AL142" s="264"/>
      <c r="AM142" s="265"/>
      <c r="AN142" s="222"/>
    </row>
    <row r="143" spans="1:40" ht="16.5" customHeight="1" x14ac:dyDescent="0.25">
      <c r="A143" s="257">
        <v>342200</v>
      </c>
      <c r="B143" s="258" t="s">
        <v>215</v>
      </c>
      <c r="C143" s="259" t="s">
        <v>528</v>
      </c>
      <c r="D143" s="299" t="s">
        <v>529</v>
      </c>
      <c r="E143" s="261"/>
      <c r="F143" s="262" cm="1">
        <f t="array" ref="F143">SUMPRODUCT((1*($G$9:$AM$9="x")),G143:AM143)</f>
        <v>0</v>
      </c>
      <c r="G143" s="263"/>
      <c r="H143" s="263"/>
      <c r="I143" s="263"/>
      <c r="J143" s="264"/>
      <c r="K143" s="265"/>
      <c r="L143" s="263"/>
      <c r="M143" s="264"/>
      <c r="N143" s="264"/>
      <c r="O143" s="285"/>
      <c r="P143" s="264"/>
      <c r="Q143" s="286"/>
      <c r="S143" s="263"/>
      <c r="T143" s="265"/>
      <c r="U143" s="266"/>
      <c r="V143" s="222"/>
      <c r="W143" s="263"/>
      <c r="X143" s="264"/>
      <c r="Y143" s="264"/>
      <c r="Z143" s="264"/>
      <c r="AA143" s="264"/>
      <c r="AB143" s="264"/>
      <c r="AC143" s="265"/>
      <c r="AD143" s="222"/>
      <c r="AE143" s="263"/>
      <c r="AF143" s="264"/>
      <c r="AG143" s="264"/>
      <c r="AH143" s="264"/>
      <c r="AI143" s="264"/>
      <c r="AJ143" s="264"/>
      <c r="AK143" s="264"/>
      <c r="AL143" s="264"/>
      <c r="AM143" s="265"/>
      <c r="AN143" s="222"/>
    </row>
    <row r="144" spans="1:40" ht="16.5" customHeight="1" x14ac:dyDescent="0.25">
      <c r="A144" s="257">
        <v>340140</v>
      </c>
      <c r="B144" s="258" t="s">
        <v>86</v>
      </c>
      <c r="C144" s="259" t="s">
        <v>528</v>
      </c>
      <c r="D144" s="458" t="str">
        <f>D52</f>
        <v>Cavalo mecânico com semirreboque - 22 t</v>
      </c>
      <c r="E144" s="288">
        <v>4</v>
      </c>
      <c r="F144" s="262" cm="1">
        <f t="array" ref="F144">SUMPRODUCT((1*($G$9:$AM$9="x")),G144:AM144)</f>
        <v>136.4</v>
      </c>
      <c r="G144" s="315">
        <f t="shared" ref="G144:Q157" si="94">$E144*G$11</f>
        <v>37.200000000000003</v>
      </c>
      <c r="H144" s="320">
        <f t="shared" si="94"/>
        <v>46.8</v>
      </c>
      <c r="I144" s="320">
        <f t="shared" si="94"/>
        <v>43.6</v>
      </c>
      <c r="J144" s="320">
        <f t="shared" si="94"/>
        <v>42.8</v>
      </c>
      <c r="K144" s="316">
        <f t="shared" si="94"/>
        <v>49.2</v>
      </c>
      <c r="L144" s="351">
        <f t="shared" si="94"/>
        <v>96</v>
      </c>
      <c r="M144" s="352">
        <f t="shared" si="94"/>
        <v>51.2</v>
      </c>
      <c r="N144" s="352">
        <f t="shared" si="94"/>
        <v>48.4</v>
      </c>
      <c r="O144" s="353">
        <f t="shared" si="94"/>
        <v>32</v>
      </c>
      <c r="P144" s="352">
        <f t="shared" si="94"/>
        <v>30.8</v>
      </c>
      <c r="Q144" s="354">
        <f t="shared" si="94"/>
        <v>55.2</v>
      </c>
      <c r="R144" s="314"/>
      <c r="S144" s="355">
        <f>E144*$S$11</f>
        <v>22.8</v>
      </c>
      <c r="T144" s="356">
        <f>E144*$T$11</f>
        <v>22.8</v>
      </c>
      <c r="U144" s="323">
        <f>E144*$U$11</f>
        <v>33.6</v>
      </c>
      <c r="V144" s="314"/>
      <c r="W144" s="291">
        <f>W$11*$E144</f>
        <v>48</v>
      </c>
      <c r="X144" s="292">
        <f>X$11*$E144</f>
        <v>51.2</v>
      </c>
      <c r="Y144" s="292">
        <f>Y$11*$E144</f>
        <v>51.2</v>
      </c>
      <c r="Z144" s="292">
        <f>Z$11*$E144</f>
        <v>47.2</v>
      </c>
      <c r="AA144" s="264"/>
      <c r="AB144" s="264"/>
      <c r="AC144" s="293">
        <f>AC$11*$E144</f>
        <v>51.2</v>
      </c>
      <c r="AD144" s="222"/>
      <c r="AE144" s="291">
        <f t="shared" ref="AE144:AJ157" si="95">AE$11*$E144</f>
        <v>66.8</v>
      </c>
      <c r="AF144" s="292">
        <f t="shared" si="95"/>
        <v>64.400000000000006</v>
      </c>
      <c r="AG144" s="292">
        <f t="shared" si="95"/>
        <v>60.8</v>
      </c>
      <c r="AH144" s="292">
        <f t="shared" si="95"/>
        <v>60.4</v>
      </c>
      <c r="AI144" s="292">
        <f t="shared" si="95"/>
        <v>60.8</v>
      </c>
      <c r="AJ144" s="292">
        <f t="shared" si="95"/>
        <v>69.599999999999994</v>
      </c>
      <c r="AK144" s="326"/>
      <c r="AL144" s="326"/>
      <c r="AM144" s="327"/>
      <c r="AN144" s="314"/>
    </row>
    <row r="145" spans="1:40" ht="16.5" customHeight="1" x14ac:dyDescent="0.25">
      <c r="A145" s="257">
        <v>340150</v>
      </c>
      <c r="B145" s="258" t="s">
        <v>87</v>
      </c>
      <c r="C145" s="259" t="s">
        <v>528</v>
      </c>
      <c r="D145" s="458"/>
      <c r="E145" s="288">
        <v>4</v>
      </c>
      <c r="F145" s="262" cm="1">
        <f t="array" ref="F145">SUMPRODUCT((1*($G$9:$AM$9="x")),G145:AM145)</f>
        <v>136.4</v>
      </c>
      <c r="G145" s="315">
        <f t="shared" si="94"/>
        <v>37.200000000000003</v>
      </c>
      <c r="H145" s="320">
        <f t="shared" si="94"/>
        <v>46.8</v>
      </c>
      <c r="I145" s="320">
        <f t="shared" si="94"/>
        <v>43.6</v>
      </c>
      <c r="J145" s="320">
        <f t="shared" si="94"/>
        <v>42.8</v>
      </c>
      <c r="K145" s="316">
        <f t="shared" si="94"/>
        <v>49.2</v>
      </c>
      <c r="L145" s="351">
        <f t="shared" si="94"/>
        <v>96</v>
      </c>
      <c r="M145" s="352">
        <f t="shared" si="94"/>
        <v>51.2</v>
      </c>
      <c r="N145" s="352">
        <f t="shared" si="94"/>
        <v>48.4</v>
      </c>
      <c r="O145" s="353">
        <f t="shared" si="94"/>
        <v>32</v>
      </c>
      <c r="P145" s="352">
        <f t="shared" si="94"/>
        <v>30.8</v>
      </c>
      <c r="Q145" s="354">
        <f t="shared" si="94"/>
        <v>55.2</v>
      </c>
      <c r="R145" s="314"/>
      <c r="S145" s="355">
        <f t="shared" ref="S145:S157" si="96">E145*$S$11</f>
        <v>22.8</v>
      </c>
      <c r="T145" s="356">
        <f t="shared" ref="T145:T157" si="97">E145*$T$11</f>
        <v>22.8</v>
      </c>
      <c r="U145" s="323">
        <f t="shared" ref="U145:U157" si="98">E145*$U$11</f>
        <v>33.6</v>
      </c>
      <c r="V145" s="314"/>
      <c r="W145" s="291">
        <f t="shared" ref="W145:Z157" si="99">W$11*$E145</f>
        <v>48</v>
      </c>
      <c r="X145" s="292">
        <f t="shared" si="99"/>
        <v>51.2</v>
      </c>
      <c r="Y145" s="292">
        <f t="shared" si="99"/>
        <v>51.2</v>
      </c>
      <c r="Z145" s="292">
        <f t="shared" si="99"/>
        <v>47.2</v>
      </c>
      <c r="AA145" s="264"/>
      <c r="AB145" s="264"/>
      <c r="AC145" s="293">
        <f t="shared" ref="AC145:AC157" si="100">AC$11*$E145</f>
        <v>51.2</v>
      </c>
      <c r="AD145" s="222"/>
      <c r="AE145" s="291">
        <f t="shared" si="95"/>
        <v>66.8</v>
      </c>
      <c r="AF145" s="292">
        <f t="shared" si="95"/>
        <v>64.400000000000006</v>
      </c>
      <c r="AG145" s="292">
        <f t="shared" si="95"/>
        <v>60.8</v>
      </c>
      <c r="AH145" s="292">
        <f t="shared" si="95"/>
        <v>60.4</v>
      </c>
      <c r="AI145" s="292">
        <f t="shared" si="95"/>
        <v>60.8</v>
      </c>
      <c r="AJ145" s="292">
        <f t="shared" si="95"/>
        <v>69.599999999999994</v>
      </c>
      <c r="AK145" s="326"/>
      <c r="AL145" s="326"/>
      <c r="AM145" s="327"/>
      <c r="AN145" s="314"/>
    </row>
    <row r="146" spans="1:40" ht="16.5" customHeight="1" x14ac:dyDescent="0.25">
      <c r="A146" s="257">
        <v>345500</v>
      </c>
      <c r="B146" s="258" t="s">
        <v>88</v>
      </c>
      <c r="C146" s="259" t="s">
        <v>528</v>
      </c>
      <c r="D146" s="458"/>
      <c r="E146" s="288">
        <v>4</v>
      </c>
      <c r="F146" s="262" cm="1">
        <f t="array" ref="F146">SUMPRODUCT((1*($G$9:$AM$9="x")),G146:AM146)</f>
        <v>136.4</v>
      </c>
      <c r="G146" s="315">
        <f t="shared" si="94"/>
        <v>37.200000000000003</v>
      </c>
      <c r="H146" s="320">
        <f t="shared" si="94"/>
        <v>46.8</v>
      </c>
      <c r="I146" s="320">
        <f t="shared" si="94"/>
        <v>43.6</v>
      </c>
      <c r="J146" s="320">
        <f t="shared" si="94"/>
        <v>42.8</v>
      </c>
      <c r="K146" s="316">
        <f t="shared" si="94"/>
        <v>49.2</v>
      </c>
      <c r="L146" s="351">
        <f t="shared" si="94"/>
        <v>96</v>
      </c>
      <c r="M146" s="352">
        <f t="shared" si="94"/>
        <v>51.2</v>
      </c>
      <c r="N146" s="352">
        <f t="shared" si="94"/>
        <v>48.4</v>
      </c>
      <c r="O146" s="353">
        <f t="shared" si="94"/>
        <v>32</v>
      </c>
      <c r="P146" s="352">
        <f t="shared" si="94"/>
        <v>30.8</v>
      </c>
      <c r="Q146" s="354">
        <f t="shared" si="94"/>
        <v>55.2</v>
      </c>
      <c r="R146" s="314"/>
      <c r="S146" s="355">
        <f t="shared" si="96"/>
        <v>22.8</v>
      </c>
      <c r="T146" s="356">
        <f t="shared" si="97"/>
        <v>22.8</v>
      </c>
      <c r="U146" s="323">
        <f t="shared" si="98"/>
        <v>33.6</v>
      </c>
      <c r="V146" s="314"/>
      <c r="W146" s="291">
        <f t="shared" si="99"/>
        <v>48</v>
      </c>
      <c r="X146" s="292">
        <f t="shared" si="99"/>
        <v>51.2</v>
      </c>
      <c r="Y146" s="292">
        <f t="shared" si="99"/>
        <v>51.2</v>
      </c>
      <c r="Z146" s="292">
        <f t="shared" si="99"/>
        <v>47.2</v>
      </c>
      <c r="AA146" s="264"/>
      <c r="AB146" s="264"/>
      <c r="AC146" s="293">
        <f t="shared" si="100"/>
        <v>51.2</v>
      </c>
      <c r="AD146" s="222"/>
      <c r="AE146" s="291">
        <f t="shared" si="95"/>
        <v>66.8</v>
      </c>
      <c r="AF146" s="292">
        <f t="shared" si="95"/>
        <v>64.400000000000006</v>
      </c>
      <c r="AG146" s="292">
        <f t="shared" si="95"/>
        <v>60.8</v>
      </c>
      <c r="AH146" s="292">
        <f t="shared" si="95"/>
        <v>60.4</v>
      </c>
      <c r="AI146" s="292">
        <f t="shared" si="95"/>
        <v>60.8</v>
      </c>
      <c r="AJ146" s="292">
        <f t="shared" si="95"/>
        <v>69.599999999999994</v>
      </c>
      <c r="AK146" s="326"/>
      <c r="AL146" s="326"/>
      <c r="AM146" s="327"/>
      <c r="AN146" s="314"/>
    </row>
    <row r="147" spans="1:40" ht="16.5" customHeight="1" x14ac:dyDescent="0.25">
      <c r="A147" s="257">
        <v>340210</v>
      </c>
      <c r="B147" s="258" t="s">
        <v>89</v>
      </c>
      <c r="C147" s="259" t="s">
        <v>528</v>
      </c>
      <c r="D147" s="458"/>
      <c r="E147" s="288">
        <v>4</v>
      </c>
      <c r="F147" s="262" cm="1">
        <f t="array" ref="F147">SUMPRODUCT((1*($G$9:$AM$9="x")),G147:AM147)</f>
        <v>136.4</v>
      </c>
      <c r="G147" s="315">
        <f t="shared" si="94"/>
        <v>37.200000000000003</v>
      </c>
      <c r="H147" s="320">
        <f t="shared" si="94"/>
        <v>46.8</v>
      </c>
      <c r="I147" s="320">
        <f t="shared" si="94"/>
        <v>43.6</v>
      </c>
      <c r="J147" s="320">
        <f t="shared" si="94"/>
        <v>42.8</v>
      </c>
      <c r="K147" s="316">
        <f t="shared" si="94"/>
        <v>49.2</v>
      </c>
      <c r="L147" s="351">
        <f t="shared" si="94"/>
        <v>96</v>
      </c>
      <c r="M147" s="352">
        <f t="shared" si="94"/>
        <v>51.2</v>
      </c>
      <c r="N147" s="352">
        <f t="shared" si="94"/>
        <v>48.4</v>
      </c>
      <c r="O147" s="353">
        <f t="shared" si="94"/>
        <v>32</v>
      </c>
      <c r="P147" s="352">
        <f t="shared" si="94"/>
        <v>30.8</v>
      </c>
      <c r="Q147" s="354">
        <f t="shared" si="94"/>
        <v>55.2</v>
      </c>
      <c r="R147" s="314"/>
      <c r="S147" s="355">
        <f t="shared" si="96"/>
        <v>22.8</v>
      </c>
      <c r="T147" s="356">
        <f t="shared" si="97"/>
        <v>22.8</v>
      </c>
      <c r="U147" s="323">
        <f t="shared" si="98"/>
        <v>33.6</v>
      </c>
      <c r="V147" s="314"/>
      <c r="W147" s="291">
        <f t="shared" si="99"/>
        <v>48</v>
      </c>
      <c r="X147" s="292">
        <f t="shared" si="99"/>
        <v>51.2</v>
      </c>
      <c r="Y147" s="292">
        <f t="shared" si="99"/>
        <v>51.2</v>
      </c>
      <c r="Z147" s="292">
        <f t="shared" si="99"/>
        <v>47.2</v>
      </c>
      <c r="AA147" s="264"/>
      <c r="AB147" s="264"/>
      <c r="AC147" s="293">
        <f t="shared" si="100"/>
        <v>51.2</v>
      </c>
      <c r="AD147" s="222"/>
      <c r="AE147" s="291">
        <f t="shared" si="95"/>
        <v>66.8</v>
      </c>
      <c r="AF147" s="292">
        <f t="shared" si="95"/>
        <v>64.400000000000006</v>
      </c>
      <c r="AG147" s="292">
        <f t="shared" si="95"/>
        <v>60.8</v>
      </c>
      <c r="AH147" s="292">
        <f t="shared" si="95"/>
        <v>60.4</v>
      </c>
      <c r="AI147" s="292">
        <f t="shared" si="95"/>
        <v>60.8</v>
      </c>
      <c r="AJ147" s="292">
        <f t="shared" si="95"/>
        <v>69.599999999999994</v>
      </c>
      <c r="AK147" s="326"/>
      <c r="AL147" s="326"/>
      <c r="AM147" s="327"/>
      <c r="AN147" s="314"/>
    </row>
    <row r="148" spans="1:40" ht="16.5" customHeight="1" x14ac:dyDescent="0.25">
      <c r="A148" s="257">
        <v>340270</v>
      </c>
      <c r="B148" s="258" t="s">
        <v>90</v>
      </c>
      <c r="C148" s="259" t="s">
        <v>528</v>
      </c>
      <c r="D148" s="458"/>
      <c r="E148" s="288">
        <v>4</v>
      </c>
      <c r="F148" s="262" cm="1">
        <f t="array" ref="F148">SUMPRODUCT((1*($G$9:$AM$9="x")),G148:AM148)</f>
        <v>136.4</v>
      </c>
      <c r="G148" s="315">
        <f t="shared" si="94"/>
        <v>37.200000000000003</v>
      </c>
      <c r="H148" s="320">
        <f t="shared" si="94"/>
        <v>46.8</v>
      </c>
      <c r="I148" s="320">
        <f t="shared" si="94"/>
        <v>43.6</v>
      </c>
      <c r="J148" s="320">
        <f t="shared" si="94"/>
        <v>42.8</v>
      </c>
      <c r="K148" s="316">
        <f t="shared" si="94"/>
        <v>49.2</v>
      </c>
      <c r="L148" s="351">
        <f t="shared" si="94"/>
        <v>96</v>
      </c>
      <c r="M148" s="352">
        <f t="shared" si="94"/>
        <v>51.2</v>
      </c>
      <c r="N148" s="352">
        <f t="shared" si="94"/>
        <v>48.4</v>
      </c>
      <c r="O148" s="353">
        <f t="shared" si="94"/>
        <v>32</v>
      </c>
      <c r="P148" s="352">
        <f t="shared" si="94"/>
        <v>30.8</v>
      </c>
      <c r="Q148" s="354">
        <f t="shared" si="94"/>
        <v>55.2</v>
      </c>
      <c r="R148" s="314"/>
      <c r="S148" s="355">
        <f t="shared" si="96"/>
        <v>22.8</v>
      </c>
      <c r="T148" s="356">
        <f t="shared" si="97"/>
        <v>22.8</v>
      </c>
      <c r="U148" s="323">
        <f t="shared" si="98"/>
        <v>33.6</v>
      </c>
      <c r="V148" s="314"/>
      <c r="W148" s="291">
        <f t="shared" si="99"/>
        <v>48</v>
      </c>
      <c r="X148" s="292">
        <f t="shared" si="99"/>
        <v>51.2</v>
      </c>
      <c r="Y148" s="292">
        <f t="shared" si="99"/>
        <v>51.2</v>
      </c>
      <c r="Z148" s="292">
        <f t="shared" si="99"/>
        <v>47.2</v>
      </c>
      <c r="AA148" s="264"/>
      <c r="AB148" s="264"/>
      <c r="AC148" s="293">
        <f t="shared" si="100"/>
        <v>51.2</v>
      </c>
      <c r="AD148" s="222"/>
      <c r="AE148" s="291">
        <f t="shared" si="95"/>
        <v>66.8</v>
      </c>
      <c r="AF148" s="292">
        <f t="shared" si="95"/>
        <v>64.400000000000006</v>
      </c>
      <c r="AG148" s="292">
        <f t="shared" si="95"/>
        <v>60.8</v>
      </c>
      <c r="AH148" s="292">
        <f t="shared" si="95"/>
        <v>60.4</v>
      </c>
      <c r="AI148" s="292">
        <f t="shared" si="95"/>
        <v>60.8</v>
      </c>
      <c r="AJ148" s="292">
        <f t="shared" si="95"/>
        <v>69.599999999999994</v>
      </c>
      <c r="AK148" s="326"/>
      <c r="AL148" s="326"/>
      <c r="AM148" s="327"/>
      <c r="AN148" s="314"/>
    </row>
    <row r="149" spans="1:40" ht="16.5" customHeight="1" x14ac:dyDescent="0.25">
      <c r="A149" s="257">
        <v>340110</v>
      </c>
      <c r="B149" s="258" t="s">
        <v>91</v>
      </c>
      <c r="C149" s="259" t="s">
        <v>528</v>
      </c>
      <c r="D149" s="458"/>
      <c r="E149" s="288">
        <v>4</v>
      </c>
      <c r="F149" s="262" cm="1">
        <f t="array" ref="F149">SUMPRODUCT((1*($G$9:$AM$9="x")),G149:AM149)</f>
        <v>136.4</v>
      </c>
      <c r="G149" s="315">
        <f t="shared" si="94"/>
        <v>37.200000000000003</v>
      </c>
      <c r="H149" s="320">
        <f t="shared" si="94"/>
        <v>46.8</v>
      </c>
      <c r="I149" s="320">
        <f t="shared" si="94"/>
        <v>43.6</v>
      </c>
      <c r="J149" s="320">
        <f t="shared" si="94"/>
        <v>42.8</v>
      </c>
      <c r="K149" s="316">
        <f t="shared" si="94"/>
        <v>49.2</v>
      </c>
      <c r="L149" s="351">
        <f t="shared" si="94"/>
        <v>96</v>
      </c>
      <c r="M149" s="352">
        <f t="shared" si="94"/>
        <v>51.2</v>
      </c>
      <c r="N149" s="352">
        <f t="shared" si="94"/>
        <v>48.4</v>
      </c>
      <c r="O149" s="353">
        <f t="shared" si="94"/>
        <v>32</v>
      </c>
      <c r="P149" s="352">
        <f t="shared" si="94"/>
        <v>30.8</v>
      </c>
      <c r="Q149" s="354">
        <f t="shared" si="94"/>
        <v>55.2</v>
      </c>
      <c r="R149" s="314"/>
      <c r="S149" s="355">
        <f t="shared" si="96"/>
        <v>22.8</v>
      </c>
      <c r="T149" s="356">
        <f t="shared" si="97"/>
        <v>22.8</v>
      </c>
      <c r="U149" s="323">
        <f t="shared" si="98"/>
        <v>33.6</v>
      </c>
      <c r="V149" s="314"/>
      <c r="W149" s="291">
        <f t="shared" si="99"/>
        <v>48</v>
      </c>
      <c r="X149" s="292">
        <f t="shared" si="99"/>
        <v>51.2</v>
      </c>
      <c r="Y149" s="292">
        <f t="shared" si="99"/>
        <v>51.2</v>
      </c>
      <c r="Z149" s="292">
        <f t="shared" si="99"/>
        <v>47.2</v>
      </c>
      <c r="AA149" s="264"/>
      <c r="AB149" s="264"/>
      <c r="AC149" s="293">
        <f t="shared" si="100"/>
        <v>51.2</v>
      </c>
      <c r="AD149" s="222"/>
      <c r="AE149" s="291">
        <f t="shared" si="95"/>
        <v>66.8</v>
      </c>
      <c r="AF149" s="292">
        <f t="shared" si="95"/>
        <v>64.400000000000006</v>
      </c>
      <c r="AG149" s="292">
        <f t="shared" si="95"/>
        <v>60.8</v>
      </c>
      <c r="AH149" s="292">
        <f t="shared" si="95"/>
        <v>60.4</v>
      </c>
      <c r="AI149" s="292">
        <f t="shared" si="95"/>
        <v>60.8</v>
      </c>
      <c r="AJ149" s="292">
        <f t="shared" si="95"/>
        <v>69.599999999999994</v>
      </c>
      <c r="AK149" s="326"/>
      <c r="AL149" s="326"/>
      <c r="AM149" s="327"/>
      <c r="AN149" s="314"/>
    </row>
    <row r="150" spans="1:40" ht="16.5" customHeight="1" x14ac:dyDescent="0.25">
      <c r="A150" s="257">
        <v>342220</v>
      </c>
      <c r="B150" s="258" t="s">
        <v>427</v>
      </c>
      <c r="C150" s="259" t="s">
        <v>528</v>
      </c>
      <c r="D150" s="458"/>
      <c r="E150" s="288">
        <v>4</v>
      </c>
      <c r="F150" s="262" cm="1">
        <f t="array" ref="F150">SUMPRODUCT((1*($G$9:$AM$9="x")),G150:AM150)</f>
        <v>136.4</v>
      </c>
      <c r="G150" s="315">
        <f t="shared" si="94"/>
        <v>37.200000000000003</v>
      </c>
      <c r="H150" s="320">
        <f t="shared" si="94"/>
        <v>46.8</v>
      </c>
      <c r="I150" s="320">
        <f t="shared" si="94"/>
        <v>43.6</v>
      </c>
      <c r="J150" s="320">
        <f t="shared" si="94"/>
        <v>42.8</v>
      </c>
      <c r="K150" s="316">
        <f t="shared" si="94"/>
        <v>49.2</v>
      </c>
      <c r="L150" s="351">
        <f t="shared" si="94"/>
        <v>96</v>
      </c>
      <c r="M150" s="352">
        <f t="shared" si="94"/>
        <v>51.2</v>
      </c>
      <c r="N150" s="352">
        <f t="shared" si="94"/>
        <v>48.4</v>
      </c>
      <c r="O150" s="353">
        <f t="shared" si="94"/>
        <v>32</v>
      </c>
      <c r="P150" s="352">
        <f t="shared" si="94"/>
        <v>30.8</v>
      </c>
      <c r="Q150" s="354">
        <f t="shared" si="94"/>
        <v>55.2</v>
      </c>
      <c r="R150" s="314"/>
      <c r="S150" s="355">
        <f t="shared" si="96"/>
        <v>22.8</v>
      </c>
      <c r="T150" s="356">
        <f t="shared" si="97"/>
        <v>22.8</v>
      </c>
      <c r="U150" s="323">
        <f t="shared" si="98"/>
        <v>33.6</v>
      </c>
      <c r="V150" s="314"/>
      <c r="W150" s="291">
        <f t="shared" si="99"/>
        <v>48</v>
      </c>
      <c r="X150" s="292">
        <f t="shared" si="99"/>
        <v>51.2</v>
      </c>
      <c r="Y150" s="292">
        <f t="shared" si="99"/>
        <v>51.2</v>
      </c>
      <c r="Z150" s="292">
        <f t="shared" si="99"/>
        <v>47.2</v>
      </c>
      <c r="AA150" s="264"/>
      <c r="AB150" s="264"/>
      <c r="AC150" s="293">
        <f t="shared" si="100"/>
        <v>51.2</v>
      </c>
      <c r="AD150" s="222"/>
      <c r="AE150" s="291">
        <f t="shared" si="95"/>
        <v>66.8</v>
      </c>
      <c r="AF150" s="292">
        <f t="shared" si="95"/>
        <v>64.400000000000006</v>
      </c>
      <c r="AG150" s="292">
        <f t="shared" si="95"/>
        <v>60.8</v>
      </c>
      <c r="AH150" s="292">
        <f t="shared" si="95"/>
        <v>60.4</v>
      </c>
      <c r="AI150" s="292">
        <f t="shared" si="95"/>
        <v>60.8</v>
      </c>
      <c r="AJ150" s="292">
        <f t="shared" si="95"/>
        <v>69.599999999999994</v>
      </c>
      <c r="AK150" s="326"/>
      <c r="AL150" s="326"/>
      <c r="AM150" s="327"/>
      <c r="AN150" s="314"/>
    </row>
    <row r="151" spans="1:40" ht="16.5" customHeight="1" x14ac:dyDescent="0.25">
      <c r="A151" s="257">
        <v>340100</v>
      </c>
      <c r="B151" s="258" t="s">
        <v>94</v>
      </c>
      <c r="C151" s="259" t="s">
        <v>528</v>
      </c>
      <c r="D151" s="458"/>
      <c r="E151" s="288">
        <v>4</v>
      </c>
      <c r="F151" s="262" cm="1">
        <f t="array" ref="F151">SUMPRODUCT((1*($G$9:$AM$9="x")),G151:AM151)</f>
        <v>136.4</v>
      </c>
      <c r="G151" s="315">
        <f t="shared" si="94"/>
        <v>37.200000000000003</v>
      </c>
      <c r="H151" s="320">
        <f t="shared" si="94"/>
        <v>46.8</v>
      </c>
      <c r="I151" s="320">
        <f t="shared" si="94"/>
        <v>43.6</v>
      </c>
      <c r="J151" s="320">
        <f t="shared" si="94"/>
        <v>42.8</v>
      </c>
      <c r="K151" s="316">
        <f t="shared" si="94"/>
        <v>49.2</v>
      </c>
      <c r="L151" s="351">
        <f t="shared" si="94"/>
        <v>96</v>
      </c>
      <c r="M151" s="352">
        <f t="shared" si="94"/>
        <v>51.2</v>
      </c>
      <c r="N151" s="352">
        <f t="shared" si="94"/>
        <v>48.4</v>
      </c>
      <c r="O151" s="353">
        <f t="shared" si="94"/>
        <v>32</v>
      </c>
      <c r="P151" s="352">
        <f t="shared" si="94"/>
        <v>30.8</v>
      </c>
      <c r="Q151" s="354">
        <f t="shared" si="94"/>
        <v>55.2</v>
      </c>
      <c r="R151" s="314"/>
      <c r="S151" s="355">
        <f t="shared" si="96"/>
        <v>22.8</v>
      </c>
      <c r="T151" s="356">
        <f t="shared" si="97"/>
        <v>22.8</v>
      </c>
      <c r="U151" s="323">
        <f t="shared" si="98"/>
        <v>33.6</v>
      </c>
      <c r="V151" s="314"/>
      <c r="W151" s="291">
        <f t="shared" si="99"/>
        <v>48</v>
      </c>
      <c r="X151" s="292">
        <f t="shared" si="99"/>
        <v>51.2</v>
      </c>
      <c r="Y151" s="292">
        <f t="shared" si="99"/>
        <v>51.2</v>
      </c>
      <c r="Z151" s="292">
        <f t="shared" si="99"/>
        <v>47.2</v>
      </c>
      <c r="AA151" s="264"/>
      <c r="AB151" s="264"/>
      <c r="AC151" s="293">
        <f t="shared" si="100"/>
        <v>51.2</v>
      </c>
      <c r="AD151" s="222"/>
      <c r="AE151" s="291">
        <f t="shared" si="95"/>
        <v>66.8</v>
      </c>
      <c r="AF151" s="292">
        <f t="shared" si="95"/>
        <v>64.400000000000006</v>
      </c>
      <c r="AG151" s="292">
        <f t="shared" si="95"/>
        <v>60.8</v>
      </c>
      <c r="AH151" s="292">
        <f t="shared" si="95"/>
        <v>60.4</v>
      </c>
      <c r="AI151" s="292">
        <f t="shared" si="95"/>
        <v>60.8</v>
      </c>
      <c r="AJ151" s="292">
        <f t="shared" si="95"/>
        <v>69.599999999999994</v>
      </c>
      <c r="AK151" s="326"/>
      <c r="AL151" s="326"/>
      <c r="AM151" s="327"/>
      <c r="AN151" s="314"/>
    </row>
    <row r="152" spans="1:40" ht="16.5" customHeight="1" x14ac:dyDescent="0.25">
      <c r="A152" s="257">
        <v>340620</v>
      </c>
      <c r="B152" s="258" t="s">
        <v>92</v>
      </c>
      <c r="C152" s="259" t="s">
        <v>528</v>
      </c>
      <c r="D152" s="458"/>
      <c r="E152" s="288">
        <v>4</v>
      </c>
      <c r="F152" s="262" cm="1">
        <f t="array" ref="F152">SUMPRODUCT((1*($G$9:$AM$9="x")),G152:AM152)</f>
        <v>136.4</v>
      </c>
      <c r="G152" s="315">
        <f t="shared" si="94"/>
        <v>37.200000000000003</v>
      </c>
      <c r="H152" s="320">
        <f t="shared" si="94"/>
        <v>46.8</v>
      </c>
      <c r="I152" s="320">
        <f t="shared" si="94"/>
        <v>43.6</v>
      </c>
      <c r="J152" s="320">
        <f t="shared" si="94"/>
        <v>42.8</v>
      </c>
      <c r="K152" s="316">
        <f t="shared" si="94"/>
        <v>49.2</v>
      </c>
      <c r="L152" s="351">
        <f t="shared" si="94"/>
        <v>96</v>
      </c>
      <c r="M152" s="352">
        <f t="shared" si="94"/>
        <v>51.2</v>
      </c>
      <c r="N152" s="352">
        <f t="shared" si="94"/>
        <v>48.4</v>
      </c>
      <c r="O152" s="353">
        <f t="shared" si="94"/>
        <v>32</v>
      </c>
      <c r="P152" s="352">
        <f t="shared" si="94"/>
        <v>30.8</v>
      </c>
      <c r="Q152" s="354">
        <f t="shared" si="94"/>
        <v>55.2</v>
      </c>
      <c r="R152" s="314"/>
      <c r="S152" s="355">
        <f t="shared" si="96"/>
        <v>22.8</v>
      </c>
      <c r="T152" s="356">
        <f t="shared" si="97"/>
        <v>22.8</v>
      </c>
      <c r="U152" s="323">
        <f t="shared" si="98"/>
        <v>33.6</v>
      </c>
      <c r="V152" s="314"/>
      <c r="W152" s="291">
        <f t="shared" si="99"/>
        <v>48</v>
      </c>
      <c r="X152" s="292">
        <f t="shared" si="99"/>
        <v>51.2</v>
      </c>
      <c r="Y152" s="292">
        <f t="shared" si="99"/>
        <v>51.2</v>
      </c>
      <c r="Z152" s="292">
        <f t="shared" si="99"/>
        <v>47.2</v>
      </c>
      <c r="AA152" s="264"/>
      <c r="AB152" s="264"/>
      <c r="AC152" s="293">
        <f t="shared" si="100"/>
        <v>51.2</v>
      </c>
      <c r="AD152" s="222"/>
      <c r="AE152" s="291">
        <f t="shared" si="95"/>
        <v>66.8</v>
      </c>
      <c r="AF152" s="292">
        <f t="shared" si="95"/>
        <v>64.400000000000006</v>
      </c>
      <c r="AG152" s="292">
        <f t="shared" si="95"/>
        <v>60.8</v>
      </c>
      <c r="AH152" s="292">
        <f t="shared" si="95"/>
        <v>60.4</v>
      </c>
      <c r="AI152" s="292">
        <f t="shared" si="95"/>
        <v>60.8</v>
      </c>
      <c r="AJ152" s="292">
        <f t="shared" si="95"/>
        <v>69.599999999999994</v>
      </c>
      <c r="AK152" s="326"/>
      <c r="AL152" s="326"/>
      <c r="AM152" s="327"/>
      <c r="AN152" s="314"/>
    </row>
    <row r="153" spans="1:40" ht="16.5" customHeight="1" x14ac:dyDescent="0.25">
      <c r="A153" s="257">
        <v>341840</v>
      </c>
      <c r="B153" s="258" t="s">
        <v>95</v>
      </c>
      <c r="C153" s="259" t="s">
        <v>528</v>
      </c>
      <c r="D153" s="458"/>
      <c r="E153" s="288">
        <v>4</v>
      </c>
      <c r="F153" s="262" cm="1">
        <f t="array" ref="F153">SUMPRODUCT((1*($G$9:$AM$9="x")),G153:AM153)</f>
        <v>136.4</v>
      </c>
      <c r="G153" s="315">
        <f t="shared" si="94"/>
        <v>37.200000000000003</v>
      </c>
      <c r="H153" s="320">
        <f t="shared" si="94"/>
        <v>46.8</v>
      </c>
      <c r="I153" s="320">
        <f t="shared" si="94"/>
        <v>43.6</v>
      </c>
      <c r="J153" s="320">
        <f t="shared" si="94"/>
        <v>42.8</v>
      </c>
      <c r="K153" s="316">
        <f t="shared" si="94"/>
        <v>49.2</v>
      </c>
      <c r="L153" s="351">
        <f t="shared" si="94"/>
        <v>96</v>
      </c>
      <c r="M153" s="352">
        <f t="shared" si="94"/>
        <v>51.2</v>
      </c>
      <c r="N153" s="352">
        <f t="shared" si="94"/>
        <v>48.4</v>
      </c>
      <c r="O153" s="353">
        <f t="shared" si="94"/>
        <v>32</v>
      </c>
      <c r="P153" s="352">
        <f t="shared" si="94"/>
        <v>30.8</v>
      </c>
      <c r="Q153" s="354">
        <f t="shared" si="94"/>
        <v>55.2</v>
      </c>
      <c r="R153" s="314"/>
      <c r="S153" s="355">
        <f t="shared" si="96"/>
        <v>22.8</v>
      </c>
      <c r="T153" s="356">
        <f t="shared" si="97"/>
        <v>22.8</v>
      </c>
      <c r="U153" s="323">
        <f t="shared" si="98"/>
        <v>33.6</v>
      </c>
      <c r="V153" s="314"/>
      <c r="W153" s="291">
        <f t="shared" si="99"/>
        <v>48</v>
      </c>
      <c r="X153" s="292">
        <f t="shared" si="99"/>
        <v>51.2</v>
      </c>
      <c r="Y153" s="292">
        <f t="shared" si="99"/>
        <v>51.2</v>
      </c>
      <c r="Z153" s="292">
        <f t="shared" si="99"/>
        <v>47.2</v>
      </c>
      <c r="AA153" s="264"/>
      <c r="AB153" s="264"/>
      <c r="AC153" s="293">
        <f t="shared" si="100"/>
        <v>51.2</v>
      </c>
      <c r="AD153" s="222"/>
      <c r="AE153" s="291">
        <f t="shared" si="95"/>
        <v>66.8</v>
      </c>
      <c r="AF153" s="292">
        <f t="shared" si="95"/>
        <v>64.400000000000006</v>
      </c>
      <c r="AG153" s="292">
        <f t="shared" si="95"/>
        <v>60.8</v>
      </c>
      <c r="AH153" s="292">
        <f t="shared" si="95"/>
        <v>60.4</v>
      </c>
      <c r="AI153" s="292">
        <f t="shared" si="95"/>
        <v>60.8</v>
      </c>
      <c r="AJ153" s="292">
        <f t="shared" si="95"/>
        <v>69.599999999999994</v>
      </c>
      <c r="AK153" s="326"/>
      <c r="AL153" s="326"/>
      <c r="AM153" s="327"/>
      <c r="AN153" s="314"/>
    </row>
    <row r="154" spans="1:40" ht="16.5" customHeight="1" x14ac:dyDescent="0.25">
      <c r="A154" s="257">
        <v>341150</v>
      </c>
      <c r="B154" s="258" t="s">
        <v>428</v>
      </c>
      <c r="C154" s="259" t="s">
        <v>528</v>
      </c>
      <c r="D154" s="458"/>
      <c r="E154" s="288">
        <v>4</v>
      </c>
      <c r="F154" s="262" cm="1">
        <f t="array" ref="F154">SUMPRODUCT((1*($G$9:$AM$9="x")),G154:AM154)</f>
        <v>136.4</v>
      </c>
      <c r="G154" s="315">
        <f t="shared" si="94"/>
        <v>37.200000000000003</v>
      </c>
      <c r="H154" s="320">
        <f t="shared" si="94"/>
        <v>46.8</v>
      </c>
      <c r="I154" s="320">
        <f t="shared" si="94"/>
        <v>43.6</v>
      </c>
      <c r="J154" s="320">
        <f t="shared" si="94"/>
        <v>42.8</v>
      </c>
      <c r="K154" s="316">
        <f t="shared" si="94"/>
        <v>49.2</v>
      </c>
      <c r="L154" s="351">
        <f t="shared" si="94"/>
        <v>96</v>
      </c>
      <c r="M154" s="352">
        <f t="shared" si="94"/>
        <v>51.2</v>
      </c>
      <c r="N154" s="352">
        <f t="shared" si="94"/>
        <v>48.4</v>
      </c>
      <c r="O154" s="353">
        <f t="shared" si="94"/>
        <v>32</v>
      </c>
      <c r="P154" s="352">
        <f t="shared" si="94"/>
        <v>30.8</v>
      </c>
      <c r="Q154" s="354">
        <f t="shared" si="94"/>
        <v>55.2</v>
      </c>
      <c r="R154" s="314"/>
      <c r="S154" s="355">
        <f t="shared" si="96"/>
        <v>22.8</v>
      </c>
      <c r="T154" s="356">
        <f t="shared" si="97"/>
        <v>22.8</v>
      </c>
      <c r="U154" s="323">
        <f t="shared" si="98"/>
        <v>33.6</v>
      </c>
      <c r="V154" s="314"/>
      <c r="W154" s="291">
        <f t="shared" si="99"/>
        <v>48</v>
      </c>
      <c r="X154" s="292">
        <f t="shared" si="99"/>
        <v>51.2</v>
      </c>
      <c r="Y154" s="292">
        <f t="shared" si="99"/>
        <v>51.2</v>
      </c>
      <c r="Z154" s="292">
        <f t="shared" si="99"/>
        <v>47.2</v>
      </c>
      <c r="AA154" s="264"/>
      <c r="AB154" s="264"/>
      <c r="AC154" s="293">
        <f t="shared" si="100"/>
        <v>51.2</v>
      </c>
      <c r="AD154" s="222"/>
      <c r="AE154" s="291">
        <f t="shared" si="95"/>
        <v>66.8</v>
      </c>
      <c r="AF154" s="292">
        <f t="shared" si="95"/>
        <v>64.400000000000006</v>
      </c>
      <c r="AG154" s="292">
        <f t="shared" si="95"/>
        <v>60.8</v>
      </c>
      <c r="AH154" s="292">
        <f t="shared" si="95"/>
        <v>60.4</v>
      </c>
      <c r="AI154" s="292">
        <f t="shared" si="95"/>
        <v>60.8</v>
      </c>
      <c r="AJ154" s="292">
        <f t="shared" si="95"/>
        <v>69.599999999999994</v>
      </c>
      <c r="AK154" s="326"/>
      <c r="AL154" s="326"/>
      <c r="AM154" s="327"/>
      <c r="AN154" s="314"/>
    </row>
    <row r="155" spans="1:40" ht="16.5" customHeight="1" x14ac:dyDescent="0.25">
      <c r="A155" s="257">
        <v>340250</v>
      </c>
      <c r="B155" s="258" t="s">
        <v>429</v>
      </c>
      <c r="C155" s="259" t="s">
        <v>528</v>
      </c>
      <c r="D155" s="458"/>
      <c r="E155" s="288">
        <v>4</v>
      </c>
      <c r="F155" s="262" cm="1">
        <f t="array" ref="F155">SUMPRODUCT((1*($G$9:$AM$9="x")),G155:AM155)</f>
        <v>136.4</v>
      </c>
      <c r="G155" s="315">
        <f t="shared" si="94"/>
        <v>37.200000000000003</v>
      </c>
      <c r="H155" s="320">
        <f t="shared" si="94"/>
        <v>46.8</v>
      </c>
      <c r="I155" s="320">
        <f t="shared" si="94"/>
        <v>43.6</v>
      </c>
      <c r="J155" s="320">
        <f t="shared" si="94"/>
        <v>42.8</v>
      </c>
      <c r="K155" s="316">
        <f t="shared" si="94"/>
        <v>49.2</v>
      </c>
      <c r="L155" s="351">
        <f t="shared" si="94"/>
        <v>96</v>
      </c>
      <c r="M155" s="352">
        <f t="shared" si="94"/>
        <v>51.2</v>
      </c>
      <c r="N155" s="352">
        <f t="shared" si="94"/>
        <v>48.4</v>
      </c>
      <c r="O155" s="353">
        <f t="shared" si="94"/>
        <v>32</v>
      </c>
      <c r="P155" s="352">
        <f t="shared" si="94"/>
        <v>30.8</v>
      </c>
      <c r="Q155" s="354">
        <f t="shared" si="94"/>
        <v>55.2</v>
      </c>
      <c r="R155" s="314"/>
      <c r="S155" s="355">
        <f t="shared" si="96"/>
        <v>22.8</v>
      </c>
      <c r="T155" s="356">
        <f t="shared" si="97"/>
        <v>22.8</v>
      </c>
      <c r="U155" s="323">
        <f t="shared" si="98"/>
        <v>33.6</v>
      </c>
      <c r="V155" s="314"/>
      <c r="W155" s="291">
        <f t="shared" si="99"/>
        <v>48</v>
      </c>
      <c r="X155" s="292">
        <f t="shared" si="99"/>
        <v>51.2</v>
      </c>
      <c r="Y155" s="292">
        <f t="shared" si="99"/>
        <v>51.2</v>
      </c>
      <c r="Z155" s="292">
        <f t="shared" si="99"/>
        <v>47.2</v>
      </c>
      <c r="AA155" s="264"/>
      <c r="AB155" s="264"/>
      <c r="AC155" s="293">
        <f t="shared" si="100"/>
        <v>51.2</v>
      </c>
      <c r="AD155" s="222"/>
      <c r="AE155" s="291">
        <f t="shared" si="95"/>
        <v>66.8</v>
      </c>
      <c r="AF155" s="292">
        <f t="shared" si="95"/>
        <v>64.400000000000006</v>
      </c>
      <c r="AG155" s="292">
        <f t="shared" si="95"/>
        <v>60.8</v>
      </c>
      <c r="AH155" s="292">
        <f t="shared" si="95"/>
        <v>60.4</v>
      </c>
      <c r="AI155" s="292">
        <f t="shared" si="95"/>
        <v>60.8</v>
      </c>
      <c r="AJ155" s="292">
        <f t="shared" si="95"/>
        <v>69.599999999999994</v>
      </c>
      <c r="AK155" s="326"/>
      <c r="AL155" s="326"/>
      <c r="AM155" s="327"/>
      <c r="AN155" s="314"/>
    </row>
    <row r="156" spans="1:40" ht="16.5" customHeight="1" x14ac:dyDescent="0.25">
      <c r="A156" s="257">
        <v>341680</v>
      </c>
      <c r="B156" s="258" t="s">
        <v>98</v>
      </c>
      <c r="C156" s="259" t="s">
        <v>528</v>
      </c>
      <c r="D156" s="458"/>
      <c r="E156" s="288">
        <v>4</v>
      </c>
      <c r="F156" s="262" cm="1">
        <f t="array" ref="F156">SUMPRODUCT((1*($G$9:$AM$9="x")),G156:AM156)</f>
        <v>136.4</v>
      </c>
      <c r="G156" s="315">
        <f t="shared" si="94"/>
        <v>37.200000000000003</v>
      </c>
      <c r="H156" s="320">
        <f t="shared" si="94"/>
        <v>46.8</v>
      </c>
      <c r="I156" s="320">
        <f t="shared" si="94"/>
        <v>43.6</v>
      </c>
      <c r="J156" s="320">
        <f t="shared" si="94"/>
        <v>42.8</v>
      </c>
      <c r="K156" s="316">
        <f t="shared" si="94"/>
        <v>49.2</v>
      </c>
      <c r="L156" s="351">
        <f t="shared" si="94"/>
        <v>96</v>
      </c>
      <c r="M156" s="352">
        <f t="shared" si="94"/>
        <v>51.2</v>
      </c>
      <c r="N156" s="352">
        <f t="shared" si="94"/>
        <v>48.4</v>
      </c>
      <c r="O156" s="353">
        <f t="shared" si="94"/>
        <v>32</v>
      </c>
      <c r="P156" s="352">
        <f t="shared" si="94"/>
        <v>30.8</v>
      </c>
      <c r="Q156" s="354">
        <f t="shared" si="94"/>
        <v>55.2</v>
      </c>
      <c r="R156" s="314"/>
      <c r="S156" s="355">
        <f t="shared" si="96"/>
        <v>22.8</v>
      </c>
      <c r="T156" s="356">
        <f t="shared" si="97"/>
        <v>22.8</v>
      </c>
      <c r="U156" s="323">
        <f t="shared" si="98"/>
        <v>33.6</v>
      </c>
      <c r="V156" s="314"/>
      <c r="W156" s="291">
        <f t="shared" si="99"/>
        <v>48</v>
      </c>
      <c r="X156" s="292">
        <f t="shared" si="99"/>
        <v>51.2</v>
      </c>
      <c r="Y156" s="292">
        <f t="shared" si="99"/>
        <v>51.2</v>
      </c>
      <c r="Z156" s="292">
        <f t="shared" si="99"/>
        <v>47.2</v>
      </c>
      <c r="AA156" s="264"/>
      <c r="AB156" s="264"/>
      <c r="AC156" s="293">
        <f t="shared" si="100"/>
        <v>51.2</v>
      </c>
      <c r="AD156" s="222"/>
      <c r="AE156" s="291">
        <f t="shared" si="95"/>
        <v>66.8</v>
      </c>
      <c r="AF156" s="292">
        <f t="shared" si="95"/>
        <v>64.400000000000006</v>
      </c>
      <c r="AG156" s="292">
        <f t="shared" si="95"/>
        <v>60.8</v>
      </c>
      <c r="AH156" s="292">
        <f t="shared" si="95"/>
        <v>60.4</v>
      </c>
      <c r="AI156" s="292">
        <f t="shared" si="95"/>
        <v>60.8</v>
      </c>
      <c r="AJ156" s="292">
        <f t="shared" si="95"/>
        <v>69.599999999999994</v>
      </c>
      <c r="AK156" s="326"/>
      <c r="AL156" s="326"/>
      <c r="AM156" s="327"/>
      <c r="AN156" s="314"/>
    </row>
    <row r="157" spans="1:40" ht="16.5" customHeight="1" x14ac:dyDescent="0.25">
      <c r="A157" s="257">
        <v>340840</v>
      </c>
      <c r="B157" s="258" t="s">
        <v>99</v>
      </c>
      <c r="C157" s="259" t="s">
        <v>528</v>
      </c>
      <c r="D157" s="458"/>
      <c r="E157" s="288">
        <v>4</v>
      </c>
      <c r="F157" s="262" cm="1">
        <f t="array" ref="F157">SUMPRODUCT((1*($G$9:$AM$9="x")),G157:AM157)</f>
        <v>136.4</v>
      </c>
      <c r="G157" s="315">
        <f t="shared" si="94"/>
        <v>37.200000000000003</v>
      </c>
      <c r="H157" s="320">
        <f t="shared" si="94"/>
        <v>46.8</v>
      </c>
      <c r="I157" s="320">
        <f t="shared" si="94"/>
        <v>43.6</v>
      </c>
      <c r="J157" s="320">
        <f t="shared" si="94"/>
        <v>42.8</v>
      </c>
      <c r="K157" s="316">
        <f t="shared" si="94"/>
        <v>49.2</v>
      </c>
      <c r="L157" s="351">
        <f t="shared" si="94"/>
        <v>96</v>
      </c>
      <c r="M157" s="352">
        <f t="shared" si="94"/>
        <v>51.2</v>
      </c>
      <c r="N157" s="352">
        <f t="shared" si="94"/>
        <v>48.4</v>
      </c>
      <c r="O157" s="353">
        <f t="shared" si="94"/>
        <v>32</v>
      </c>
      <c r="P157" s="352">
        <f t="shared" si="94"/>
        <v>30.8</v>
      </c>
      <c r="Q157" s="354">
        <f t="shared" si="94"/>
        <v>55.2</v>
      </c>
      <c r="R157" s="314"/>
      <c r="S157" s="355">
        <f t="shared" si="96"/>
        <v>22.8</v>
      </c>
      <c r="T157" s="356">
        <f t="shared" si="97"/>
        <v>22.8</v>
      </c>
      <c r="U157" s="323">
        <f t="shared" si="98"/>
        <v>33.6</v>
      </c>
      <c r="V157" s="314"/>
      <c r="W157" s="291">
        <f t="shared" si="99"/>
        <v>48</v>
      </c>
      <c r="X157" s="292">
        <f t="shared" si="99"/>
        <v>51.2</v>
      </c>
      <c r="Y157" s="292">
        <f t="shared" si="99"/>
        <v>51.2</v>
      </c>
      <c r="Z157" s="292">
        <f t="shared" si="99"/>
        <v>47.2</v>
      </c>
      <c r="AA157" s="264"/>
      <c r="AB157" s="264"/>
      <c r="AC157" s="293">
        <f t="shared" si="100"/>
        <v>51.2</v>
      </c>
      <c r="AD157" s="222"/>
      <c r="AE157" s="291">
        <f t="shared" si="95"/>
        <v>66.8</v>
      </c>
      <c r="AF157" s="292">
        <f t="shared" si="95"/>
        <v>64.400000000000006</v>
      </c>
      <c r="AG157" s="292">
        <f t="shared" si="95"/>
        <v>60.8</v>
      </c>
      <c r="AH157" s="292">
        <f t="shared" si="95"/>
        <v>60.4</v>
      </c>
      <c r="AI157" s="292">
        <f t="shared" si="95"/>
        <v>60.8</v>
      </c>
      <c r="AJ157" s="292">
        <f t="shared" si="95"/>
        <v>69.599999999999994</v>
      </c>
      <c r="AK157" s="326"/>
      <c r="AL157" s="326"/>
      <c r="AM157" s="327"/>
      <c r="AN157" s="314"/>
    </row>
    <row r="158" spans="1:40" ht="16.5" customHeight="1" x14ac:dyDescent="0.25">
      <c r="A158" s="257">
        <v>300310</v>
      </c>
      <c r="B158" s="258" t="s">
        <v>430</v>
      </c>
      <c r="C158" s="259" t="s">
        <v>528</v>
      </c>
      <c r="D158" s="299" t="s">
        <v>529</v>
      </c>
      <c r="E158" s="261"/>
      <c r="F158" s="262" cm="1">
        <f t="array" ref="F158">SUMPRODUCT((1*($G$9:$AM$9="x")),G158:AM158)</f>
        <v>0</v>
      </c>
      <c r="G158" s="263"/>
      <c r="H158" s="264"/>
      <c r="I158" s="264"/>
      <c r="J158" s="264"/>
      <c r="K158" s="265"/>
      <c r="L158" s="263"/>
      <c r="M158" s="264"/>
      <c r="N158" s="264"/>
      <c r="O158" s="285"/>
      <c r="P158" s="264"/>
      <c r="Q158" s="286"/>
      <c r="S158" s="263"/>
      <c r="T158" s="265"/>
      <c r="U158" s="266"/>
      <c r="V158" s="222"/>
      <c r="W158" s="263"/>
      <c r="X158" s="264"/>
      <c r="Y158" s="264"/>
      <c r="Z158" s="264"/>
      <c r="AA158" s="264"/>
      <c r="AB158" s="264"/>
      <c r="AC158" s="265"/>
      <c r="AD158" s="222"/>
      <c r="AE158" s="263"/>
      <c r="AF158" s="264"/>
      <c r="AG158" s="264"/>
      <c r="AH158" s="264"/>
      <c r="AI158" s="264"/>
      <c r="AJ158" s="264"/>
      <c r="AK158" s="264"/>
      <c r="AL158" s="264"/>
      <c r="AM158" s="265"/>
      <c r="AN158" s="222"/>
    </row>
    <row r="159" spans="1:40" ht="16.5" customHeight="1" x14ac:dyDescent="0.25">
      <c r="A159" s="257">
        <v>370130</v>
      </c>
      <c r="B159" s="258" t="s">
        <v>216</v>
      </c>
      <c r="C159" s="259" t="s">
        <v>528</v>
      </c>
      <c r="D159" s="299" t="s">
        <v>529</v>
      </c>
      <c r="E159" s="261"/>
      <c r="F159" s="262" cm="1">
        <f t="array" ref="F159">SUMPRODUCT((1*($G$9:$AM$9="x")),G159:AM159)</f>
        <v>0</v>
      </c>
      <c r="G159" s="263"/>
      <c r="H159" s="264"/>
      <c r="I159" s="264"/>
      <c r="J159" s="264"/>
      <c r="K159" s="265"/>
      <c r="L159" s="263"/>
      <c r="M159" s="264"/>
      <c r="N159" s="264"/>
      <c r="O159" s="285"/>
      <c r="P159" s="264"/>
      <c r="Q159" s="286"/>
      <c r="S159" s="263"/>
      <c r="T159" s="265"/>
      <c r="U159" s="266"/>
      <c r="V159" s="222"/>
      <c r="W159" s="263"/>
      <c r="X159" s="264"/>
      <c r="Y159" s="264"/>
      <c r="Z159" s="264"/>
      <c r="AA159" s="264"/>
      <c r="AB159" s="264"/>
      <c r="AC159" s="265"/>
      <c r="AD159" s="222"/>
      <c r="AE159" s="263"/>
      <c r="AF159" s="264"/>
      <c r="AG159" s="264"/>
      <c r="AH159" s="264"/>
      <c r="AI159" s="264"/>
      <c r="AJ159" s="264"/>
      <c r="AK159" s="264"/>
      <c r="AL159" s="264"/>
      <c r="AM159" s="265"/>
      <c r="AN159" s="222"/>
    </row>
    <row r="160" spans="1:40" ht="16.5" customHeight="1" x14ac:dyDescent="0.25">
      <c r="A160" s="257">
        <v>370120</v>
      </c>
      <c r="B160" s="258" t="s">
        <v>217</v>
      </c>
      <c r="C160" s="259" t="s">
        <v>528</v>
      </c>
      <c r="D160" s="299" t="s">
        <v>529</v>
      </c>
      <c r="E160" s="261"/>
      <c r="F160" s="262" cm="1">
        <f t="array" ref="F160">SUMPRODUCT((1*($G$9:$AM$9="x")),G160:AM160)</f>
        <v>0</v>
      </c>
      <c r="G160" s="263"/>
      <c r="H160" s="264"/>
      <c r="I160" s="264"/>
      <c r="J160" s="264"/>
      <c r="K160" s="265"/>
      <c r="L160" s="263"/>
      <c r="M160" s="264"/>
      <c r="N160" s="264"/>
      <c r="O160" s="285"/>
      <c r="P160" s="264"/>
      <c r="Q160" s="286"/>
      <c r="S160" s="263"/>
      <c r="T160" s="265"/>
      <c r="U160" s="266"/>
      <c r="V160" s="222"/>
      <c r="W160" s="263"/>
      <c r="X160" s="264"/>
      <c r="Y160" s="264"/>
      <c r="Z160" s="264"/>
      <c r="AA160" s="264"/>
      <c r="AB160" s="264"/>
      <c r="AC160" s="265"/>
      <c r="AD160" s="222"/>
      <c r="AE160" s="263"/>
      <c r="AF160" s="264"/>
      <c r="AG160" s="264"/>
      <c r="AH160" s="264"/>
      <c r="AI160" s="264"/>
      <c r="AJ160" s="264"/>
      <c r="AK160" s="264"/>
      <c r="AL160" s="264"/>
      <c r="AM160" s="265"/>
      <c r="AN160" s="222"/>
    </row>
    <row r="161" spans="1:40" ht="16.5" customHeight="1" x14ac:dyDescent="0.25">
      <c r="A161" s="257">
        <v>371000</v>
      </c>
      <c r="B161" s="258" t="s">
        <v>431</v>
      </c>
      <c r="C161" s="259" t="s">
        <v>538</v>
      </c>
      <c r="D161" s="299" t="s">
        <v>529</v>
      </c>
      <c r="E161" s="261"/>
      <c r="F161" s="262" cm="1">
        <f t="array" ref="F161">SUMPRODUCT((1*($G$9:$AM$9="x")),G161:AM161)</f>
        <v>0</v>
      </c>
      <c r="G161" s="263"/>
      <c r="H161" s="264"/>
      <c r="I161" s="264"/>
      <c r="J161" s="264"/>
      <c r="K161" s="265"/>
      <c r="L161" s="263"/>
      <c r="M161" s="264"/>
      <c r="N161" s="264"/>
      <c r="O161" s="285"/>
      <c r="P161" s="264"/>
      <c r="Q161" s="286"/>
      <c r="S161" s="263"/>
      <c r="T161" s="265"/>
      <c r="U161" s="266"/>
      <c r="V161" s="222"/>
      <c r="W161" s="263"/>
      <c r="X161" s="264"/>
      <c r="Y161" s="264"/>
      <c r="Z161" s="264"/>
      <c r="AA161" s="264"/>
      <c r="AB161" s="264"/>
      <c r="AC161" s="265"/>
      <c r="AD161" s="222"/>
      <c r="AE161" s="263"/>
      <c r="AF161" s="264"/>
      <c r="AG161" s="264"/>
      <c r="AH161" s="264"/>
      <c r="AI161" s="264"/>
      <c r="AJ161" s="264"/>
      <c r="AK161" s="264"/>
      <c r="AL161" s="264"/>
      <c r="AM161" s="265"/>
      <c r="AN161" s="222"/>
    </row>
    <row r="162" spans="1:40" ht="16.5" customHeight="1" x14ac:dyDescent="0.25">
      <c r="A162" s="257">
        <v>371050</v>
      </c>
      <c r="B162" s="258" t="s">
        <v>432</v>
      </c>
      <c r="C162" s="259" t="s">
        <v>538</v>
      </c>
      <c r="D162" s="299" t="s">
        <v>529</v>
      </c>
      <c r="E162" s="261"/>
      <c r="F162" s="262" cm="1">
        <f t="array" ref="F162">SUMPRODUCT((1*($G$9:$AM$9="x")),G162:AM162)</f>
        <v>0</v>
      </c>
      <c r="G162" s="263"/>
      <c r="H162" s="264"/>
      <c r="I162" s="264"/>
      <c r="J162" s="264"/>
      <c r="K162" s="265"/>
      <c r="L162" s="263"/>
      <c r="M162" s="264"/>
      <c r="N162" s="264"/>
      <c r="O162" s="285"/>
      <c r="P162" s="264"/>
      <c r="Q162" s="286"/>
      <c r="S162" s="263"/>
      <c r="T162" s="265"/>
      <c r="U162" s="266"/>
      <c r="V162" s="222"/>
      <c r="W162" s="263"/>
      <c r="X162" s="264"/>
      <c r="Y162" s="264"/>
      <c r="Z162" s="264"/>
      <c r="AA162" s="264"/>
      <c r="AB162" s="264"/>
      <c r="AC162" s="265"/>
      <c r="AD162" s="222"/>
      <c r="AE162" s="263"/>
      <c r="AF162" s="264"/>
      <c r="AG162" s="264"/>
      <c r="AH162" s="264"/>
      <c r="AI162" s="264"/>
      <c r="AJ162" s="264"/>
      <c r="AK162" s="264"/>
      <c r="AL162" s="264"/>
      <c r="AM162" s="265"/>
      <c r="AN162" s="222"/>
    </row>
    <row r="163" spans="1:40" ht="16.5" customHeight="1" x14ac:dyDescent="0.25">
      <c r="A163" s="257">
        <v>371100</v>
      </c>
      <c r="B163" s="258" t="s">
        <v>218</v>
      </c>
      <c r="C163" s="259" t="s">
        <v>538</v>
      </c>
      <c r="D163" s="299" t="s">
        <v>529</v>
      </c>
      <c r="E163" s="261"/>
      <c r="F163" s="262" cm="1">
        <f t="array" ref="F163">SUMPRODUCT((1*($G$9:$AM$9="x")),G163:AM163)</f>
        <v>0</v>
      </c>
      <c r="G163" s="263"/>
      <c r="H163" s="264"/>
      <c r="I163" s="264"/>
      <c r="J163" s="264"/>
      <c r="K163" s="265"/>
      <c r="L163" s="263"/>
      <c r="M163" s="264"/>
      <c r="N163" s="264"/>
      <c r="O163" s="285"/>
      <c r="P163" s="264"/>
      <c r="Q163" s="286"/>
      <c r="S163" s="263"/>
      <c r="T163" s="265"/>
      <c r="U163" s="266"/>
      <c r="V163" s="222"/>
      <c r="W163" s="263"/>
      <c r="X163" s="264"/>
      <c r="Y163" s="264"/>
      <c r="Z163" s="264"/>
      <c r="AA163" s="264"/>
      <c r="AB163" s="264"/>
      <c r="AC163" s="265"/>
      <c r="AD163" s="222"/>
      <c r="AE163" s="263"/>
      <c r="AF163" s="264"/>
      <c r="AG163" s="264"/>
      <c r="AH163" s="264"/>
      <c r="AI163" s="264"/>
      <c r="AJ163" s="264"/>
      <c r="AK163" s="264"/>
      <c r="AL163" s="264"/>
      <c r="AM163" s="265"/>
      <c r="AN163" s="222"/>
    </row>
    <row r="164" spans="1:40" ht="16.5" customHeight="1" x14ac:dyDescent="0.25">
      <c r="A164" s="257">
        <v>337050</v>
      </c>
      <c r="B164" s="258" t="s">
        <v>219</v>
      </c>
      <c r="C164" s="259" t="s">
        <v>528</v>
      </c>
      <c r="D164" s="299" t="s">
        <v>529</v>
      </c>
      <c r="E164" s="261"/>
      <c r="F164" s="262" cm="1">
        <f t="array" ref="F164">SUMPRODUCT((1*($G$9:$AM$9="x")),G164:AM164)</f>
        <v>0</v>
      </c>
      <c r="G164" s="263"/>
      <c r="H164" s="264"/>
      <c r="I164" s="264"/>
      <c r="J164" s="264"/>
      <c r="K164" s="265"/>
      <c r="L164" s="263"/>
      <c r="M164" s="264"/>
      <c r="N164" s="264"/>
      <c r="O164" s="285"/>
      <c r="P164" s="264"/>
      <c r="Q164" s="286"/>
      <c r="S164" s="263"/>
      <c r="T164" s="265"/>
      <c r="U164" s="266"/>
      <c r="V164" s="222"/>
      <c r="W164" s="263"/>
      <c r="X164" s="264"/>
      <c r="Y164" s="264"/>
      <c r="Z164" s="264"/>
      <c r="AA164" s="264"/>
      <c r="AB164" s="264"/>
      <c r="AC164" s="265"/>
      <c r="AD164" s="222"/>
      <c r="AE164" s="263"/>
      <c r="AF164" s="264"/>
      <c r="AG164" s="264"/>
      <c r="AH164" s="264"/>
      <c r="AI164" s="264"/>
      <c r="AJ164" s="264"/>
      <c r="AK164" s="264"/>
      <c r="AL164" s="264"/>
      <c r="AM164" s="265"/>
      <c r="AN164" s="222"/>
    </row>
    <row r="165" spans="1:40" ht="16.5" customHeight="1" x14ac:dyDescent="0.25">
      <c r="A165" s="257">
        <v>381000</v>
      </c>
      <c r="B165" s="258" t="s">
        <v>220</v>
      </c>
      <c r="C165" s="259" t="s">
        <v>528</v>
      </c>
      <c r="D165" s="299" t="s">
        <v>529</v>
      </c>
      <c r="E165" s="261"/>
      <c r="F165" s="262" cm="1">
        <f t="array" ref="F165">SUMPRODUCT((1*($G$9:$AM$9="x")),G165:AM165)</f>
        <v>0</v>
      </c>
      <c r="G165" s="263"/>
      <c r="H165" s="264"/>
      <c r="I165" s="264"/>
      <c r="J165" s="264"/>
      <c r="K165" s="265"/>
      <c r="L165" s="263"/>
      <c r="M165" s="264"/>
      <c r="N165" s="264"/>
      <c r="O165" s="285"/>
      <c r="P165" s="264"/>
      <c r="Q165" s="286"/>
      <c r="S165" s="263"/>
      <c r="T165" s="265"/>
      <c r="U165" s="266"/>
      <c r="V165" s="222"/>
      <c r="W165" s="263"/>
      <c r="X165" s="264"/>
      <c r="Y165" s="264"/>
      <c r="Z165" s="264"/>
      <c r="AA165" s="264"/>
      <c r="AB165" s="264"/>
      <c r="AC165" s="265"/>
      <c r="AD165" s="222"/>
      <c r="AE165" s="263"/>
      <c r="AF165" s="264"/>
      <c r="AG165" s="264"/>
      <c r="AH165" s="264"/>
      <c r="AI165" s="264"/>
      <c r="AJ165" s="264"/>
      <c r="AK165" s="264"/>
      <c r="AL165" s="264"/>
      <c r="AM165" s="265"/>
      <c r="AN165" s="222"/>
    </row>
    <row r="166" spans="1:40" ht="16.5" customHeight="1" x14ac:dyDescent="0.25">
      <c r="A166" s="257">
        <v>300060</v>
      </c>
      <c r="B166" s="258" t="s">
        <v>134</v>
      </c>
      <c r="C166" s="259" t="s">
        <v>528</v>
      </c>
      <c r="D166" s="458" t="str">
        <f>D52</f>
        <v>Cavalo mecânico com semirreboque - 22 t</v>
      </c>
      <c r="E166" s="288">
        <v>4</v>
      </c>
      <c r="F166" s="262" cm="1">
        <f t="array" ref="F166">SUMPRODUCT((1*($G$9:$AM$9="x")),G166:AM166)</f>
        <v>136.4</v>
      </c>
      <c r="G166" s="315">
        <f t="shared" ref="G166:Q181" si="101">$E166*G$11</f>
        <v>37.200000000000003</v>
      </c>
      <c r="H166" s="320">
        <f t="shared" si="101"/>
        <v>46.8</v>
      </c>
      <c r="I166" s="320">
        <f t="shared" si="101"/>
        <v>43.6</v>
      </c>
      <c r="J166" s="320">
        <f t="shared" si="101"/>
        <v>42.8</v>
      </c>
      <c r="K166" s="316">
        <f t="shared" si="101"/>
        <v>49.2</v>
      </c>
      <c r="L166" s="315">
        <f t="shared" si="101"/>
        <v>96</v>
      </c>
      <c r="M166" s="320">
        <f t="shared" si="101"/>
        <v>51.2</v>
      </c>
      <c r="N166" s="320">
        <f t="shared" si="101"/>
        <v>48.4</v>
      </c>
      <c r="O166" s="357">
        <f t="shared" si="101"/>
        <v>32</v>
      </c>
      <c r="P166" s="320">
        <f t="shared" si="101"/>
        <v>30.8</v>
      </c>
      <c r="Q166" s="330">
        <f t="shared" si="101"/>
        <v>55.2</v>
      </c>
      <c r="S166" s="355">
        <f>E166*$S$11</f>
        <v>22.8</v>
      </c>
      <c r="T166" s="356">
        <f>E166*$T$11</f>
        <v>22.8</v>
      </c>
      <c r="U166" s="323">
        <f>E166*$U$11</f>
        <v>33.6</v>
      </c>
      <c r="V166" s="222"/>
      <c r="W166" s="291">
        <f>W$11*$E166</f>
        <v>48</v>
      </c>
      <c r="X166" s="292">
        <f>X$11*$E166</f>
        <v>51.2</v>
      </c>
      <c r="Y166" s="292">
        <f>Y$11*$E166</f>
        <v>51.2</v>
      </c>
      <c r="Z166" s="292">
        <f>Z$11*$E166</f>
        <v>47.2</v>
      </c>
      <c r="AA166" s="264"/>
      <c r="AB166" s="264"/>
      <c r="AC166" s="293">
        <f>AC$11*$E166</f>
        <v>51.2</v>
      </c>
      <c r="AD166" s="222"/>
      <c r="AE166" s="291">
        <f t="shared" ref="AE166:AJ181" si="102">AE$11*$E166</f>
        <v>66.8</v>
      </c>
      <c r="AF166" s="292">
        <f t="shared" si="102"/>
        <v>64.400000000000006</v>
      </c>
      <c r="AG166" s="292">
        <f t="shared" si="102"/>
        <v>60.8</v>
      </c>
      <c r="AH166" s="292">
        <f t="shared" si="102"/>
        <v>60.4</v>
      </c>
      <c r="AI166" s="292">
        <f t="shared" si="102"/>
        <v>60.8</v>
      </c>
      <c r="AJ166" s="292">
        <f t="shared" si="102"/>
        <v>69.599999999999994</v>
      </c>
      <c r="AK166" s="264"/>
      <c r="AL166" s="264"/>
      <c r="AM166" s="265"/>
      <c r="AN166" s="222"/>
    </row>
    <row r="167" spans="1:40" ht="16.5" customHeight="1" x14ac:dyDescent="0.25">
      <c r="A167" s="257">
        <v>300220</v>
      </c>
      <c r="B167" s="258" t="s">
        <v>100</v>
      </c>
      <c r="C167" s="259" t="s">
        <v>528</v>
      </c>
      <c r="D167" s="458"/>
      <c r="E167" s="288">
        <v>4</v>
      </c>
      <c r="F167" s="262" cm="1">
        <f t="array" ref="F167">SUMPRODUCT((1*($G$9:$AM$9="x")),G167:AM167)</f>
        <v>136.4</v>
      </c>
      <c r="G167" s="315">
        <f t="shared" si="101"/>
        <v>37.200000000000003</v>
      </c>
      <c r="H167" s="320">
        <f t="shared" si="101"/>
        <v>46.8</v>
      </c>
      <c r="I167" s="320">
        <f t="shared" si="101"/>
        <v>43.6</v>
      </c>
      <c r="J167" s="320">
        <f t="shared" si="101"/>
        <v>42.8</v>
      </c>
      <c r="K167" s="316">
        <f t="shared" si="101"/>
        <v>49.2</v>
      </c>
      <c r="L167" s="315">
        <f t="shared" si="101"/>
        <v>96</v>
      </c>
      <c r="M167" s="320">
        <f t="shared" si="101"/>
        <v>51.2</v>
      </c>
      <c r="N167" s="320">
        <f t="shared" si="101"/>
        <v>48.4</v>
      </c>
      <c r="O167" s="357">
        <f t="shared" si="101"/>
        <v>32</v>
      </c>
      <c r="P167" s="320">
        <f t="shared" si="101"/>
        <v>30.8</v>
      </c>
      <c r="Q167" s="330">
        <f t="shared" si="101"/>
        <v>55.2</v>
      </c>
      <c r="S167" s="355">
        <f t="shared" ref="S167:S193" si="103">E167*$S$11</f>
        <v>22.8</v>
      </c>
      <c r="T167" s="356">
        <f t="shared" ref="T167:T193" si="104">E167*$T$11</f>
        <v>22.8</v>
      </c>
      <c r="U167" s="323">
        <f t="shared" ref="U167:U193" si="105">E167*$U$11</f>
        <v>33.6</v>
      </c>
      <c r="V167" s="222"/>
      <c r="W167" s="291">
        <f t="shared" ref="W167:Z193" si="106">W$11*$E167</f>
        <v>48</v>
      </c>
      <c r="X167" s="292">
        <f t="shared" si="106"/>
        <v>51.2</v>
      </c>
      <c r="Y167" s="292">
        <f t="shared" si="106"/>
        <v>51.2</v>
      </c>
      <c r="Z167" s="292">
        <f t="shared" si="106"/>
        <v>47.2</v>
      </c>
      <c r="AA167" s="264"/>
      <c r="AB167" s="264"/>
      <c r="AC167" s="293">
        <f t="shared" ref="AC167:AC193" si="107">AC$11*$E167</f>
        <v>51.2</v>
      </c>
      <c r="AD167" s="222"/>
      <c r="AE167" s="291">
        <f t="shared" si="102"/>
        <v>66.8</v>
      </c>
      <c r="AF167" s="292">
        <f t="shared" si="102"/>
        <v>64.400000000000006</v>
      </c>
      <c r="AG167" s="292">
        <f t="shared" si="102"/>
        <v>60.8</v>
      </c>
      <c r="AH167" s="292">
        <f t="shared" si="102"/>
        <v>60.4</v>
      </c>
      <c r="AI167" s="292">
        <f t="shared" si="102"/>
        <v>60.8</v>
      </c>
      <c r="AJ167" s="292">
        <f t="shared" si="102"/>
        <v>69.599999999999994</v>
      </c>
      <c r="AK167" s="264"/>
      <c r="AL167" s="264"/>
      <c r="AM167" s="265"/>
      <c r="AN167" s="222"/>
    </row>
    <row r="168" spans="1:40" ht="16.5" customHeight="1" x14ac:dyDescent="0.25">
      <c r="A168" s="257">
        <v>300100</v>
      </c>
      <c r="B168" s="258" t="s">
        <v>101</v>
      </c>
      <c r="C168" s="259" t="s">
        <v>528</v>
      </c>
      <c r="D168" s="458"/>
      <c r="E168" s="288">
        <v>4</v>
      </c>
      <c r="F168" s="262" cm="1">
        <f t="array" ref="F168">SUMPRODUCT((1*($G$9:$AM$9="x")),G168:AM168)</f>
        <v>136.4</v>
      </c>
      <c r="G168" s="315">
        <f t="shared" si="101"/>
        <v>37.200000000000003</v>
      </c>
      <c r="H168" s="320">
        <f t="shared" si="101"/>
        <v>46.8</v>
      </c>
      <c r="I168" s="320">
        <f t="shared" si="101"/>
        <v>43.6</v>
      </c>
      <c r="J168" s="320">
        <f t="shared" si="101"/>
        <v>42.8</v>
      </c>
      <c r="K168" s="316">
        <f t="shared" si="101"/>
        <v>49.2</v>
      </c>
      <c r="L168" s="315">
        <f t="shared" si="101"/>
        <v>96</v>
      </c>
      <c r="M168" s="320">
        <f t="shared" si="101"/>
        <v>51.2</v>
      </c>
      <c r="N168" s="320">
        <f t="shared" si="101"/>
        <v>48.4</v>
      </c>
      <c r="O168" s="357">
        <f t="shared" si="101"/>
        <v>32</v>
      </c>
      <c r="P168" s="320">
        <f t="shared" si="101"/>
        <v>30.8</v>
      </c>
      <c r="Q168" s="330">
        <f t="shared" si="101"/>
        <v>55.2</v>
      </c>
      <c r="S168" s="355">
        <f t="shared" si="103"/>
        <v>22.8</v>
      </c>
      <c r="T168" s="356">
        <f t="shared" si="104"/>
        <v>22.8</v>
      </c>
      <c r="U168" s="323">
        <f t="shared" si="105"/>
        <v>33.6</v>
      </c>
      <c r="V168" s="222"/>
      <c r="W168" s="291">
        <f t="shared" si="106"/>
        <v>48</v>
      </c>
      <c r="X168" s="292">
        <f t="shared" si="106"/>
        <v>51.2</v>
      </c>
      <c r="Y168" s="292">
        <f t="shared" si="106"/>
        <v>51.2</v>
      </c>
      <c r="Z168" s="292">
        <f t="shared" si="106"/>
        <v>47.2</v>
      </c>
      <c r="AA168" s="264"/>
      <c r="AB168" s="264"/>
      <c r="AC168" s="293">
        <f t="shared" si="107"/>
        <v>51.2</v>
      </c>
      <c r="AD168" s="222"/>
      <c r="AE168" s="291">
        <f t="shared" si="102"/>
        <v>66.8</v>
      </c>
      <c r="AF168" s="292">
        <f t="shared" si="102"/>
        <v>64.400000000000006</v>
      </c>
      <c r="AG168" s="292">
        <f t="shared" si="102"/>
        <v>60.8</v>
      </c>
      <c r="AH168" s="292">
        <f t="shared" si="102"/>
        <v>60.4</v>
      </c>
      <c r="AI168" s="292">
        <f t="shared" si="102"/>
        <v>60.8</v>
      </c>
      <c r="AJ168" s="292">
        <f t="shared" si="102"/>
        <v>69.599999999999994</v>
      </c>
      <c r="AK168" s="264"/>
      <c r="AL168" s="264"/>
      <c r="AM168" s="265"/>
      <c r="AN168" s="222"/>
    </row>
    <row r="169" spans="1:40" ht="16.5" customHeight="1" x14ac:dyDescent="0.25">
      <c r="A169" s="257">
        <v>300200</v>
      </c>
      <c r="B169" s="258" t="s">
        <v>102</v>
      </c>
      <c r="C169" s="259" t="s">
        <v>528</v>
      </c>
      <c r="D169" s="458"/>
      <c r="E169" s="288">
        <v>4</v>
      </c>
      <c r="F169" s="262" cm="1">
        <f t="array" ref="F169">SUMPRODUCT((1*($G$9:$AM$9="x")),G169:AM169)</f>
        <v>136.4</v>
      </c>
      <c r="G169" s="315">
        <f t="shared" si="101"/>
        <v>37.200000000000003</v>
      </c>
      <c r="H169" s="320">
        <f t="shared" si="101"/>
        <v>46.8</v>
      </c>
      <c r="I169" s="320">
        <f t="shared" si="101"/>
        <v>43.6</v>
      </c>
      <c r="J169" s="320">
        <f t="shared" si="101"/>
        <v>42.8</v>
      </c>
      <c r="K169" s="316">
        <f t="shared" si="101"/>
        <v>49.2</v>
      </c>
      <c r="L169" s="315">
        <f t="shared" si="101"/>
        <v>96</v>
      </c>
      <c r="M169" s="320">
        <f t="shared" si="101"/>
        <v>51.2</v>
      </c>
      <c r="N169" s="320">
        <f t="shared" si="101"/>
        <v>48.4</v>
      </c>
      <c r="O169" s="357">
        <f t="shared" si="101"/>
        <v>32</v>
      </c>
      <c r="P169" s="320">
        <f t="shared" si="101"/>
        <v>30.8</v>
      </c>
      <c r="Q169" s="330">
        <f t="shared" si="101"/>
        <v>55.2</v>
      </c>
      <c r="S169" s="355">
        <f t="shared" si="103"/>
        <v>22.8</v>
      </c>
      <c r="T169" s="356">
        <f t="shared" si="104"/>
        <v>22.8</v>
      </c>
      <c r="U169" s="323">
        <f t="shared" si="105"/>
        <v>33.6</v>
      </c>
      <c r="V169" s="222"/>
      <c r="W169" s="291">
        <f t="shared" si="106"/>
        <v>48</v>
      </c>
      <c r="X169" s="292">
        <f t="shared" si="106"/>
        <v>51.2</v>
      </c>
      <c r="Y169" s="292">
        <f t="shared" si="106"/>
        <v>51.2</v>
      </c>
      <c r="Z169" s="292">
        <f t="shared" si="106"/>
        <v>47.2</v>
      </c>
      <c r="AA169" s="264"/>
      <c r="AB169" s="264"/>
      <c r="AC169" s="293">
        <f t="shared" si="107"/>
        <v>51.2</v>
      </c>
      <c r="AD169" s="222"/>
      <c r="AE169" s="291">
        <f t="shared" si="102"/>
        <v>66.8</v>
      </c>
      <c r="AF169" s="292">
        <f t="shared" si="102"/>
        <v>64.400000000000006</v>
      </c>
      <c r="AG169" s="292">
        <f t="shared" si="102"/>
        <v>60.8</v>
      </c>
      <c r="AH169" s="292">
        <f t="shared" si="102"/>
        <v>60.4</v>
      </c>
      <c r="AI169" s="292">
        <f t="shared" si="102"/>
        <v>60.8</v>
      </c>
      <c r="AJ169" s="292">
        <f t="shared" si="102"/>
        <v>69.599999999999994</v>
      </c>
      <c r="AK169" s="264"/>
      <c r="AL169" s="264"/>
      <c r="AM169" s="265"/>
      <c r="AN169" s="222"/>
    </row>
    <row r="170" spans="1:40" ht="16.5" customHeight="1" x14ac:dyDescent="0.25">
      <c r="A170" s="257">
        <v>300210</v>
      </c>
      <c r="B170" s="258" t="s">
        <v>103</v>
      </c>
      <c r="C170" s="259" t="s">
        <v>528</v>
      </c>
      <c r="D170" s="458"/>
      <c r="E170" s="288">
        <v>4</v>
      </c>
      <c r="F170" s="262" cm="1">
        <f t="array" ref="F170">SUMPRODUCT((1*($G$9:$AM$9="x")),G170:AM170)</f>
        <v>136.4</v>
      </c>
      <c r="G170" s="315">
        <f t="shared" si="101"/>
        <v>37.200000000000003</v>
      </c>
      <c r="H170" s="320">
        <f t="shared" si="101"/>
        <v>46.8</v>
      </c>
      <c r="I170" s="320">
        <f t="shared" si="101"/>
        <v>43.6</v>
      </c>
      <c r="J170" s="320">
        <f t="shared" si="101"/>
        <v>42.8</v>
      </c>
      <c r="K170" s="316">
        <f t="shared" si="101"/>
        <v>49.2</v>
      </c>
      <c r="L170" s="315">
        <f t="shared" si="101"/>
        <v>96</v>
      </c>
      <c r="M170" s="320">
        <f t="shared" si="101"/>
        <v>51.2</v>
      </c>
      <c r="N170" s="320">
        <f t="shared" si="101"/>
        <v>48.4</v>
      </c>
      <c r="O170" s="357">
        <f t="shared" si="101"/>
        <v>32</v>
      </c>
      <c r="P170" s="320">
        <f t="shared" si="101"/>
        <v>30.8</v>
      </c>
      <c r="Q170" s="330">
        <f t="shared" si="101"/>
        <v>55.2</v>
      </c>
      <c r="S170" s="355">
        <f t="shared" si="103"/>
        <v>22.8</v>
      </c>
      <c r="T170" s="356">
        <f t="shared" si="104"/>
        <v>22.8</v>
      </c>
      <c r="U170" s="323">
        <f t="shared" si="105"/>
        <v>33.6</v>
      </c>
      <c r="V170" s="222"/>
      <c r="W170" s="291">
        <f t="shared" si="106"/>
        <v>48</v>
      </c>
      <c r="X170" s="292">
        <f t="shared" si="106"/>
        <v>51.2</v>
      </c>
      <c r="Y170" s="292">
        <f t="shared" si="106"/>
        <v>51.2</v>
      </c>
      <c r="Z170" s="292">
        <f t="shared" si="106"/>
        <v>47.2</v>
      </c>
      <c r="AA170" s="264"/>
      <c r="AB170" s="264"/>
      <c r="AC170" s="293">
        <f t="shared" si="107"/>
        <v>51.2</v>
      </c>
      <c r="AD170" s="222"/>
      <c r="AE170" s="291">
        <f t="shared" si="102"/>
        <v>66.8</v>
      </c>
      <c r="AF170" s="292">
        <f t="shared" si="102"/>
        <v>64.400000000000006</v>
      </c>
      <c r="AG170" s="292">
        <f t="shared" si="102"/>
        <v>60.8</v>
      </c>
      <c r="AH170" s="292">
        <f t="shared" si="102"/>
        <v>60.4</v>
      </c>
      <c r="AI170" s="292">
        <f t="shared" si="102"/>
        <v>60.8</v>
      </c>
      <c r="AJ170" s="292">
        <f t="shared" si="102"/>
        <v>69.599999999999994</v>
      </c>
      <c r="AK170" s="264"/>
      <c r="AL170" s="264"/>
      <c r="AM170" s="265"/>
      <c r="AN170" s="222"/>
    </row>
    <row r="171" spans="1:40" ht="16.5" customHeight="1" x14ac:dyDescent="0.25">
      <c r="A171" s="257">
        <v>341000</v>
      </c>
      <c r="B171" s="258" t="s">
        <v>104</v>
      </c>
      <c r="C171" s="259" t="s">
        <v>528</v>
      </c>
      <c r="D171" s="458"/>
      <c r="E171" s="288">
        <v>4</v>
      </c>
      <c r="F171" s="262" cm="1">
        <f t="array" ref="F171">SUMPRODUCT((1*($G$9:$AM$9="x")),G171:AM171)</f>
        <v>136.4</v>
      </c>
      <c r="G171" s="315">
        <f t="shared" si="101"/>
        <v>37.200000000000003</v>
      </c>
      <c r="H171" s="320">
        <f t="shared" si="101"/>
        <v>46.8</v>
      </c>
      <c r="I171" s="320">
        <f t="shared" si="101"/>
        <v>43.6</v>
      </c>
      <c r="J171" s="320">
        <f t="shared" si="101"/>
        <v>42.8</v>
      </c>
      <c r="K171" s="316">
        <f t="shared" si="101"/>
        <v>49.2</v>
      </c>
      <c r="L171" s="315">
        <f t="shared" si="101"/>
        <v>96</v>
      </c>
      <c r="M171" s="320">
        <f t="shared" si="101"/>
        <v>51.2</v>
      </c>
      <c r="N171" s="320">
        <f t="shared" si="101"/>
        <v>48.4</v>
      </c>
      <c r="O171" s="357">
        <f t="shared" si="101"/>
        <v>32</v>
      </c>
      <c r="P171" s="320">
        <f t="shared" si="101"/>
        <v>30.8</v>
      </c>
      <c r="Q171" s="330">
        <f t="shared" si="101"/>
        <v>55.2</v>
      </c>
      <c r="S171" s="355">
        <f t="shared" si="103"/>
        <v>22.8</v>
      </c>
      <c r="T171" s="356">
        <f t="shared" si="104"/>
        <v>22.8</v>
      </c>
      <c r="U171" s="323">
        <f t="shared" si="105"/>
        <v>33.6</v>
      </c>
      <c r="V171" s="222"/>
      <c r="W171" s="291">
        <f t="shared" si="106"/>
        <v>48</v>
      </c>
      <c r="X171" s="292">
        <f t="shared" si="106"/>
        <v>51.2</v>
      </c>
      <c r="Y171" s="292">
        <f t="shared" si="106"/>
        <v>51.2</v>
      </c>
      <c r="Z171" s="292">
        <f t="shared" si="106"/>
        <v>47.2</v>
      </c>
      <c r="AA171" s="264"/>
      <c r="AB171" s="264"/>
      <c r="AC171" s="293">
        <f t="shared" si="107"/>
        <v>51.2</v>
      </c>
      <c r="AD171" s="222"/>
      <c r="AE171" s="291">
        <f t="shared" si="102"/>
        <v>66.8</v>
      </c>
      <c r="AF171" s="292">
        <f t="shared" si="102"/>
        <v>64.400000000000006</v>
      </c>
      <c r="AG171" s="292">
        <f t="shared" si="102"/>
        <v>60.8</v>
      </c>
      <c r="AH171" s="292">
        <f t="shared" si="102"/>
        <v>60.4</v>
      </c>
      <c r="AI171" s="292">
        <f t="shared" si="102"/>
        <v>60.8</v>
      </c>
      <c r="AJ171" s="292">
        <f t="shared" si="102"/>
        <v>69.599999999999994</v>
      </c>
      <c r="AK171" s="264"/>
      <c r="AL171" s="264"/>
      <c r="AM171" s="265"/>
      <c r="AN171" s="222"/>
    </row>
    <row r="172" spans="1:40" ht="16.5" customHeight="1" x14ac:dyDescent="0.25">
      <c r="A172" s="257">
        <v>341100</v>
      </c>
      <c r="B172" s="258" t="s">
        <v>105</v>
      </c>
      <c r="C172" s="259" t="s">
        <v>528</v>
      </c>
      <c r="D172" s="458"/>
      <c r="E172" s="288">
        <v>4</v>
      </c>
      <c r="F172" s="262" cm="1">
        <f t="array" ref="F172">SUMPRODUCT((1*($G$9:$AM$9="x")),G172:AM172)</f>
        <v>136.4</v>
      </c>
      <c r="G172" s="315">
        <f t="shared" si="101"/>
        <v>37.200000000000003</v>
      </c>
      <c r="H172" s="320">
        <f t="shared" si="101"/>
        <v>46.8</v>
      </c>
      <c r="I172" s="320">
        <f t="shared" si="101"/>
        <v>43.6</v>
      </c>
      <c r="J172" s="320">
        <f t="shared" si="101"/>
        <v>42.8</v>
      </c>
      <c r="K172" s="316">
        <f t="shared" si="101"/>
        <v>49.2</v>
      </c>
      <c r="L172" s="315">
        <f t="shared" si="101"/>
        <v>96</v>
      </c>
      <c r="M172" s="320">
        <f t="shared" si="101"/>
        <v>51.2</v>
      </c>
      <c r="N172" s="320">
        <f t="shared" si="101"/>
        <v>48.4</v>
      </c>
      <c r="O172" s="357">
        <f t="shared" si="101"/>
        <v>32</v>
      </c>
      <c r="P172" s="320">
        <f t="shared" si="101"/>
        <v>30.8</v>
      </c>
      <c r="Q172" s="330">
        <f t="shared" si="101"/>
        <v>55.2</v>
      </c>
      <c r="S172" s="355">
        <f t="shared" si="103"/>
        <v>22.8</v>
      </c>
      <c r="T172" s="356">
        <f t="shared" si="104"/>
        <v>22.8</v>
      </c>
      <c r="U172" s="323">
        <f t="shared" si="105"/>
        <v>33.6</v>
      </c>
      <c r="V172" s="222"/>
      <c r="W172" s="291">
        <f t="shared" si="106"/>
        <v>48</v>
      </c>
      <c r="X172" s="292">
        <f t="shared" si="106"/>
        <v>51.2</v>
      </c>
      <c r="Y172" s="292">
        <f t="shared" si="106"/>
        <v>51.2</v>
      </c>
      <c r="Z172" s="292">
        <f t="shared" si="106"/>
        <v>47.2</v>
      </c>
      <c r="AA172" s="264"/>
      <c r="AB172" s="264"/>
      <c r="AC172" s="293">
        <f t="shared" si="107"/>
        <v>51.2</v>
      </c>
      <c r="AD172" s="222"/>
      <c r="AE172" s="291">
        <f t="shared" si="102"/>
        <v>66.8</v>
      </c>
      <c r="AF172" s="292">
        <f t="shared" si="102"/>
        <v>64.400000000000006</v>
      </c>
      <c r="AG172" s="292">
        <f t="shared" si="102"/>
        <v>60.8</v>
      </c>
      <c r="AH172" s="292">
        <f t="shared" si="102"/>
        <v>60.4</v>
      </c>
      <c r="AI172" s="292">
        <f t="shared" si="102"/>
        <v>60.8</v>
      </c>
      <c r="AJ172" s="292">
        <f t="shared" si="102"/>
        <v>69.599999999999994</v>
      </c>
      <c r="AK172" s="264"/>
      <c r="AL172" s="264"/>
      <c r="AM172" s="265"/>
      <c r="AN172" s="222"/>
    </row>
    <row r="173" spans="1:40" ht="16.5" customHeight="1" x14ac:dyDescent="0.25">
      <c r="A173" s="257">
        <v>341500</v>
      </c>
      <c r="B173" s="258" t="s">
        <v>106</v>
      </c>
      <c r="C173" s="259" t="s">
        <v>528</v>
      </c>
      <c r="D173" s="458"/>
      <c r="E173" s="288">
        <v>4</v>
      </c>
      <c r="F173" s="262" cm="1">
        <f t="array" ref="F173">SUMPRODUCT((1*($G$9:$AM$9="x")),G173:AM173)</f>
        <v>136.4</v>
      </c>
      <c r="G173" s="315">
        <f t="shared" si="101"/>
        <v>37.200000000000003</v>
      </c>
      <c r="H173" s="320">
        <f t="shared" si="101"/>
        <v>46.8</v>
      </c>
      <c r="I173" s="320">
        <f t="shared" si="101"/>
        <v>43.6</v>
      </c>
      <c r="J173" s="320">
        <f t="shared" si="101"/>
        <v>42.8</v>
      </c>
      <c r="K173" s="316">
        <f t="shared" si="101"/>
        <v>49.2</v>
      </c>
      <c r="L173" s="315">
        <f t="shared" si="101"/>
        <v>96</v>
      </c>
      <c r="M173" s="320">
        <f t="shared" si="101"/>
        <v>51.2</v>
      </c>
      <c r="N173" s="320">
        <f t="shared" si="101"/>
        <v>48.4</v>
      </c>
      <c r="O173" s="357">
        <f t="shared" si="101"/>
        <v>32</v>
      </c>
      <c r="P173" s="320">
        <f t="shared" si="101"/>
        <v>30.8</v>
      </c>
      <c r="Q173" s="330">
        <f t="shared" si="101"/>
        <v>55.2</v>
      </c>
      <c r="S173" s="355">
        <f t="shared" si="103"/>
        <v>22.8</v>
      </c>
      <c r="T173" s="356">
        <f t="shared" si="104"/>
        <v>22.8</v>
      </c>
      <c r="U173" s="323">
        <f t="shared" si="105"/>
        <v>33.6</v>
      </c>
      <c r="V173" s="222"/>
      <c r="W173" s="291">
        <f t="shared" si="106"/>
        <v>48</v>
      </c>
      <c r="X173" s="292">
        <f t="shared" si="106"/>
        <v>51.2</v>
      </c>
      <c r="Y173" s="292">
        <f t="shared" si="106"/>
        <v>51.2</v>
      </c>
      <c r="Z173" s="292">
        <f t="shared" si="106"/>
        <v>47.2</v>
      </c>
      <c r="AA173" s="264"/>
      <c r="AB173" s="264"/>
      <c r="AC173" s="293">
        <f t="shared" si="107"/>
        <v>51.2</v>
      </c>
      <c r="AD173" s="222"/>
      <c r="AE173" s="291">
        <f t="shared" si="102"/>
        <v>66.8</v>
      </c>
      <c r="AF173" s="292">
        <f t="shared" si="102"/>
        <v>64.400000000000006</v>
      </c>
      <c r="AG173" s="292">
        <f t="shared" si="102"/>
        <v>60.8</v>
      </c>
      <c r="AH173" s="292">
        <f t="shared" si="102"/>
        <v>60.4</v>
      </c>
      <c r="AI173" s="292">
        <f t="shared" si="102"/>
        <v>60.8</v>
      </c>
      <c r="AJ173" s="292">
        <f t="shared" si="102"/>
        <v>69.599999999999994</v>
      </c>
      <c r="AK173" s="264"/>
      <c r="AL173" s="264"/>
      <c r="AM173" s="265"/>
      <c r="AN173" s="222"/>
    </row>
    <row r="174" spans="1:40" ht="16.5" customHeight="1" x14ac:dyDescent="0.25">
      <c r="A174" s="257">
        <v>310650</v>
      </c>
      <c r="B174" s="258" t="s">
        <v>107</v>
      </c>
      <c r="C174" s="259" t="s">
        <v>536</v>
      </c>
      <c r="D174" s="458"/>
      <c r="E174" s="288">
        <v>4</v>
      </c>
      <c r="F174" s="262" cm="1">
        <f t="array" ref="F174">SUMPRODUCT((1*($G$9:$AM$9="x")),G174:AM174)</f>
        <v>136.4</v>
      </c>
      <c r="G174" s="315">
        <f t="shared" si="101"/>
        <v>37.200000000000003</v>
      </c>
      <c r="H174" s="320">
        <f t="shared" si="101"/>
        <v>46.8</v>
      </c>
      <c r="I174" s="320">
        <f t="shared" si="101"/>
        <v>43.6</v>
      </c>
      <c r="J174" s="320">
        <f t="shared" si="101"/>
        <v>42.8</v>
      </c>
      <c r="K174" s="316">
        <f t="shared" si="101"/>
        <v>49.2</v>
      </c>
      <c r="L174" s="315">
        <f t="shared" si="101"/>
        <v>96</v>
      </c>
      <c r="M174" s="320">
        <f t="shared" si="101"/>
        <v>51.2</v>
      </c>
      <c r="N174" s="320">
        <f t="shared" si="101"/>
        <v>48.4</v>
      </c>
      <c r="O174" s="357">
        <f t="shared" si="101"/>
        <v>32</v>
      </c>
      <c r="P174" s="320">
        <f t="shared" si="101"/>
        <v>30.8</v>
      </c>
      <c r="Q174" s="330">
        <f t="shared" si="101"/>
        <v>55.2</v>
      </c>
      <c r="S174" s="355">
        <f t="shared" si="103"/>
        <v>22.8</v>
      </c>
      <c r="T174" s="356">
        <f t="shared" si="104"/>
        <v>22.8</v>
      </c>
      <c r="U174" s="323">
        <f t="shared" si="105"/>
        <v>33.6</v>
      </c>
      <c r="V174" s="222"/>
      <c r="W174" s="291">
        <f t="shared" si="106"/>
        <v>48</v>
      </c>
      <c r="X174" s="292">
        <f t="shared" si="106"/>
        <v>51.2</v>
      </c>
      <c r="Y174" s="292">
        <f t="shared" si="106"/>
        <v>51.2</v>
      </c>
      <c r="Z174" s="292">
        <f t="shared" si="106"/>
        <v>47.2</v>
      </c>
      <c r="AA174" s="264"/>
      <c r="AB174" s="264"/>
      <c r="AC174" s="293">
        <f t="shared" si="107"/>
        <v>51.2</v>
      </c>
      <c r="AD174" s="222"/>
      <c r="AE174" s="291">
        <f t="shared" si="102"/>
        <v>66.8</v>
      </c>
      <c r="AF174" s="292">
        <f t="shared" si="102"/>
        <v>64.400000000000006</v>
      </c>
      <c r="AG174" s="292">
        <f t="shared" si="102"/>
        <v>60.8</v>
      </c>
      <c r="AH174" s="292">
        <f t="shared" si="102"/>
        <v>60.4</v>
      </c>
      <c r="AI174" s="292">
        <f t="shared" si="102"/>
        <v>60.8</v>
      </c>
      <c r="AJ174" s="292">
        <f t="shared" si="102"/>
        <v>69.599999999999994</v>
      </c>
      <c r="AK174" s="264"/>
      <c r="AL174" s="264"/>
      <c r="AM174" s="265"/>
      <c r="AN174" s="222"/>
    </row>
    <row r="175" spans="1:40" ht="16.5" customHeight="1" x14ac:dyDescent="0.25">
      <c r="A175" s="257">
        <v>320650</v>
      </c>
      <c r="B175" s="258" t="s">
        <v>108</v>
      </c>
      <c r="C175" s="259" t="s">
        <v>528</v>
      </c>
      <c r="D175" s="458"/>
      <c r="E175" s="288">
        <v>4</v>
      </c>
      <c r="F175" s="262" cm="1">
        <f t="array" ref="F175">SUMPRODUCT((1*($G$9:$AM$9="x")),G175:AM175)</f>
        <v>136.4</v>
      </c>
      <c r="G175" s="315">
        <f t="shared" si="101"/>
        <v>37.200000000000003</v>
      </c>
      <c r="H175" s="320">
        <f t="shared" si="101"/>
        <v>46.8</v>
      </c>
      <c r="I175" s="320">
        <f t="shared" si="101"/>
        <v>43.6</v>
      </c>
      <c r="J175" s="320">
        <f t="shared" si="101"/>
        <v>42.8</v>
      </c>
      <c r="K175" s="316">
        <f t="shared" si="101"/>
        <v>49.2</v>
      </c>
      <c r="L175" s="315">
        <f t="shared" si="101"/>
        <v>96</v>
      </c>
      <c r="M175" s="320">
        <f t="shared" si="101"/>
        <v>51.2</v>
      </c>
      <c r="N175" s="320">
        <f t="shared" si="101"/>
        <v>48.4</v>
      </c>
      <c r="O175" s="357">
        <f t="shared" si="101"/>
        <v>32</v>
      </c>
      <c r="P175" s="320">
        <f t="shared" si="101"/>
        <v>30.8</v>
      </c>
      <c r="Q175" s="330">
        <f t="shared" si="101"/>
        <v>55.2</v>
      </c>
      <c r="S175" s="355">
        <f t="shared" si="103"/>
        <v>22.8</v>
      </c>
      <c r="T175" s="356">
        <f t="shared" si="104"/>
        <v>22.8</v>
      </c>
      <c r="U175" s="323">
        <f t="shared" si="105"/>
        <v>33.6</v>
      </c>
      <c r="V175" s="222"/>
      <c r="W175" s="291">
        <f t="shared" si="106"/>
        <v>48</v>
      </c>
      <c r="X175" s="292">
        <f t="shared" si="106"/>
        <v>51.2</v>
      </c>
      <c r="Y175" s="292">
        <f t="shared" si="106"/>
        <v>51.2</v>
      </c>
      <c r="Z175" s="292">
        <f t="shared" si="106"/>
        <v>47.2</v>
      </c>
      <c r="AA175" s="264"/>
      <c r="AB175" s="264"/>
      <c r="AC175" s="293">
        <f t="shared" si="107"/>
        <v>51.2</v>
      </c>
      <c r="AD175" s="222"/>
      <c r="AE175" s="291">
        <f t="shared" si="102"/>
        <v>66.8</v>
      </c>
      <c r="AF175" s="292">
        <f t="shared" si="102"/>
        <v>64.400000000000006</v>
      </c>
      <c r="AG175" s="292">
        <f t="shared" si="102"/>
        <v>60.8</v>
      </c>
      <c r="AH175" s="292">
        <f t="shared" si="102"/>
        <v>60.4</v>
      </c>
      <c r="AI175" s="292">
        <f t="shared" si="102"/>
        <v>60.8</v>
      </c>
      <c r="AJ175" s="292">
        <f t="shared" si="102"/>
        <v>69.599999999999994</v>
      </c>
      <c r="AK175" s="264"/>
      <c r="AL175" s="264"/>
      <c r="AM175" s="265"/>
      <c r="AN175" s="222"/>
    </row>
    <row r="176" spans="1:40" ht="16.5" customHeight="1" x14ac:dyDescent="0.25">
      <c r="A176" s="257">
        <v>330650</v>
      </c>
      <c r="B176" s="258" t="s">
        <v>109</v>
      </c>
      <c r="C176" s="259" t="s">
        <v>538</v>
      </c>
      <c r="D176" s="458"/>
      <c r="E176" s="288">
        <v>4</v>
      </c>
      <c r="F176" s="262" cm="1">
        <f t="array" ref="F176">SUMPRODUCT((1*($G$9:$AM$9="x")),G176:AM176)</f>
        <v>136.4</v>
      </c>
      <c r="G176" s="315">
        <f t="shared" si="101"/>
        <v>37.200000000000003</v>
      </c>
      <c r="H176" s="320">
        <f t="shared" si="101"/>
        <v>46.8</v>
      </c>
      <c r="I176" s="320">
        <f t="shared" si="101"/>
        <v>43.6</v>
      </c>
      <c r="J176" s="320">
        <f t="shared" si="101"/>
        <v>42.8</v>
      </c>
      <c r="K176" s="316">
        <f t="shared" si="101"/>
        <v>49.2</v>
      </c>
      <c r="L176" s="315">
        <f t="shared" si="101"/>
        <v>96</v>
      </c>
      <c r="M176" s="320">
        <f t="shared" si="101"/>
        <v>51.2</v>
      </c>
      <c r="N176" s="320">
        <f t="shared" si="101"/>
        <v>48.4</v>
      </c>
      <c r="O176" s="357">
        <f t="shared" si="101"/>
        <v>32</v>
      </c>
      <c r="P176" s="320">
        <f t="shared" si="101"/>
        <v>30.8</v>
      </c>
      <c r="Q176" s="330">
        <f t="shared" si="101"/>
        <v>55.2</v>
      </c>
      <c r="S176" s="355">
        <f t="shared" si="103"/>
        <v>22.8</v>
      </c>
      <c r="T176" s="356">
        <f t="shared" si="104"/>
        <v>22.8</v>
      </c>
      <c r="U176" s="323">
        <f t="shared" si="105"/>
        <v>33.6</v>
      </c>
      <c r="V176" s="222"/>
      <c r="W176" s="291">
        <f t="shared" si="106"/>
        <v>48</v>
      </c>
      <c r="X176" s="292">
        <f t="shared" si="106"/>
        <v>51.2</v>
      </c>
      <c r="Y176" s="292">
        <f t="shared" si="106"/>
        <v>51.2</v>
      </c>
      <c r="Z176" s="292">
        <f t="shared" si="106"/>
        <v>47.2</v>
      </c>
      <c r="AA176" s="264"/>
      <c r="AB176" s="264"/>
      <c r="AC176" s="293">
        <f t="shared" si="107"/>
        <v>51.2</v>
      </c>
      <c r="AD176" s="222"/>
      <c r="AE176" s="291">
        <f t="shared" si="102"/>
        <v>66.8</v>
      </c>
      <c r="AF176" s="292">
        <f t="shared" si="102"/>
        <v>64.400000000000006</v>
      </c>
      <c r="AG176" s="292">
        <f t="shared" si="102"/>
        <v>60.8</v>
      </c>
      <c r="AH176" s="292">
        <f t="shared" si="102"/>
        <v>60.4</v>
      </c>
      <c r="AI176" s="292">
        <f t="shared" si="102"/>
        <v>60.8</v>
      </c>
      <c r="AJ176" s="292">
        <f t="shared" si="102"/>
        <v>69.599999999999994</v>
      </c>
      <c r="AK176" s="264"/>
      <c r="AL176" s="264"/>
      <c r="AM176" s="265"/>
      <c r="AN176" s="222"/>
    </row>
    <row r="177" spans="1:40" ht="16.5" customHeight="1" x14ac:dyDescent="0.25">
      <c r="A177" s="257">
        <v>310080</v>
      </c>
      <c r="B177" s="258" t="s">
        <v>110</v>
      </c>
      <c r="C177" s="259" t="s">
        <v>536</v>
      </c>
      <c r="D177" s="458"/>
      <c r="E177" s="288">
        <v>4</v>
      </c>
      <c r="F177" s="262" cm="1">
        <f t="array" ref="F177">SUMPRODUCT((1*($G$9:$AM$9="x")),G177:AM177)</f>
        <v>136.4</v>
      </c>
      <c r="G177" s="315">
        <f t="shared" si="101"/>
        <v>37.200000000000003</v>
      </c>
      <c r="H177" s="320">
        <f t="shared" si="101"/>
        <v>46.8</v>
      </c>
      <c r="I177" s="320">
        <f t="shared" si="101"/>
        <v>43.6</v>
      </c>
      <c r="J177" s="320">
        <f t="shared" si="101"/>
        <v>42.8</v>
      </c>
      <c r="K177" s="316">
        <f t="shared" si="101"/>
        <v>49.2</v>
      </c>
      <c r="L177" s="315">
        <f t="shared" si="101"/>
        <v>96</v>
      </c>
      <c r="M177" s="320">
        <f t="shared" si="101"/>
        <v>51.2</v>
      </c>
      <c r="N177" s="320">
        <f t="shared" si="101"/>
        <v>48.4</v>
      </c>
      <c r="O177" s="357">
        <f t="shared" si="101"/>
        <v>32</v>
      </c>
      <c r="P177" s="320">
        <f t="shared" si="101"/>
        <v>30.8</v>
      </c>
      <c r="Q177" s="330">
        <f t="shared" si="101"/>
        <v>55.2</v>
      </c>
      <c r="S177" s="355">
        <f t="shared" si="103"/>
        <v>22.8</v>
      </c>
      <c r="T177" s="356">
        <f t="shared" si="104"/>
        <v>22.8</v>
      </c>
      <c r="U177" s="323">
        <f t="shared" si="105"/>
        <v>33.6</v>
      </c>
      <c r="V177" s="222"/>
      <c r="W177" s="291">
        <f t="shared" si="106"/>
        <v>48</v>
      </c>
      <c r="X177" s="292">
        <f t="shared" si="106"/>
        <v>51.2</v>
      </c>
      <c r="Y177" s="292">
        <f t="shared" si="106"/>
        <v>51.2</v>
      </c>
      <c r="Z177" s="292">
        <f t="shared" si="106"/>
        <v>47.2</v>
      </c>
      <c r="AA177" s="264"/>
      <c r="AB177" s="264"/>
      <c r="AC177" s="293">
        <f t="shared" si="107"/>
        <v>51.2</v>
      </c>
      <c r="AD177" s="222"/>
      <c r="AE177" s="291">
        <f t="shared" si="102"/>
        <v>66.8</v>
      </c>
      <c r="AF177" s="292">
        <f t="shared" si="102"/>
        <v>64.400000000000006</v>
      </c>
      <c r="AG177" s="292">
        <f t="shared" si="102"/>
        <v>60.8</v>
      </c>
      <c r="AH177" s="292">
        <f t="shared" si="102"/>
        <v>60.4</v>
      </c>
      <c r="AI177" s="292">
        <f t="shared" si="102"/>
        <v>60.8</v>
      </c>
      <c r="AJ177" s="292">
        <f t="shared" si="102"/>
        <v>69.599999999999994</v>
      </c>
      <c r="AK177" s="264"/>
      <c r="AL177" s="264"/>
      <c r="AM177" s="265"/>
      <c r="AN177" s="222"/>
    </row>
    <row r="178" spans="1:40" ht="16.5" customHeight="1" x14ac:dyDescent="0.25">
      <c r="A178" s="257">
        <v>320080</v>
      </c>
      <c r="B178" s="258" t="s">
        <v>111</v>
      </c>
      <c r="C178" s="259" t="s">
        <v>528</v>
      </c>
      <c r="D178" s="458"/>
      <c r="E178" s="288">
        <v>4</v>
      </c>
      <c r="F178" s="262" cm="1">
        <f t="array" ref="F178">SUMPRODUCT((1*($G$9:$AM$9="x")),G178:AM178)</f>
        <v>136.4</v>
      </c>
      <c r="G178" s="315">
        <f t="shared" si="101"/>
        <v>37.200000000000003</v>
      </c>
      <c r="H178" s="320">
        <f t="shared" si="101"/>
        <v>46.8</v>
      </c>
      <c r="I178" s="320">
        <f t="shared" si="101"/>
        <v>43.6</v>
      </c>
      <c r="J178" s="320">
        <f t="shared" si="101"/>
        <v>42.8</v>
      </c>
      <c r="K178" s="316">
        <f t="shared" si="101"/>
        <v>49.2</v>
      </c>
      <c r="L178" s="315">
        <f t="shared" si="101"/>
        <v>96</v>
      </c>
      <c r="M178" s="320">
        <f t="shared" si="101"/>
        <v>51.2</v>
      </c>
      <c r="N178" s="320">
        <f t="shared" si="101"/>
        <v>48.4</v>
      </c>
      <c r="O178" s="357">
        <f t="shared" si="101"/>
        <v>32</v>
      </c>
      <c r="P178" s="320">
        <f t="shared" si="101"/>
        <v>30.8</v>
      </c>
      <c r="Q178" s="330">
        <f t="shared" si="101"/>
        <v>55.2</v>
      </c>
      <c r="S178" s="355">
        <f t="shared" si="103"/>
        <v>22.8</v>
      </c>
      <c r="T178" s="356">
        <f t="shared" si="104"/>
        <v>22.8</v>
      </c>
      <c r="U178" s="323">
        <f t="shared" si="105"/>
        <v>33.6</v>
      </c>
      <c r="V178" s="222"/>
      <c r="W178" s="291">
        <f t="shared" si="106"/>
        <v>48</v>
      </c>
      <c r="X178" s="292">
        <f t="shared" si="106"/>
        <v>51.2</v>
      </c>
      <c r="Y178" s="292">
        <f t="shared" si="106"/>
        <v>51.2</v>
      </c>
      <c r="Z178" s="292">
        <f t="shared" si="106"/>
        <v>47.2</v>
      </c>
      <c r="AA178" s="264"/>
      <c r="AB178" s="264"/>
      <c r="AC178" s="293">
        <f t="shared" si="107"/>
        <v>51.2</v>
      </c>
      <c r="AD178" s="222"/>
      <c r="AE178" s="291">
        <f t="shared" si="102"/>
        <v>66.8</v>
      </c>
      <c r="AF178" s="292">
        <f t="shared" si="102"/>
        <v>64.400000000000006</v>
      </c>
      <c r="AG178" s="292">
        <f t="shared" si="102"/>
        <v>60.8</v>
      </c>
      <c r="AH178" s="292">
        <f t="shared" si="102"/>
        <v>60.4</v>
      </c>
      <c r="AI178" s="292">
        <f t="shared" si="102"/>
        <v>60.8</v>
      </c>
      <c r="AJ178" s="292">
        <f t="shared" si="102"/>
        <v>69.599999999999994</v>
      </c>
      <c r="AK178" s="264"/>
      <c r="AL178" s="264"/>
      <c r="AM178" s="265"/>
      <c r="AN178" s="222"/>
    </row>
    <row r="179" spans="1:40" ht="16.5" customHeight="1" x14ac:dyDescent="0.25">
      <c r="A179" s="257">
        <v>330080</v>
      </c>
      <c r="B179" s="258" t="s">
        <v>112</v>
      </c>
      <c r="C179" s="259" t="s">
        <v>538</v>
      </c>
      <c r="D179" s="458"/>
      <c r="E179" s="288">
        <v>4</v>
      </c>
      <c r="F179" s="262" cm="1">
        <f t="array" ref="F179">SUMPRODUCT((1*($G$9:$AM$9="x")),G179:AM179)</f>
        <v>136.4</v>
      </c>
      <c r="G179" s="315">
        <f t="shared" si="101"/>
        <v>37.200000000000003</v>
      </c>
      <c r="H179" s="320">
        <f t="shared" si="101"/>
        <v>46.8</v>
      </c>
      <c r="I179" s="320">
        <f t="shared" si="101"/>
        <v>43.6</v>
      </c>
      <c r="J179" s="320">
        <f t="shared" si="101"/>
        <v>42.8</v>
      </c>
      <c r="K179" s="316">
        <f t="shared" si="101"/>
        <v>49.2</v>
      </c>
      <c r="L179" s="315">
        <f t="shared" si="101"/>
        <v>96</v>
      </c>
      <c r="M179" s="320">
        <f t="shared" si="101"/>
        <v>51.2</v>
      </c>
      <c r="N179" s="320">
        <f t="shared" si="101"/>
        <v>48.4</v>
      </c>
      <c r="O179" s="357">
        <f t="shared" si="101"/>
        <v>32</v>
      </c>
      <c r="P179" s="320">
        <f t="shared" si="101"/>
        <v>30.8</v>
      </c>
      <c r="Q179" s="330">
        <f t="shared" si="101"/>
        <v>55.2</v>
      </c>
      <c r="S179" s="355">
        <f t="shared" si="103"/>
        <v>22.8</v>
      </c>
      <c r="T179" s="356">
        <f t="shared" si="104"/>
        <v>22.8</v>
      </c>
      <c r="U179" s="323">
        <f t="shared" si="105"/>
        <v>33.6</v>
      </c>
      <c r="V179" s="222"/>
      <c r="W179" s="291">
        <f t="shared" si="106"/>
        <v>48</v>
      </c>
      <c r="X179" s="292">
        <f t="shared" si="106"/>
        <v>51.2</v>
      </c>
      <c r="Y179" s="292">
        <f t="shared" si="106"/>
        <v>51.2</v>
      </c>
      <c r="Z179" s="292">
        <f t="shared" si="106"/>
        <v>47.2</v>
      </c>
      <c r="AA179" s="264"/>
      <c r="AB179" s="264"/>
      <c r="AC179" s="293">
        <f t="shared" si="107"/>
        <v>51.2</v>
      </c>
      <c r="AD179" s="222"/>
      <c r="AE179" s="291">
        <f t="shared" si="102"/>
        <v>66.8</v>
      </c>
      <c r="AF179" s="292">
        <f t="shared" si="102"/>
        <v>64.400000000000006</v>
      </c>
      <c r="AG179" s="292">
        <f t="shared" si="102"/>
        <v>60.8</v>
      </c>
      <c r="AH179" s="292">
        <f t="shared" si="102"/>
        <v>60.4</v>
      </c>
      <c r="AI179" s="292">
        <f t="shared" si="102"/>
        <v>60.8</v>
      </c>
      <c r="AJ179" s="292">
        <f t="shared" si="102"/>
        <v>69.599999999999994</v>
      </c>
      <c r="AK179" s="264"/>
      <c r="AL179" s="264"/>
      <c r="AM179" s="265"/>
      <c r="AN179" s="222"/>
    </row>
    <row r="180" spans="1:40" ht="16.5" customHeight="1" x14ac:dyDescent="0.25">
      <c r="A180" s="257">
        <v>320140</v>
      </c>
      <c r="B180" s="258" t="s">
        <v>114</v>
      </c>
      <c r="C180" s="259" t="s">
        <v>528</v>
      </c>
      <c r="D180" s="458"/>
      <c r="E180" s="288">
        <v>4</v>
      </c>
      <c r="F180" s="262" cm="1">
        <f t="array" ref="F180">SUMPRODUCT((1*($G$9:$AM$9="x")),G180:AM180)</f>
        <v>136.4</v>
      </c>
      <c r="G180" s="315">
        <f t="shared" si="101"/>
        <v>37.200000000000003</v>
      </c>
      <c r="H180" s="320">
        <f t="shared" si="101"/>
        <v>46.8</v>
      </c>
      <c r="I180" s="320">
        <f t="shared" si="101"/>
        <v>43.6</v>
      </c>
      <c r="J180" s="320">
        <f t="shared" si="101"/>
        <v>42.8</v>
      </c>
      <c r="K180" s="316">
        <f t="shared" si="101"/>
        <v>49.2</v>
      </c>
      <c r="L180" s="315">
        <f t="shared" si="101"/>
        <v>96</v>
      </c>
      <c r="M180" s="320">
        <f t="shared" si="101"/>
        <v>51.2</v>
      </c>
      <c r="N180" s="320">
        <f t="shared" si="101"/>
        <v>48.4</v>
      </c>
      <c r="O180" s="357">
        <f t="shared" si="101"/>
        <v>32</v>
      </c>
      <c r="P180" s="320">
        <f t="shared" si="101"/>
        <v>30.8</v>
      </c>
      <c r="Q180" s="330">
        <f t="shared" si="101"/>
        <v>55.2</v>
      </c>
      <c r="S180" s="355">
        <f t="shared" si="103"/>
        <v>22.8</v>
      </c>
      <c r="T180" s="356">
        <f t="shared" si="104"/>
        <v>22.8</v>
      </c>
      <c r="U180" s="323">
        <f t="shared" si="105"/>
        <v>33.6</v>
      </c>
      <c r="V180" s="222"/>
      <c r="W180" s="291">
        <f t="shared" si="106"/>
        <v>48</v>
      </c>
      <c r="X180" s="292">
        <f t="shared" si="106"/>
        <v>51.2</v>
      </c>
      <c r="Y180" s="292">
        <f t="shared" si="106"/>
        <v>51.2</v>
      </c>
      <c r="Z180" s="292">
        <f t="shared" si="106"/>
        <v>47.2</v>
      </c>
      <c r="AA180" s="264"/>
      <c r="AB180" s="264"/>
      <c r="AC180" s="293">
        <f t="shared" si="107"/>
        <v>51.2</v>
      </c>
      <c r="AD180" s="222"/>
      <c r="AE180" s="291">
        <f t="shared" si="102"/>
        <v>66.8</v>
      </c>
      <c r="AF180" s="292">
        <f t="shared" si="102"/>
        <v>64.400000000000006</v>
      </c>
      <c r="AG180" s="292">
        <f t="shared" si="102"/>
        <v>60.8</v>
      </c>
      <c r="AH180" s="292">
        <f t="shared" si="102"/>
        <v>60.4</v>
      </c>
      <c r="AI180" s="292">
        <f t="shared" si="102"/>
        <v>60.8</v>
      </c>
      <c r="AJ180" s="292">
        <f t="shared" si="102"/>
        <v>69.599999999999994</v>
      </c>
      <c r="AK180" s="264"/>
      <c r="AL180" s="264"/>
      <c r="AM180" s="265"/>
      <c r="AN180" s="222"/>
    </row>
    <row r="181" spans="1:40" ht="16.5" customHeight="1" x14ac:dyDescent="0.25">
      <c r="A181" s="257">
        <v>310040</v>
      </c>
      <c r="B181" s="258" t="s">
        <v>433</v>
      </c>
      <c r="C181" s="259" t="s">
        <v>536</v>
      </c>
      <c r="D181" s="458"/>
      <c r="E181" s="288">
        <v>4</v>
      </c>
      <c r="F181" s="262" cm="1">
        <f t="array" ref="F181">SUMPRODUCT((1*($G$9:$AM$9="x")),G181:AM181)</f>
        <v>136.4</v>
      </c>
      <c r="G181" s="315">
        <f t="shared" si="101"/>
        <v>37.200000000000003</v>
      </c>
      <c r="H181" s="320">
        <f t="shared" si="101"/>
        <v>46.8</v>
      </c>
      <c r="I181" s="320">
        <f t="shared" si="101"/>
        <v>43.6</v>
      </c>
      <c r="J181" s="320">
        <f t="shared" si="101"/>
        <v>42.8</v>
      </c>
      <c r="K181" s="316">
        <f t="shared" si="101"/>
        <v>49.2</v>
      </c>
      <c r="L181" s="315">
        <f t="shared" si="101"/>
        <v>96</v>
      </c>
      <c r="M181" s="320">
        <f t="shared" si="101"/>
        <v>51.2</v>
      </c>
      <c r="N181" s="320">
        <f t="shared" si="101"/>
        <v>48.4</v>
      </c>
      <c r="O181" s="357">
        <f t="shared" si="101"/>
        <v>32</v>
      </c>
      <c r="P181" s="320">
        <f t="shared" si="101"/>
        <v>30.8</v>
      </c>
      <c r="Q181" s="330">
        <f t="shared" si="101"/>
        <v>55.2</v>
      </c>
      <c r="S181" s="355">
        <f t="shared" si="103"/>
        <v>22.8</v>
      </c>
      <c r="T181" s="356">
        <f t="shared" si="104"/>
        <v>22.8</v>
      </c>
      <c r="U181" s="323">
        <f t="shared" si="105"/>
        <v>33.6</v>
      </c>
      <c r="V181" s="222"/>
      <c r="W181" s="291">
        <f t="shared" si="106"/>
        <v>48</v>
      </c>
      <c r="X181" s="292">
        <f t="shared" si="106"/>
        <v>51.2</v>
      </c>
      <c r="Y181" s="292">
        <f t="shared" si="106"/>
        <v>51.2</v>
      </c>
      <c r="Z181" s="292">
        <f t="shared" si="106"/>
        <v>47.2</v>
      </c>
      <c r="AA181" s="264"/>
      <c r="AB181" s="264"/>
      <c r="AC181" s="293">
        <f t="shared" si="107"/>
        <v>51.2</v>
      </c>
      <c r="AD181" s="222"/>
      <c r="AE181" s="291">
        <f t="shared" si="102"/>
        <v>66.8</v>
      </c>
      <c r="AF181" s="292">
        <f t="shared" si="102"/>
        <v>64.400000000000006</v>
      </c>
      <c r="AG181" s="292">
        <f t="shared" si="102"/>
        <v>60.8</v>
      </c>
      <c r="AH181" s="292">
        <f t="shared" si="102"/>
        <v>60.4</v>
      </c>
      <c r="AI181" s="292">
        <f t="shared" si="102"/>
        <v>60.8</v>
      </c>
      <c r="AJ181" s="292">
        <f t="shared" si="102"/>
        <v>69.599999999999994</v>
      </c>
      <c r="AK181" s="264"/>
      <c r="AL181" s="264"/>
      <c r="AM181" s="265"/>
      <c r="AN181" s="222"/>
    </row>
    <row r="182" spans="1:40" ht="16.5" customHeight="1" x14ac:dyDescent="0.25">
      <c r="A182" s="257">
        <v>320040</v>
      </c>
      <c r="B182" s="258" t="s">
        <v>434</v>
      </c>
      <c r="C182" s="259" t="s">
        <v>528</v>
      </c>
      <c r="D182" s="458"/>
      <c r="E182" s="288">
        <v>4</v>
      </c>
      <c r="F182" s="262" cm="1">
        <f t="array" ref="F182">SUMPRODUCT((1*($G$9:$AM$9="x")),G182:AM182)</f>
        <v>136.4</v>
      </c>
      <c r="G182" s="315">
        <f t="shared" ref="G182:Q197" si="108">$E182*G$11</f>
        <v>37.200000000000003</v>
      </c>
      <c r="H182" s="320">
        <f t="shared" si="108"/>
        <v>46.8</v>
      </c>
      <c r="I182" s="320">
        <f t="shared" si="108"/>
        <v>43.6</v>
      </c>
      <c r="J182" s="320">
        <f t="shared" si="108"/>
        <v>42.8</v>
      </c>
      <c r="K182" s="316">
        <f t="shared" si="108"/>
        <v>49.2</v>
      </c>
      <c r="L182" s="315">
        <f t="shared" si="108"/>
        <v>96</v>
      </c>
      <c r="M182" s="320">
        <f t="shared" si="108"/>
        <v>51.2</v>
      </c>
      <c r="N182" s="320">
        <f t="shared" si="108"/>
        <v>48.4</v>
      </c>
      <c r="O182" s="357">
        <f t="shared" si="108"/>
        <v>32</v>
      </c>
      <c r="P182" s="320">
        <f t="shared" si="108"/>
        <v>30.8</v>
      </c>
      <c r="Q182" s="330">
        <f t="shared" si="108"/>
        <v>55.2</v>
      </c>
      <c r="S182" s="355">
        <f t="shared" si="103"/>
        <v>22.8</v>
      </c>
      <c r="T182" s="356">
        <f t="shared" si="104"/>
        <v>22.8</v>
      </c>
      <c r="U182" s="323">
        <f t="shared" si="105"/>
        <v>33.6</v>
      </c>
      <c r="V182" s="222"/>
      <c r="W182" s="291">
        <f t="shared" si="106"/>
        <v>48</v>
      </c>
      <c r="X182" s="292">
        <f t="shared" si="106"/>
        <v>51.2</v>
      </c>
      <c r="Y182" s="292">
        <f t="shared" si="106"/>
        <v>51.2</v>
      </c>
      <c r="Z182" s="292">
        <f t="shared" si="106"/>
        <v>47.2</v>
      </c>
      <c r="AA182" s="264"/>
      <c r="AB182" s="264"/>
      <c r="AC182" s="293">
        <f t="shared" si="107"/>
        <v>51.2</v>
      </c>
      <c r="AD182" s="222"/>
      <c r="AE182" s="291">
        <f t="shared" ref="AE182:AJ197" si="109">AE$11*$E182</f>
        <v>66.8</v>
      </c>
      <c r="AF182" s="292">
        <f t="shared" si="109"/>
        <v>64.400000000000006</v>
      </c>
      <c r="AG182" s="292">
        <f t="shared" si="109"/>
        <v>60.8</v>
      </c>
      <c r="AH182" s="292">
        <f t="shared" si="109"/>
        <v>60.4</v>
      </c>
      <c r="AI182" s="292">
        <f t="shared" si="109"/>
        <v>60.8</v>
      </c>
      <c r="AJ182" s="292">
        <f t="shared" si="109"/>
        <v>69.599999999999994</v>
      </c>
      <c r="AK182" s="264"/>
      <c r="AL182" s="264"/>
      <c r="AM182" s="265"/>
      <c r="AN182" s="222"/>
    </row>
    <row r="183" spans="1:40" ht="16.5" customHeight="1" x14ac:dyDescent="0.25">
      <c r="A183" s="257">
        <v>330040</v>
      </c>
      <c r="B183" s="258" t="s">
        <v>435</v>
      </c>
      <c r="C183" s="259" t="s">
        <v>538</v>
      </c>
      <c r="D183" s="458"/>
      <c r="E183" s="288">
        <v>4</v>
      </c>
      <c r="F183" s="262" cm="1">
        <f t="array" ref="F183">SUMPRODUCT((1*($G$9:$AM$9="x")),G183:AM183)</f>
        <v>136.4</v>
      </c>
      <c r="G183" s="315">
        <f t="shared" si="108"/>
        <v>37.200000000000003</v>
      </c>
      <c r="H183" s="320">
        <f t="shared" si="108"/>
        <v>46.8</v>
      </c>
      <c r="I183" s="320">
        <f t="shared" si="108"/>
        <v>43.6</v>
      </c>
      <c r="J183" s="320">
        <f t="shared" si="108"/>
        <v>42.8</v>
      </c>
      <c r="K183" s="316">
        <f t="shared" si="108"/>
        <v>49.2</v>
      </c>
      <c r="L183" s="315">
        <f t="shared" si="108"/>
        <v>96</v>
      </c>
      <c r="M183" s="320">
        <f t="shared" si="108"/>
        <v>51.2</v>
      </c>
      <c r="N183" s="320">
        <f t="shared" si="108"/>
        <v>48.4</v>
      </c>
      <c r="O183" s="357">
        <f t="shared" si="108"/>
        <v>32</v>
      </c>
      <c r="P183" s="320">
        <f t="shared" si="108"/>
        <v>30.8</v>
      </c>
      <c r="Q183" s="330">
        <f t="shared" si="108"/>
        <v>55.2</v>
      </c>
      <c r="S183" s="355">
        <f t="shared" si="103"/>
        <v>22.8</v>
      </c>
      <c r="T183" s="356">
        <f t="shared" si="104"/>
        <v>22.8</v>
      </c>
      <c r="U183" s="323">
        <f t="shared" si="105"/>
        <v>33.6</v>
      </c>
      <c r="V183" s="222"/>
      <c r="W183" s="291">
        <f t="shared" si="106"/>
        <v>48</v>
      </c>
      <c r="X183" s="292">
        <f t="shared" si="106"/>
        <v>51.2</v>
      </c>
      <c r="Y183" s="292">
        <f t="shared" si="106"/>
        <v>51.2</v>
      </c>
      <c r="Z183" s="292">
        <f t="shared" si="106"/>
        <v>47.2</v>
      </c>
      <c r="AA183" s="264"/>
      <c r="AB183" s="264"/>
      <c r="AC183" s="293">
        <f t="shared" si="107"/>
        <v>51.2</v>
      </c>
      <c r="AD183" s="222"/>
      <c r="AE183" s="291">
        <f t="shared" si="109"/>
        <v>66.8</v>
      </c>
      <c r="AF183" s="292">
        <f t="shared" si="109"/>
        <v>64.400000000000006</v>
      </c>
      <c r="AG183" s="292">
        <f t="shared" si="109"/>
        <v>60.8</v>
      </c>
      <c r="AH183" s="292">
        <f t="shared" si="109"/>
        <v>60.4</v>
      </c>
      <c r="AI183" s="292">
        <f t="shared" si="109"/>
        <v>60.8</v>
      </c>
      <c r="AJ183" s="292">
        <f t="shared" si="109"/>
        <v>69.599999999999994</v>
      </c>
      <c r="AK183" s="264"/>
      <c r="AL183" s="264"/>
      <c r="AM183" s="265"/>
      <c r="AN183" s="222"/>
    </row>
    <row r="184" spans="1:40" ht="16.5" customHeight="1" x14ac:dyDescent="0.25">
      <c r="A184" s="257">
        <v>310060</v>
      </c>
      <c r="B184" s="258" t="s">
        <v>436</v>
      </c>
      <c r="C184" s="259" t="s">
        <v>536</v>
      </c>
      <c r="D184" s="458"/>
      <c r="E184" s="288">
        <v>4</v>
      </c>
      <c r="F184" s="262" cm="1">
        <f t="array" ref="F184">SUMPRODUCT((1*($G$9:$AM$9="x")),G184:AM184)</f>
        <v>136.4</v>
      </c>
      <c r="G184" s="315">
        <f t="shared" si="108"/>
        <v>37.200000000000003</v>
      </c>
      <c r="H184" s="320">
        <f t="shared" si="108"/>
        <v>46.8</v>
      </c>
      <c r="I184" s="320">
        <f t="shared" si="108"/>
        <v>43.6</v>
      </c>
      <c r="J184" s="320">
        <f t="shared" si="108"/>
        <v>42.8</v>
      </c>
      <c r="K184" s="316">
        <f t="shared" si="108"/>
        <v>49.2</v>
      </c>
      <c r="L184" s="315">
        <f t="shared" si="108"/>
        <v>96</v>
      </c>
      <c r="M184" s="320">
        <f t="shared" si="108"/>
        <v>51.2</v>
      </c>
      <c r="N184" s="320">
        <f t="shared" si="108"/>
        <v>48.4</v>
      </c>
      <c r="O184" s="357">
        <f t="shared" si="108"/>
        <v>32</v>
      </c>
      <c r="P184" s="320">
        <f t="shared" si="108"/>
        <v>30.8</v>
      </c>
      <c r="Q184" s="330">
        <f t="shared" si="108"/>
        <v>55.2</v>
      </c>
      <c r="S184" s="355">
        <f t="shared" si="103"/>
        <v>22.8</v>
      </c>
      <c r="T184" s="356">
        <f t="shared" si="104"/>
        <v>22.8</v>
      </c>
      <c r="U184" s="323">
        <f t="shared" si="105"/>
        <v>33.6</v>
      </c>
      <c r="V184" s="222"/>
      <c r="W184" s="291">
        <f t="shared" si="106"/>
        <v>48</v>
      </c>
      <c r="X184" s="292">
        <f t="shared" si="106"/>
        <v>51.2</v>
      </c>
      <c r="Y184" s="292">
        <f t="shared" si="106"/>
        <v>51.2</v>
      </c>
      <c r="Z184" s="292">
        <f t="shared" si="106"/>
        <v>47.2</v>
      </c>
      <c r="AA184" s="264"/>
      <c r="AB184" s="264"/>
      <c r="AC184" s="293">
        <f t="shared" si="107"/>
        <v>51.2</v>
      </c>
      <c r="AD184" s="222"/>
      <c r="AE184" s="291">
        <f t="shared" si="109"/>
        <v>66.8</v>
      </c>
      <c r="AF184" s="292">
        <f t="shared" si="109"/>
        <v>64.400000000000006</v>
      </c>
      <c r="AG184" s="292">
        <f t="shared" si="109"/>
        <v>60.8</v>
      </c>
      <c r="AH184" s="292">
        <f t="shared" si="109"/>
        <v>60.4</v>
      </c>
      <c r="AI184" s="292">
        <f t="shared" si="109"/>
        <v>60.8</v>
      </c>
      <c r="AJ184" s="292">
        <f t="shared" si="109"/>
        <v>69.599999999999994</v>
      </c>
      <c r="AK184" s="264"/>
      <c r="AL184" s="264"/>
      <c r="AM184" s="265"/>
      <c r="AN184" s="222"/>
    </row>
    <row r="185" spans="1:40" ht="16.5" customHeight="1" x14ac:dyDescent="0.25">
      <c r="A185" s="257">
        <v>320060</v>
      </c>
      <c r="B185" s="258" t="s">
        <v>437</v>
      </c>
      <c r="C185" s="259" t="s">
        <v>528</v>
      </c>
      <c r="D185" s="458"/>
      <c r="E185" s="288">
        <v>4</v>
      </c>
      <c r="F185" s="262" cm="1">
        <f t="array" ref="F185">SUMPRODUCT((1*($G$9:$AM$9="x")),G185:AM185)</f>
        <v>136.4</v>
      </c>
      <c r="G185" s="315">
        <f t="shared" si="108"/>
        <v>37.200000000000003</v>
      </c>
      <c r="H185" s="320">
        <f t="shared" si="108"/>
        <v>46.8</v>
      </c>
      <c r="I185" s="320">
        <f t="shared" si="108"/>
        <v>43.6</v>
      </c>
      <c r="J185" s="320">
        <f t="shared" si="108"/>
        <v>42.8</v>
      </c>
      <c r="K185" s="316">
        <f t="shared" si="108"/>
        <v>49.2</v>
      </c>
      <c r="L185" s="315">
        <f t="shared" si="108"/>
        <v>96</v>
      </c>
      <c r="M185" s="320">
        <f t="shared" si="108"/>
        <v>51.2</v>
      </c>
      <c r="N185" s="320">
        <f t="shared" si="108"/>
        <v>48.4</v>
      </c>
      <c r="O185" s="357">
        <f t="shared" si="108"/>
        <v>32</v>
      </c>
      <c r="P185" s="320">
        <f t="shared" si="108"/>
        <v>30.8</v>
      </c>
      <c r="Q185" s="330">
        <f t="shared" si="108"/>
        <v>55.2</v>
      </c>
      <c r="S185" s="355">
        <f t="shared" si="103"/>
        <v>22.8</v>
      </c>
      <c r="T185" s="356">
        <f t="shared" si="104"/>
        <v>22.8</v>
      </c>
      <c r="U185" s="323">
        <f t="shared" si="105"/>
        <v>33.6</v>
      </c>
      <c r="V185" s="222"/>
      <c r="W185" s="291">
        <f t="shared" si="106"/>
        <v>48</v>
      </c>
      <c r="X185" s="292">
        <f t="shared" si="106"/>
        <v>51.2</v>
      </c>
      <c r="Y185" s="292">
        <f t="shared" si="106"/>
        <v>51.2</v>
      </c>
      <c r="Z185" s="292">
        <f t="shared" si="106"/>
        <v>47.2</v>
      </c>
      <c r="AA185" s="264"/>
      <c r="AB185" s="264"/>
      <c r="AC185" s="293">
        <f t="shared" si="107"/>
        <v>51.2</v>
      </c>
      <c r="AD185" s="222"/>
      <c r="AE185" s="291">
        <f t="shared" si="109"/>
        <v>66.8</v>
      </c>
      <c r="AF185" s="292">
        <f t="shared" si="109"/>
        <v>64.400000000000006</v>
      </c>
      <c r="AG185" s="292">
        <f t="shared" si="109"/>
        <v>60.8</v>
      </c>
      <c r="AH185" s="292">
        <f t="shared" si="109"/>
        <v>60.4</v>
      </c>
      <c r="AI185" s="292">
        <f t="shared" si="109"/>
        <v>60.8</v>
      </c>
      <c r="AJ185" s="292">
        <f t="shared" si="109"/>
        <v>69.599999999999994</v>
      </c>
      <c r="AK185" s="264"/>
      <c r="AL185" s="264"/>
      <c r="AM185" s="265"/>
      <c r="AN185" s="222"/>
    </row>
    <row r="186" spans="1:40" ht="16.5" customHeight="1" x14ac:dyDescent="0.25">
      <c r="A186" s="257">
        <v>330060</v>
      </c>
      <c r="B186" s="258" t="s">
        <v>438</v>
      </c>
      <c r="C186" s="259" t="s">
        <v>538</v>
      </c>
      <c r="D186" s="458"/>
      <c r="E186" s="288">
        <v>4</v>
      </c>
      <c r="F186" s="262" cm="1">
        <f t="array" ref="F186">SUMPRODUCT((1*($G$9:$AM$9="x")),G186:AM186)</f>
        <v>136.4</v>
      </c>
      <c r="G186" s="315">
        <f t="shared" si="108"/>
        <v>37.200000000000003</v>
      </c>
      <c r="H186" s="320">
        <f t="shared" si="108"/>
        <v>46.8</v>
      </c>
      <c r="I186" s="320">
        <f t="shared" si="108"/>
        <v>43.6</v>
      </c>
      <c r="J186" s="320">
        <f t="shared" si="108"/>
        <v>42.8</v>
      </c>
      <c r="K186" s="316">
        <f t="shared" si="108"/>
        <v>49.2</v>
      </c>
      <c r="L186" s="315">
        <f t="shared" si="108"/>
        <v>96</v>
      </c>
      <c r="M186" s="320">
        <f t="shared" si="108"/>
        <v>51.2</v>
      </c>
      <c r="N186" s="320">
        <f t="shared" si="108"/>
        <v>48.4</v>
      </c>
      <c r="O186" s="357">
        <f t="shared" si="108"/>
        <v>32</v>
      </c>
      <c r="P186" s="320">
        <f t="shared" si="108"/>
        <v>30.8</v>
      </c>
      <c r="Q186" s="330">
        <f t="shared" si="108"/>
        <v>55.2</v>
      </c>
      <c r="S186" s="355">
        <f t="shared" si="103"/>
        <v>22.8</v>
      </c>
      <c r="T186" s="356">
        <f t="shared" si="104"/>
        <v>22.8</v>
      </c>
      <c r="U186" s="323">
        <f t="shared" si="105"/>
        <v>33.6</v>
      </c>
      <c r="V186" s="222"/>
      <c r="W186" s="291">
        <f t="shared" si="106"/>
        <v>48</v>
      </c>
      <c r="X186" s="292">
        <f t="shared" si="106"/>
        <v>51.2</v>
      </c>
      <c r="Y186" s="292">
        <f t="shared" si="106"/>
        <v>51.2</v>
      </c>
      <c r="Z186" s="292">
        <f t="shared" si="106"/>
        <v>47.2</v>
      </c>
      <c r="AA186" s="264"/>
      <c r="AB186" s="264"/>
      <c r="AC186" s="293">
        <f t="shared" si="107"/>
        <v>51.2</v>
      </c>
      <c r="AD186" s="222"/>
      <c r="AE186" s="291">
        <f t="shared" si="109"/>
        <v>66.8</v>
      </c>
      <c r="AF186" s="292">
        <f t="shared" si="109"/>
        <v>64.400000000000006</v>
      </c>
      <c r="AG186" s="292">
        <f t="shared" si="109"/>
        <v>60.8</v>
      </c>
      <c r="AH186" s="292">
        <f t="shared" si="109"/>
        <v>60.4</v>
      </c>
      <c r="AI186" s="292">
        <f t="shared" si="109"/>
        <v>60.8</v>
      </c>
      <c r="AJ186" s="292">
        <f t="shared" si="109"/>
        <v>69.599999999999994</v>
      </c>
      <c r="AK186" s="264"/>
      <c r="AL186" s="264"/>
      <c r="AM186" s="265"/>
      <c r="AN186" s="222"/>
    </row>
    <row r="187" spans="1:40" ht="16.5" customHeight="1" x14ac:dyDescent="0.25">
      <c r="A187" s="257">
        <v>311650</v>
      </c>
      <c r="B187" s="258" t="s">
        <v>115</v>
      </c>
      <c r="C187" s="259" t="s">
        <v>536</v>
      </c>
      <c r="D187" s="458"/>
      <c r="E187" s="288">
        <v>4</v>
      </c>
      <c r="F187" s="262" cm="1">
        <f t="array" ref="F187">SUMPRODUCT((1*($G$9:$AM$9="x")),G187:AM187)</f>
        <v>136.4</v>
      </c>
      <c r="G187" s="315">
        <f t="shared" si="108"/>
        <v>37.200000000000003</v>
      </c>
      <c r="H187" s="320">
        <f t="shared" si="108"/>
        <v>46.8</v>
      </c>
      <c r="I187" s="320">
        <f t="shared" si="108"/>
        <v>43.6</v>
      </c>
      <c r="J187" s="320">
        <f t="shared" si="108"/>
        <v>42.8</v>
      </c>
      <c r="K187" s="316">
        <f t="shared" si="108"/>
        <v>49.2</v>
      </c>
      <c r="L187" s="315">
        <f t="shared" si="108"/>
        <v>96</v>
      </c>
      <c r="M187" s="320">
        <f t="shared" si="108"/>
        <v>51.2</v>
      </c>
      <c r="N187" s="320">
        <f t="shared" si="108"/>
        <v>48.4</v>
      </c>
      <c r="O187" s="357">
        <f t="shared" si="108"/>
        <v>32</v>
      </c>
      <c r="P187" s="320">
        <f t="shared" si="108"/>
        <v>30.8</v>
      </c>
      <c r="Q187" s="330">
        <f t="shared" si="108"/>
        <v>55.2</v>
      </c>
      <c r="S187" s="355">
        <f t="shared" si="103"/>
        <v>22.8</v>
      </c>
      <c r="T187" s="356">
        <f t="shared" si="104"/>
        <v>22.8</v>
      </c>
      <c r="U187" s="323">
        <f t="shared" si="105"/>
        <v>33.6</v>
      </c>
      <c r="V187" s="222"/>
      <c r="W187" s="291">
        <f t="shared" si="106"/>
        <v>48</v>
      </c>
      <c r="X187" s="292">
        <f t="shared" si="106"/>
        <v>51.2</v>
      </c>
      <c r="Y187" s="292">
        <f t="shared" si="106"/>
        <v>51.2</v>
      </c>
      <c r="Z187" s="292">
        <f t="shared" si="106"/>
        <v>47.2</v>
      </c>
      <c r="AA187" s="264"/>
      <c r="AB187" s="264"/>
      <c r="AC187" s="293">
        <f t="shared" si="107"/>
        <v>51.2</v>
      </c>
      <c r="AD187" s="222"/>
      <c r="AE187" s="291">
        <f t="shared" si="109"/>
        <v>66.8</v>
      </c>
      <c r="AF187" s="292">
        <f t="shared" si="109"/>
        <v>64.400000000000006</v>
      </c>
      <c r="AG187" s="292">
        <f t="shared" si="109"/>
        <v>60.8</v>
      </c>
      <c r="AH187" s="292">
        <f t="shared" si="109"/>
        <v>60.4</v>
      </c>
      <c r="AI187" s="292">
        <f t="shared" si="109"/>
        <v>60.8</v>
      </c>
      <c r="AJ187" s="292">
        <f t="shared" si="109"/>
        <v>69.599999999999994</v>
      </c>
      <c r="AK187" s="264"/>
      <c r="AL187" s="264"/>
      <c r="AM187" s="265"/>
      <c r="AN187" s="222"/>
    </row>
    <row r="188" spans="1:40" ht="16.5" customHeight="1" x14ac:dyDescent="0.25">
      <c r="A188" s="257">
        <v>321650</v>
      </c>
      <c r="B188" s="258" t="s">
        <v>116</v>
      </c>
      <c r="C188" s="259" t="s">
        <v>528</v>
      </c>
      <c r="D188" s="458"/>
      <c r="E188" s="288">
        <v>4</v>
      </c>
      <c r="F188" s="262" cm="1">
        <f t="array" ref="F188">SUMPRODUCT((1*($G$9:$AM$9="x")),G188:AM188)</f>
        <v>136.4</v>
      </c>
      <c r="G188" s="315">
        <f t="shared" si="108"/>
        <v>37.200000000000003</v>
      </c>
      <c r="H188" s="320">
        <f t="shared" si="108"/>
        <v>46.8</v>
      </c>
      <c r="I188" s="320">
        <f t="shared" si="108"/>
        <v>43.6</v>
      </c>
      <c r="J188" s="320">
        <f t="shared" si="108"/>
        <v>42.8</v>
      </c>
      <c r="K188" s="316">
        <f t="shared" si="108"/>
        <v>49.2</v>
      </c>
      <c r="L188" s="315">
        <f t="shared" si="108"/>
        <v>96</v>
      </c>
      <c r="M188" s="320">
        <f t="shared" si="108"/>
        <v>51.2</v>
      </c>
      <c r="N188" s="320">
        <f t="shared" si="108"/>
        <v>48.4</v>
      </c>
      <c r="O188" s="357">
        <f t="shared" si="108"/>
        <v>32</v>
      </c>
      <c r="P188" s="320">
        <f t="shared" si="108"/>
        <v>30.8</v>
      </c>
      <c r="Q188" s="330">
        <f t="shared" si="108"/>
        <v>55.2</v>
      </c>
      <c r="S188" s="355">
        <f t="shared" si="103"/>
        <v>22.8</v>
      </c>
      <c r="T188" s="356">
        <f t="shared" si="104"/>
        <v>22.8</v>
      </c>
      <c r="U188" s="323">
        <f t="shared" si="105"/>
        <v>33.6</v>
      </c>
      <c r="V188" s="222"/>
      <c r="W188" s="291">
        <f t="shared" si="106"/>
        <v>48</v>
      </c>
      <c r="X188" s="292">
        <f t="shared" si="106"/>
        <v>51.2</v>
      </c>
      <c r="Y188" s="292">
        <f t="shared" si="106"/>
        <v>51.2</v>
      </c>
      <c r="Z188" s="292">
        <f t="shared" si="106"/>
        <v>47.2</v>
      </c>
      <c r="AA188" s="264"/>
      <c r="AB188" s="264"/>
      <c r="AC188" s="293">
        <f t="shared" si="107"/>
        <v>51.2</v>
      </c>
      <c r="AD188" s="222"/>
      <c r="AE188" s="291">
        <f t="shared" si="109"/>
        <v>66.8</v>
      </c>
      <c r="AF188" s="292">
        <f t="shared" si="109"/>
        <v>64.400000000000006</v>
      </c>
      <c r="AG188" s="292">
        <f t="shared" si="109"/>
        <v>60.8</v>
      </c>
      <c r="AH188" s="292">
        <f t="shared" si="109"/>
        <v>60.4</v>
      </c>
      <c r="AI188" s="292">
        <f t="shared" si="109"/>
        <v>60.8</v>
      </c>
      <c r="AJ188" s="292">
        <f t="shared" si="109"/>
        <v>69.599999999999994</v>
      </c>
      <c r="AK188" s="264"/>
      <c r="AL188" s="264"/>
      <c r="AM188" s="265"/>
      <c r="AN188" s="222"/>
    </row>
    <row r="189" spans="1:40" ht="16.5" customHeight="1" x14ac:dyDescent="0.25">
      <c r="A189" s="257">
        <v>331650</v>
      </c>
      <c r="B189" s="258" t="s">
        <v>117</v>
      </c>
      <c r="C189" s="259" t="s">
        <v>538</v>
      </c>
      <c r="D189" s="458"/>
      <c r="E189" s="288">
        <v>4</v>
      </c>
      <c r="F189" s="262" cm="1">
        <f t="array" ref="F189">SUMPRODUCT((1*($G$9:$AM$9="x")),G189:AM189)</f>
        <v>136.4</v>
      </c>
      <c r="G189" s="315">
        <f t="shared" si="108"/>
        <v>37.200000000000003</v>
      </c>
      <c r="H189" s="320">
        <f t="shared" si="108"/>
        <v>46.8</v>
      </c>
      <c r="I189" s="320">
        <f t="shared" si="108"/>
        <v>43.6</v>
      </c>
      <c r="J189" s="320">
        <f t="shared" si="108"/>
        <v>42.8</v>
      </c>
      <c r="K189" s="316">
        <f t="shared" si="108"/>
        <v>49.2</v>
      </c>
      <c r="L189" s="315">
        <f t="shared" si="108"/>
        <v>96</v>
      </c>
      <c r="M189" s="320">
        <f t="shared" si="108"/>
        <v>51.2</v>
      </c>
      <c r="N189" s="320">
        <f t="shared" si="108"/>
        <v>48.4</v>
      </c>
      <c r="O189" s="357">
        <f t="shared" si="108"/>
        <v>32</v>
      </c>
      <c r="P189" s="320">
        <f t="shared" si="108"/>
        <v>30.8</v>
      </c>
      <c r="Q189" s="330">
        <f t="shared" si="108"/>
        <v>55.2</v>
      </c>
      <c r="S189" s="355">
        <f t="shared" si="103"/>
        <v>22.8</v>
      </c>
      <c r="T189" s="356">
        <f t="shared" si="104"/>
        <v>22.8</v>
      </c>
      <c r="U189" s="323">
        <f t="shared" si="105"/>
        <v>33.6</v>
      </c>
      <c r="V189" s="222"/>
      <c r="W189" s="291">
        <f t="shared" si="106"/>
        <v>48</v>
      </c>
      <c r="X189" s="292">
        <f t="shared" si="106"/>
        <v>51.2</v>
      </c>
      <c r="Y189" s="292">
        <f t="shared" si="106"/>
        <v>51.2</v>
      </c>
      <c r="Z189" s="292">
        <f t="shared" si="106"/>
        <v>47.2</v>
      </c>
      <c r="AA189" s="264"/>
      <c r="AB189" s="264"/>
      <c r="AC189" s="293">
        <f t="shared" si="107"/>
        <v>51.2</v>
      </c>
      <c r="AD189" s="222"/>
      <c r="AE189" s="291">
        <f t="shared" si="109"/>
        <v>66.8</v>
      </c>
      <c r="AF189" s="292">
        <f t="shared" si="109"/>
        <v>64.400000000000006</v>
      </c>
      <c r="AG189" s="292">
        <f t="shared" si="109"/>
        <v>60.8</v>
      </c>
      <c r="AH189" s="292">
        <f t="shared" si="109"/>
        <v>60.4</v>
      </c>
      <c r="AI189" s="292">
        <f t="shared" si="109"/>
        <v>60.8</v>
      </c>
      <c r="AJ189" s="292">
        <f t="shared" si="109"/>
        <v>69.599999999999994</v>
      </c>
      <c r="AK189" s="264"/>
      <c r="AL189" s="264"/>
      <c r="AM189" s="265"/>
      <c r="AN189" s="222"/>
    </row>
    <row r="190" spans="1:40" ht="16.5" customHeight="1" x14ac:dyDescent="0.25">
      <c r="A190" s="257">
        <v>310180</v>
      </c>
      <c r="B190" s="258" t="s">
        <v>124</v>
      </c>
      <c r="C190" s="259" t="s">
        <v>536</v>
      </c>
      <c r="D190" s="458"/>
      <c r="E190" s="288">
        <v>4</v>
      </c>
      <c r="F190" s="262" cm="1">
        <f t="array" ref="F190">SUMPRODUCT((1*($G$9:$AM$9="x")),G190:AM190)</f>
        <v>136.4</v>
      </c>
      <c r="G190" s="315">
        <f t="shared" si="108"/>
        <v>37.200000000000003</v>
      </c>
      <c r="H190" s="320">
        <f t="shared" si="108"/>
        <v>46.8</v>
      </c>
      <c r="I190" s="320">
        <f t="shared" si="108"/>
        <v>43.6</v>
      </c>
      <c r="J190" s="320">
        <f t="shared" si="108"/>
        <v>42.8</v>
      </c>
      <c r="K190" s="316">
        <f t="shared" si="108"/>
        <v>49.2</v>
      </c>
      <c r="L190" s="315">
        <f t="shared" si="108"/>
        <v>96</v>
      </c>
      <c r="M190" s="320">
        <f t="shared" si="108"/>
        <v>51.2</v>
      </c>
      <c r="N190" s="320">
        <f t="shared" si="108"/>
        <v>48.4</v>
      </c>
      <c r="O190" s="357">
        <f t="shared" si="108"/>
        <v>32</v>
      </c>
      <c r="P190" s="320">
        <f t="shared" si="108"/>
        <v>30.8</v>
      </c>
      <c r="Q190" s="330">
        <f t="shared" si="108"/>
        <v>55.2</v>
      </c>
      <c r="S190" s="355">
        <f t="shared" si="103"/>
        <v>22.8</v>
      </c>
      <c r="T190" s="356">
        <f t="shared" si="104"/>
        <v>22.8</v>
      </c>
      <c r="U190" s="323">
        <f t="shared" si="105"/>
        <v>33.6</v>
      </c>
      <c r="V190" s="222"/>
      <c r="W190" s="291">
        <f t="shared" si="106"/>
        <v>48</v>
      </c>
      <c r="X190" s="292">
        <f t="shared" si="106"/>
        <v>51.2</v>
      </c>
      <c r="Y190" s="292">
        <f t="shared" si="106"/>
        <v>51.2</v>
      </c>
      <c r="Z190" s="292">
        <f t="shared" si="106"/>
        <v>47.2</v>
      </c>
      <c r="AA190" s="264"/>
      <c r="AB190" s="264"/>
      <c r="AC190" s="293">
        <f t="shared" si="107"/>
        <v>51.2</v>
      </c>
      <c r="AD190" s="222"/>
      <c r="AE190" s="291">
        <f t="shared" si="109"/>
        <v>66.8</v>
      </c>
      <c r="AF190" s="292">
        <f t="shared" si="109"/>
        <v>64.400000000000006</v>
      </c>
      <c r="AG190" s="292">
        <f t="shared" si="109"/>
        <v>60.8</v>
      </c>
      <c r="AH190" s="292">
        <f t="shared" si="109"/>
        <v>60.4</v>
      </c>
      <c r="AI190" s="292">
        <f t="shared" si="109"/>
        <v>60.8</v>
      </c>
      <c r="AJ190" s="292">
        <f t="shared" si="109"/>
        <v>69.599999999999994</v>
      </c>
      <c r="AK190" s="264"/>
      <c r="AL190" s="264"/>
      <c r="AM190" s="265"/>
      <c r="AN190" s="222"/>
    </row>
    <row r="191" spans="1:40" ht="16.5" customHeight="1" x14ac:dyDescent="0.25">
      <c r="A191" s="257">
        <v>320180</v>
      </c>
      <c r="B191" s="258" t="s">
        <v>125</v>
      </c>
      <c r="C191" s="259" t="s">
        <v>528</v>
      </c>
      <c r="D191" s="458"/>
      <c r="E191" s="288">
        <v>4</v>
      </c>
      <c r="F191" s="262" cm="1">
        <f t="array" ref="F191">SUMPRODUCT((1*($G$9:$AM$9="x")),G191:AM191)</f>
        <v>136.4</v>
      </c>
      <c r="G191" s="315">
        <f t="shared" si="108"/>
        <v>37.200000000000003</v>
      </c>
      <c r="H191" s="320">
        <f t="shared" si="108"/>
        <v>46.8</v>
      </c>
      <c r="I191" s="320">
        <f t="shared" si="108"/>
        <v>43.6</v>
      </c>
      <c r="J191" s="320">
        <f t="shared" si="108"/>
        <v>42.8</v>
      </c>
      <c r="K191" s="316">
        <f t="shared" si="108"/>
        <v>49.2</v>
      </c>
      <c r="L191" s="315">
        <f t="shared" si="108"/>
        <v>96</v>
      </c>
      <c r="M191" s="320">
        <f t="shared" si="108"/>
        <v>51.2</v>
      </c>
      <c r="N191" s="320">
        <f t="shared" si="108"/>
        <v>48.4</v>
      </c>
      <c r="O191" s="357">
        <f t="shared" si="108"/>
        <v>32</v>
      </c>
      <c r="P191" s="320">
        <f t="shared" si="108"/>
        <v>30.8</v>
      </c>
      <c r="Q191" s="330">
        <f t="shared" si="108"/>
        <v>55.2</v>
      </c>
      <c r="S191" s="355">
        <f t="shared" si="103"/>
        <v>22.8</v>
      </c>
      <c r="T191" s="356">
        <f t="shared" si="104"/>
        <v>22.8</v>
      </c>
      <c r="U191" s="323">
        <f t="shared" si="105"/>
        <v>33.6</v>
      </c>
      <c r="V191" s="222"/>
      <c r="W191" s="291">
        <f t="shared" si="106"/>
        <v>48</v>
      </c>
      <c r="X191" s="292">
        <f t="shared" si="106"/>
        <v>51.2</v>
      </c>
      <c r="Y191" s="292">
        <f t="shared" si="106"/>
        <v>51.2</v>
      </c>
      <c r="Z191" s="292">
        <f t="shared" si="106"/>
        <v>47.2</v>
      </c>
      <c r="AA191" s="264"/>
      <c r="AB191" s="264"/>
      <c r="AC191" s="293">
        <f t="shared" si="107"/>
        <v>51.2</v>
      </c>
      <c r="AD191" s="222"/>
      <c r="AE191" s="291">
        <f t="shared" si="109"/>
        <v>66.8</v>
      </c>
      <c r="AF191" s="292">
        <f t="shared" si="109"/>
        <v>64.400000000000006</v>
      </c>
      <c r="AG191" s="292">
        <f t="shared" si="109"/>
        <v>60.8</v>
      </c>
      <c r="AH191" s="292">
        <f t="shared" si="109"/>
        <v>60.4</v>
      </c>
      <c r="AI191" s="292">
        <f t="shared" si="109"/>
        <v>60.8</v>
      </c>
      <c r="AJ191" s="292">
        <f t="shared" si="109"/>
        <v>69.599999999999994</v>
      </c>
      <c r="AK191" s="264"/>
      <c r="AL191" s="264"/>
      <c r="AM191" s="265"/>
      <c r="AN191" s="222"/>
    </row>
    <row r="192" spans="1:40" ht="16.5" customHeight="1" x14ac:dyDescent="0.25">
      <c r="A192" s="257">
        <v>330180</v>
      </c>
      <c r="B192" s="258" t="s">
        <v>126</v>
      </c>
      <c r="C192" s="259" t="s">
        <v>538</v>
      </c>
      <c r="D192" s="458"/>
      <c r="E192" s="288">
        <v>4</v>
      </c>
      <c r="F192" s="262" cm="1">
        <f t="array" ref="F192">SUMPRODUCT((1*($G$9:$AM$9="x")),G192:AM192)</f>
        <v>136.4</v>
      </c>
      <c r="G192" s="315">
        <f t="shared" si="108"/>
        <v>37.200000000000003</v>
      </c>
      <c r="H192" s="320">
        <f t="shared" si="108"/>
        <v>46.8</v>
      </c>
      <c r="I192" s="320">
        <f t="shared" si="108"/>
        <v>43.6</v>
      </c>
      <c r="J192" s="320">
        <f t="shared" si="108"/>
        <v>42.8</v>
      </c>
      <c r="K192" s="316">
        <f t="shared" si="108"/>
        <v>49.2</v>
      </c>
      <c r="L192" s="315">
        <f t="shared" si="108"/>
        <v>96</v>
      </c>
      <c r="M192" s="320">
        <f t="shared" si="108"/>
        <v>51.2</v>
      </c>
      <c r="N192" s="320">
        <f t="shared" si="108"/>
        <v>48.4</v>
      </c>
      <c r="O192" s="357">
        <f t="shared" si="108"/>
        <v>32</v>
      </c>
      <c r="P192" s="320">
        <f t="shared" si="108"/>
        <v>30.8</v>
      </c>
      <c r="Q192" s="330">
        <f t="shared" si="108"/>
        <v>55.2</v>
      </c>
      <c r="S192" s="355">
        <f t="shared" si="103"/>
        <v>22.8</v>
      </c>
      <c r="T192" s="356">
        <f t="shared" si="104"/>
        <v>22.8</v>
      </c>
      <c r="U192" s="323">
        <f t="shared" si="105"/>
        <v>33.6</v>
      </c>
      <c r="V192" s="222"/>
      <c r="W192" s="291">
        <f t="shared" si="106"/>
        <v>48</v>
      </c>
      <c r="X192" s="292">
        <f t="shared" si="106"/>
        <v>51.2</v>
      </c>
      <c r="Y192" s="292">
        <f t="shared" si="106"/>
        <v>51.2</v>
      </c>
      <c r="Z192" s="292">
        <f t="shared" si="106"/>
        <v>47.2</v>
      </c>
      <c r="AA192" s="264"/>
      <c r="AB192" s="264"/>
      <c r="AC192" s="293">
        <f t="shared" si="107"/>
        <v>51.2</v>
      </c>
      <c r="AD192" s="222"/>
      <c r="AE192" s="291">
        <f t="shared" si="109"/>
        <v>66.8</v>
      </c>
      <c r="AF192" s="292">
        <f t="shared" si="109"/>
        <v>64.400000000000006</v>
      </c>
      <c r="AG192" s="292">
        <f t="shared" si="109"/>
        <v>60.8</v>
      </c>
      <c r="AH192" s="292">
        <f t="shared" si="109"/>
        <v>60.4</v>
      </c>
      <c r="AI192" s="292">
        <f t="shared" si="109"/>
        <v>60.8</v>
      </c>
      <c r="AJ192" s="292">
        <f t="shared" si="109"/>
        <v>69.599999999999994</v>
      </c>
      <c r="AK192" s="264"/>
      <c r="AL192" s="264"/>
      <c r="AM192" s="265"/>
      <c r="AN192" s="222"/>
    </row>
    <row r="193" spans="1:40" ht="16.5" customHeight="1" x14ac:dyDescent="0.25">
      <c r="A193" s="257">
        <v>320700</v>
      </c>
      <c r="B193" s="258" t="s">
        <v>113</v>
      </c>
      <c r="C193" s="259" t="s">
        <v>528</v>
      </c>
      <c r="D193" s="458"/>
      <c r="E193" s="288">
        <v>4</v>
      </c>
      <c r="F193" s="262" cm="1">
        <f t="array" ref="F193">SUMPRODUCT((1*($G$9:$AM$9="x")),G193:AM193)</f>
        <v>136.4</v>
      </c>
      <c r="G193" s="315">
        <f t="shared" si="108"/>
        <v>37.200000000000003</v>
      </c>
      <c r="H193" s="320">
        <f t="shared" si="108"/>
        <v>46.8</v>
      </c>
      <c r="I193" s="320">
        <f t="shared" si="108"/>
        <v>43.6</v>
      </c>
      <c r="J193" s="320">
        <f t="shared" si="108"/>
        <v>42.8</v>
      </c>
      <c r="K193" s="316">
        <f t="shared" si="108"/>
        <v>49.2</v>
      </c>
      <c r="L193" s="315">
        <f t="shared" si="108"/>
        <v>96</v>
      </c>
      <c r="M193" s="320">
        <f t="shared" si="108"/>
        <v>51.2</v>
      </c>
      <c r="N193" s="320">
        <f t="shared" si="108"/>
        <v>48.4</v>
      </c>
      <c r="O193" s="357">
        <f t="shared" si="108"/>
        <v>32</v>
      </c>
      <c r="P193" s="320">
        <f t="shared" si="108"/>
        <v>30.8</v>
      </c>
      <c r="Q193" s="330">
        <f t="shared" si="108"/>
        <v>55.2</v>
      </c>
      <c r="S193" s="355">
        <f t="shared" si="103"/>
        <v>22.8</v>
      </c>
      <c r="T193" s="356">
        <f t="shared" si="104"/>
        <v>22.8</v>
      </c>
      <c r="U193" s="323">
        <f t="shared" si="105"/>
        <v>33.6</v>
      </c>
      <c r="V193" s="222"/>
      <c r="W193" s="291">
        <f t="shared" si="106"/>
        <v>48</v>
      </c>
      <c r="X193" s="292">
        <f t="shared" si="106"/>
        <v>51.2</v>
      </c>
      <c r="Y193" s="292">
        <f t="shared" si="106"/>
        <v>51.2</v>
      </c>
      <c r="Z193" s="292">
        <f t="shared" si="106"/>
        <v>47.2</v>
      </c>
      <c r="AA193" s="264"/>
      <c r="AB193" s="264"/>
      <c r="AC193" s="293">
        <f t="shared" si="107"/>
        <v>51.2</v>
      </c>
      <c r="AD193" s="222"/>
      <c r="AE193" s="291">
        <f t="shared" si="109"/>
        <v>66.8</v>
      </c>
      <c r="AF193" s="292">
        <f t="shared" si="109"/>
        <v>64.400000000000006</v>
      </c>
      <c r="AG193" s="292">
        <f t="shared" si="109"/>
        <v>60.8</v>
      </c>
      <c r="AH193" s="292">
        <f t="shared" si="109"/>
        <v>60.4</v>
      </c>
      <c r="AI193" s="292">
        <f t="shared" si="109"/>
        <v>60.8</v>
      </c>
      <c r="AJ193" s="292">
        <f t="shared" si="109"/>
        <v>69.599999999999994</v>
      </c>
      <c r="AK193" s="264"/>
      <c r="AL193" s="264"/>
      <c r="AM193" s="265"/>
      <c r="AN193" s="222"/>
    </row>
    <row r="194" spans="1:40" customFormat="1" ht="16.5" customHeight="1" x14ac:dyDescent="0.25">
      <c r="A194" s="358">
        <v>300140</v>
      </c>
      <c r="B194" s="359" t="s">
        <v>168</v>
      </c>
      <c r="C194" s="360" t="s">
        <v>528</v>
      </c>
      <c r="D194" s="361">
        <f>A194</f>
        <v>300140</v>
      </c>
      <c r="E194" s="362">
        <v>3</v>
      </c>
      <c r="F194" s="262" cm="1">
        <f t="array" ref="F194">SUMPRODUCT((1*($G$9:$AM$9="x")),G194:AM194)</f>
        <v>102.30000000000001</v>
      </c>
      <c r="G194" s="363">
        <f>$E194*G$11</f>
        <v>27.900000000000002</v>
      </c>
      <c r="H194" s="364">
        <f t="shared" si="108"/>
        <v>35.099999999999994</v>
      </c>
      <c r="I194" s="364">
        <f t="shared" si="108"/>
        <v>32.700000000000003</v>
      </c>
      <c r="J194" s="364">
        <f t="shared" si="108"/>
        <v>32.099999999999994</v>
      </c>
      <c r="K194" s="365">
        <f t="shared" si="108"/>
        <v>36.900000000000006</v>
      </c>
      <c r="L194" s="363">
        <f>$E194*L$11</f>
        <v>72</v>
      </c>
      <c r="M194" s="364">
        <f t="shared" si="108"/>
        <v>38.400000000000006</v>
      </c>
      <c r="N194" s="364">
        <f t="shared" si="108"/>
        <v>36.299999999999997</v>
      </c>
      <c r="O194" s="366">
        <f t="shared" si="108"/>
        <v>24</v>
      </c>
      <c r="P194" s="364">
        <f t="shared" si="108"/>
        <v>23.1</v>
      </c>
      <c r="Q194" s="367">
        <f t="shared" si="108"/>
        <v>41.400000000000006</v>
      </c>
      <c r="R194" s="222"/>
      <c r="S194" s="263">
        <f>E194*$S$11</f>
        <v>17.100000000000001</v>
      </c>
      <c r="T194" s="265">
        <f>E194*$T$11</f>
        <v>17.100000000000001</v>
      </c>
      <c r="U194" s="266">
        <f>E194*$U$11</f>
        <v>25.200000000000003</v>
      </c>
      <c r="V194" s="368"/>
      <c r="W194" s="263">
        <f t="shared" ref="W194:Z199" si="110">W$11*$E194</f>
        <v>36</v>
      </c>
      <c r="X194" s="264">
        <f t="shared" si="110"/>
        <v>38.400000000000006</v>
      </c>
      <c r="Y194" s="264">
        <f t="shared" si="110"/>
        <v>38.400000000000006</v>
      </c>
      <c r="Z194" s="264">
        <f t="shared" si="110"/>
        <v>35.400000000000006</v>
      </c>
      <c r="AA194" s="264"/>
      <c r="AB194" s="264"/>
      <c r="AC194" s="265">
        <f>AC$11*$E194</f>
        <v>38.400000000000006</v>
      </c>
      <c r="AD194" s="222"/>
      <c r="AE194" s="263">
        <f t="shared" si="109"/>
        <v>50.099999999999994</v>
      </c>
      <c r="AF194" s="264">
        <f t="shared" si="109"/>
        <v>48.300000000000004</v>
      </c>
      <c r="AG194" s="264">
        <f t="shared" si="109"/>
        <v>45.599999999999994</v>
      </c>
      <c r="AH194" s="264">
        <f t="shared" si="109"/>
        <v>45.3</v>
      </c>
      <c r="AI194" s="264">
        <f t="shared" si="109"/>
        <v>45.599999999999994</v>
      </c>
      <c r="AJ194" s="264">
        <f t="shared" si="109"/>
        <v>52.199999999999996</v>
      </c>
      <c r="AK194" s="369"/>
      <c r="AL194" s="369"/>
      <c r="AM194" s="370"/>
      <c r="AN194" s="368"/>
    </row>
    <row r="195" spans="1:40" ht="28.5" customHeight="1" x14ac:dyDescent="0.25">
      <c r="A195" s="257">
        <v>300170</v>
      </c>
      <c r="B195" s="258" t="s">
        <v>169</v>
      </c>
      <c r="C195" s="259" t="s">
        <v>528</v>
      </c>
      <c r="D195" s="371">
        <f>A195</f>
        <v>300170</v>
      </c>
      <c r="E195" s="288">
        <v>3</v>
      </c>
      <c r="F195" s="262" cm="1">
        <f t="array" ref="F195">SUMPRODUCT((1*($G$9:$AM$9="x")),G195:AM195)</f>
        <v>102.30000000000001</v>
      </c>
      <c r="G195" s="363">
        <f>$E195*G$11</f>
        <v>27.900000000000002</v>
      </c>
      <c r="H195" s="364">
        <f t="shared" si="108"/>
        <v>35.099999999999994</v>
      </c>
      <c r="I195" s="364">
        <f t="shared" si="108"/>
        <v>32.700000000000003</v>
      </c>
      <c r="J195" s="364">
        <f t="shared" si="108"/>
        <v>32.099999999999994</v>
      </c>
      <c r="K195" s="365">
        <f t="shared" si="108"/>
        <v>36.900000000000006</v>
      </c>
      <c r="L195" s="363">
        <f>$E195*L$11</f>
        <v>72</v>
      </c>
      <c r="M195" s="364">
        <f t="shared" si="108"/>
        <v>38.400000000000006</v>
      </c>
      <c r="N195" s="364">
        <f t="shared" si="108"/>
        <v>36.299999999999997</v>
      </c>
      <c r="O195" s="366">
        <f t="shared" si="108"/>
        <v>24</v>
      </c>
      <c r="P195" s="364">
        <f t="shared" si="108"/>
        <v>23.1</v>
      </c>
      <c r="Q195" s="367">
        <f t="shared" si="108"/>
        <v>41.400000000000006</v>
      </c>
      <c r="S195" s="263">
        <f>E195*$S$11</f>
        <v>17.100000000000001</v>
      </c>
      <c r="T195" s="265">
        <f>E195*$T$11</f>
        <v>17.100000000000001</v>
      </c>
      <c r="U195" s="266">
        <f>E195*$U$11</f>
        <v>25.200000000000003</v>
      </c>
      <c r="V195" s="222"/>
      <c r="W195" s="263">
        <f t="shared" si="110"/>
        <v>36</v>
      </c>
      <c r="X195" s="264">
        <f t="shared" si="110"/>
        <v>38.400000000000006</v>
      </c>
      <c r="Y195" s="264">
        <f t="shared" si="110"/>
        <v>38.400000000000006</v>
      </c>
      <c r="Z195" s="264">
        <f t="shared" si="110"/>
        <v>35.400000000000006</v>
      </c>
      <c r="AA195" s="264"/>
      <c r="AB195" s="264"/>
      <c r="AC195" s="265">
        <f>AC$11*$E195</f>
        <v>38.400000000000006</v>
      </c>
      <c r="AD195" s="222"/>
      <c r="AE195" s="263">
        <f t="shared" si="109"/>
        <v>50.099999999999994</v>
      </c>
      <c r="AF195" s="264">
        <f t="shared" si="109"/>
        <v>48.300000000000004</v>
      </c>
      <c r="AG195" s="264">
        <f t="shared" si="109"/>
        <v>45.599999999999994</v>
      </c>
      <c r="AH195" s="264">
        <f t="shared" si="109"/>
        <v>45.3</v>
      </c>
      <c r="AI195" s="264">
        <f t="shared" si="109"/>
        <v>45.599999999999994</v>
      </c>
      <c r="AJ195" s="264">
        <f t="shared" si="109"/>
        <v>52.199999999999996</v>
      </c>
      <c r="AK195" s="264"/>
      <c r="AL195" s="264"/>
      <c r="AM195" s="265"/>
      <c r="AN195" s="222"/>
    </row>
    <row r="196" spans="1:40" ht="16.5" customHeight="1" x14ac:dyDescent="0.25">
      <c r="A196" s="257">
        <v>309100</v>
      </c>
      <c r="B196" s="258" t="s">
        <v>439</v>
      </c>
      <c r="C196" s="259" t="s">
        <v>528</v>
      </c>
      <c r="D196" s="458" t="str">
        <f>D52</f>
        <v>Cavalo mecânico com semirreboque - 22 t</v>
      </c>
      <c r="E196" s="288">
        <v>4</v>
      </c>
      <c r="F196" s="262" cm="1">
        <f t="array" ref="F196">SUMPRODUCT((1*($G$9:$AM$9="x")),G196:AM196)</f>
        <v>136.4</v>
      </c>
      <c r="G196" s="351">
        <f>$E196*G$11</f>
        <v>37.200000000000003</v>
      </c>
      <c r="H196" s="352">
        <f t="shared" si="108"/>
        <v>46.8</v>
      </c>
      <c r="I196" s="352">
        <f t="shared" si="108"/>
        <v>43.6</v>
      </c>
      <c r="J196" s="352">
        <f t="shared" si="108"/>
        <v>42.8</v>
      </c>
      <c r="K196" s="372">
        <f t="shared" si="108"/>
        <v>49.2</v>
      </c>
      <c r="L196" s="373">
        <f>$E196*L$11</f>
        <v>96</v>
      </c>
      <c r="M196" s="374">
        <f t="shared" si="108"/>
        <v>51.2</v>
      </c>
      <c r="N196" s="374">
        <f t="shared" si="108"/>
        <v>48.4</v>
      </c>
      <c r="O196" s="375">
        <f t="shared" si="108"/>
        <v>32</v>
      </c>
      <c r="P196" s="374">
        <f t="shared" si="108"/>
        <v>30.8</v>
      </c>
      <c r="Q196" s="376">
        <f t="shared" si="108"/>
        <v>55.2</v>
      </c>
      <c r="S196" s="377">
        <f>E196*$S$11</f>
        <v>22.8</v>
      </c>
      <c r="T196" s="378">
        <f>E196*$T$11</f>
        <v>22.8</v>
      </c>
      <c r="U196" s="323">
        <f>E196*$U$11</f>
        <v>33.6</v>
      </c>
      <c r="V196" s="222"/>
      <c r="W196" s="291">
        <f t="shared" si="110"/>
        <v>48</v>
      </c>
      <c r="X196" s="292">
        <f t="shared" si="110"/>
        <v>51.2</v>
      </c>
      <c r="Y196" s="292">
        <f t="shared" si="110"/>
        <v>51.2</v>
      </c>
      <c r="Z196" s="292">
        <f t="shared" si="110"/>
        <v>47.2</v>
      </c>
      <c r="AA196" s="264"/>
      <c r="AB196" s="264"/>
      <c r="AC196" s="293">
        <f>AC$11*$E196</f>
        <v>51.2</v>
      </c>
      <c r="AD196" s="222"/>
      <c r="AE196" s="291">
        <f t="shared" si="109"/>
        <v>66.8</v>
      </c>
      <c r="AF196" s="292">
        <f t="shared" si="109"/>
        <v>64.400000000000006</v>
      </c>
      <c r="AG196" s="292">
        <f t="shared" si="109"/>
        <v>60.8</v>
      </c>
      <c r="AH196" s="292">
        <f t="shared" si="109"/>
        <v>60.4</v>
      </c>
      <c r="AI196" s="292">
        <f t="shared" si="109"/>
        <v>60.8</v>
      </c>
      <c r="AJ196" s="292">
        <f t="shared" si="109"/>
        <v>69.599999999999994</v>
      </c>
      <c r="AK196" s="264"/>
      <c r="AL196" s="264"/>
      <c r="AM196" s="265"/>
      <c r="AN196" s="222"/>
    </row>
    <row r="197" spans="1:40" ht="16.5" customHeight="1" x14ac:dyDescent="0.25">
      <c r="A197" s="257">
        <v>309000</v>
      </c>
      <c r="B197" s="258" t="s">
        <v>128</v>
      </c>
      <c r="C197" s="259" t="s">
        <v>528</v>
      </c>
      <c r="D197" s="458"/>
      <c r="E197" s="288">
        <v>4</v>
      </c>
      <c r="F197" s="262" cm="1">
        <f t="array" ref="F197">SUMPRODUCT((1*($G$9:$AM$9="x")),G197:AM197)</f>
        <v>136.4</v>
      </c>
      <c r="G197" s="351">
        <f t="shared" ref="G197:Q199" si="111">$E197*G$11</f>
        <v>37.200000000000003</v>
      </c>
      <c r="H197" s="352">
        <f t="shared" si="108"/>
        <v>46.8</v>
      </c>
      <c r="I197" s="352">
        <f t="shared" si="108"/>
        <v>43.6</v>
      </c>
      <c r="J197" s="352">
        <f t="shared" si="108"/>
        <v>42.8</v>
      </c>
      <c r="K197" s="372">
        <f t="shared" si="108"/>
        <v>49.2</v>
      </c>
      <c r="L197" s="373">
        <f t="shared" si="108"/>
        <v>96</v>
      </c>
      <c r="M197" s="374">
        <f t="shared" si="108"/>
        <v>51.2</v>
      </c>
      <c r="N197" s="374">
        <f t="shared" si="108"/>
        <v>48.4</v>
      </c>
      <c r="O197" s="375">
        <f t="shared" si="108"/>
        <v>32</v>
      </c>
      <c r="P197" s="374">
        <f t="shared" si="108"/>
        <v>30.8</v>
      </c>
      <c r="Q197" s="376">
        <f t="shared" si="108"/>
        <v>55.2</v>
      </c>
      <c r="S197" s="377">
        <f t="shared" ref="S197:S199" si="112">E197*$S$11</f>
        <v>22.8</v>
      </c>
      <c r="T197" s="378">
        <f t="shared" ref="T197:T199" si="113">E197*$T$11</f>
        <v>22.8</v>
      </c>
      <c r="U197" s="323">
        <f t="shared" ref="U197:U199" si="114">E197*$U$11</f>
        <v>33.6</v>
      </c>
      <c r="V197" s="222"/>
      <c r="W197" s="291">
        <f t="shared" si="110"/>
        <v>48</v>
      </c>
      <c r="X197" s="292">
        <f t="shared" si="110"/>
        <v>51.2</v>
      </c>
      <c r="Y197" s="292">
        <f t="shared" si="110"/>
        <v>51.2</v>
      </c>
      <c r="Z197" s="292">
        <f t="shared" si="110"/>
        <v>47.2</v>
      </c>
      <c r="AA197" s="264"/>
      <c r="AB197" s="264"/>
      <c r="AC197" s="293">
        <f t="shared" ref="AC197:AC199" si="115">AC$11*$E197</f>
        <v>51.2</v>
      </c>
      <c r="AD197" s="222"/>
      <c r="AE197" s="291">
        <f t="shared" si="109"/>
        <v>66.8</v>
      </c>
      <c r="AF197" s="292">
        <f t="shared" si="109"/>
        <v>64.400000000000006</v>
      </c>
      <c r="AG197" s="292">
        <f t="shared" si="109"/>
        <v>60.8</v>
      </c>
      <c r="AH197" s="292">
        <f t="shared" si="109"/>
        <v>60.4</v>
      </c>
      <c r="AI197" s="292">
        <f t="shared" si="109"/>
        <v>60.8</v>
      </c>
      <c r="AJ197" s="292">
        <f t="shared" si="109"/>
        <v>69.599999999999994</v>
      </c>
      <c r="AK197" s="264"/>
      <c r="AL197" s="264"/>
      <c r="AM197" s="265"/>
      <c r="AN197" s="222"/>
    </row>
    <row r="198" spans="1:40" ht="16.5" customHeight="1" x14ac:dyDescent="0.25">
      <c r="A198" s="257">
        <v>303500</v>
      </c>
      <c r="B198" s="258" t="s">
        <v>129</v>
      </c>
      <c r="C198" s="259" t="s">
        <v>528</v>
      </c>
      <c r="D198" s="458"/>
      <c r="E198" s="288">
        <v>4</v>
      </c>
      <c r="F198" s="262" cm="1">
        <f t="array" ref="F198">SUMPRODUCT((1*($G$9:$AM$9="x")),G198:AM198)</f>
        <v>136.4</v>
      </c>
      <c r="G198" s="351">
        <f t="shared" si="111"/>
        <v>37.200000000000003</v>
      </c>
      <c r="H198" s="352">
        <f t="shared" si="111"/>
        <v>46.8</v>
      </c>
      <c r="I198" s="352">
        <f t="shared" si="111"/>
        <v>43.6</v>
      </c>
      <c r="J198" s="352">
        <f t="shared" si="111"/>
        <v>42.8</v>
      </c>
      <c r="K198" s="372">
        <f t="shared" si="111"/>
        <v>49.2</v>
      </c>
      <c r="L198" s="373">
        <f t="shared" si="111"/>
        <v>96</v>
      </c>
      <c r="M198" s="374">
        <f t="shared" si="111"/>
        <v>51.2</v>
      </c>
      <c r="N198" s="374">
        <f t="shared" si="111"/>
        <v>48.4</v>
      </c>
      <c r="O198" s="375">
        <f t="shared" si="111"/>
        <v>32</v>
      </c>
      <c r="P198" s="374">
        <f t="shared" si="111"/>
        <v>30.8</v>
      </c>
      <c r="Q198" s="376">
        <f t="shared" si="111"/>
        <v>55.2</v>
      </c>
      <c r="S198" s="377">
        <f t="shared" si="112"/>
        <v>22.8</v>
      </c>
      <c r="T198" s="378">
        <f t="shared" si="113"/>
        <v>22.8</v>
      </c>
      <c r="U198" s="323">
        <f t="shared" si="114"/>
        <v>33.6</v>
      </c>
      <c r="V198" s="222"/>
      <c r="W198" s="291">
        <f t="shared" si="110"/>
        <v>48</v>
      </c>
      <c r="X198" s="292">
        <f t="shared" si="110"/>
        <v>51.2</v>
      </c>
      <c r="Y198" s="292">
        <f t="shared" si="110"/>
        <v>51.2</v>
      </c>
      <c r="Z198" s="292">
        <f t="shared" si="110"/>
        <v>47.2</v>
      </c>
      <c r="AA198" s="264"/>
      <c r="AB198" s="264"/>
      <c r="AC198" s="293">
        <f t="shared" si="115"/>
        <v>51.2</v>
      </c>
      <c r="AD198" s="222"/>
      <c r="AE198" s="291">
        <f t="shared" ref="AE198:AJ199" si="116">AE$11*$E198</f>
        <v>66.8</v>
      </c>
      <c r="AF198" s="292">
        <f t="shared" si="116"/>
        <v>64.400000000000006</v>
      </c>
      <c r="AG198" s="292">
        <f t="shared" si="116"/>
        <v>60.8</v>
      </c>
      <c r="AH198" s="292">
        <f t="shared" si="116"/>
        <v>60.4</v>
      </c>
      <c r="AI198" s="292">
        <f t="shared" si="116"/>
        <v>60.8</v>
      </c>
      <c r="AJ198" s="292">
        <f t="shared" si="116"/>
        <v>69.599999999999994</v>
      </c>
      <c r="AK198" s="264"/>
      <c r="AL198" s="264"/>
      <c r="AM198" s="265"/>
      <c r="AN198" s="222"/>
    </row>
    <row r="199" spans="1:40" ht="16.5" customHeight="1" x14ac:dyDescent="0.25">
      <c r="A199" s="257">
        <v>303600</v>
      </c>
      <c r="B199" s="258" t="s">
        <v>130</v>
      </c>
      <c r="C199" s="259" t="s">
        <v>528</v>
      </c>
      <c r="D199" s="458"/>
      <c r="E199" s="288">
        <v>4</v>
      </c>
      <c r="F199" s="262" cm="1">
        <f t="array" ref="F199">SUMPRODUCT((1*($G$9:$AM$9="x")),G199:AM199)</f>
        <v>136.4</v>
      </c>
      <c r="G199" s="351">
        <f t="shared" si="111"/>
        <v>37.200000000000003</v>
      </c>
      <c r="H199" s="352">
        <f t="shared" si="111"/>
        <v>46.8</v>
      </c>
      <c r="I199" s="352">
        <f t="shared" si="111"/>
        <v>43.6</v>
      </c>
      <c r="J199" s="352">
        <f t="shared" si="111"/>
        <v>42.8</v>
      </c>
      <c r="K199" s="372">
        <f t="shared" si="111"/>
        <v>49.2</v>
      </c>
      <c r="L199" s="373">
        <f t="shared" si="111"/>
        <v>96</v>
      </c>
      <c r="M199" s="374">
        <f t="shared" si="111"/>
        <v>51.2</v>
      </c>
      <c r="N199" s="374">
        <f t="shared" si="111"/>
        <v>48.4</v>
      </c>
      <c r="O199" s="375">
        <f t="shared" si="111"/>
        <v>32</v>
      </c>
      <c r="P199" s="374">
        <f t="shared" si="111"/>
        <v>30.8</v>
      </c>
      <c r="Q199" s="376">
        <f t="shared" si="111"/>
        <v>55.2</v>
      </c>
      <c r="S199" s="377">
        <f t="shared" si="112"/>
        <v>22.8</v>
      </c>
      <c r="T199" s="378">
        <f t="shared" si="113"/>
        <v>22.8</v>
      </c>
      <c r="U199" s="323">
        <f t="shared" si="114"/>
        <v>33.6</v>
      </c>
      <c r="V199" s="222"/>
      <c r="W199" s="291">
        <f t="shared" si="110"/>
        <v>48</v>
      </c>
      <c r="X199" s="292">
        <f t="shared" si="110"/>
        <v>51.2</v>
      </c>
      <c r="Y199" s="292">
        <f t="shared" si="110"/>
        <v>51.2</v>
      </c>
      <c r="Z199" s="292">
        <f t="shared" si="110"/>
        <v>47.2</v>
      </c>
      <c r="AA199" s="264"/>
      <c r="AB199" s="264"/>
      <c r="AC199" s="293">
        <f t="shared" si="115"/>
        <v>51.2</v>
      </c>
      <c r="AD199" s="222"/>
      <c r="AE199" s="291">
        <f t="shared" si="116"/>
        <v>66.8</v>
      </c>
      <c r="AF199" s="292">
        <f t="shared" si="116"/>
        <v>64.400000000000006</v>
      </c>
      <c r="AG199" s="292">
        <f t="shared" si="116"/>
        <v>60.8</v>
      </c>
      <c r="AH199" s="292">
        <f t="shared" si="116"/>
        <v>60.4</v>
      </c>
      <c r="AI199" s="292">
        <f t="shared" si="116"/>
        <v>60.8</v>
      </c>
      <c r="AJ199" s="292">
        <f t="shared" si="116"/>
        <v>69.599999999999994</v>
      </c>
      <c r="AK199" s="264"/>
      <c r="AL199" s="264"/>
      <c r="AM199" s="265"/>
      <c r="AN199" s="222"/>
    </row>
    <row r="200" spans="1:40" ht="16.5" customHeight="1" x14ac:dyDescent="0.25">
      <c r="A200" s="257">
        <v>300090</v>
      </c>
      <c r="B200" s="258" t="s">
        <v>221</v>
      </c>
      <c r="C200" s="259" t="s">
        <v>528</v>
      </c>
      <c r="D200" s="299" t="s">
        <v>529</v>
      </c>
      <c r="E200" s="261"/>
      <c r="F200" s="262" cm="1">
        <f t="array" ref="F200">SUMPRODUCT((1*($G$9:$AM$9="x")),G200:AM200)</f>
        <v>0</v>
      </c>
      <c r="G200" s="263"/>
      <c r="H200" s="264"/>
      <c r="I200" s="264"/>
      <c r="J200" s="264"/>
      <c r="K200" s="265"/>
      <c r="L200" s="263"/>
      <c r="M200" s="264"/>
      <c r="N200" s="264"/>
      <c r="O200" s="285"/>
      <c r="P200" s="264"/>
      <c r="Q200" s="286"/>
      <c r="S200" s="263"/>
      <c r="T200" s="265"/>
      <c r="U200" s="266"/>
      <c r="V200" s="222"/>
      <c r="W200" s="263"/>
      <c r="X200" s="264"/>
      <c r="Y200" s="264"/>
      <c r="Z200" s="264"/>
      <c r="AA200" s="264"/>
      <c r="AB200" s="264"/>
      <c r="AC200" s="265"/>
      <c r="AD200" s="222"/>
      <c r="AE200" s="263"/>
      <c r="AF200" s="264"/>
      <c r="AG200" s="264"/>
      <c r="AH200" s="264"/>
      <c r="AI200" s="264"/>
      <c r="AJ200" s="264"/>
      <c r="AK200" s="264"/>
      <c r="AL200" s="264"/>
      <c r="AM200" s="265"/>
      <c r="AN200" s="222"/>
    </row>
    <row r="201" spans="1:40" ht="16.5" customHeight="1" x14ac:dyDescent="0.25">
      <c r="A201" s="257">
        <v>370000</v>
      </c>
      <c r="B201" s="258" t="s">
        <v>140</v>
      </c>
      <c r="C201" s="259" t="s">
        <v>528</v>
      </c>
      <c r="D201" s="260">
        <f>A201</f>
        <v>370000</v>
      </c>
      <c r="E201" s="261">
        <v>2</v>
      </c>
      <c r="F201" s="262" cm="1">
        <f t="array" ref="F201">SUMPRODUCT((1*($G$9:$AM$9="x")),G201:AM201)</f>
        <v>68.2</v>
      </c>
      <c r="G201" s="363">
        <f>$E201*G$11</f>
        <v>18.600000000000001</v>
      </c>
      <c r="H201" s="364">
        <f t="shared" ref="H201:K203" si="117">$E201*H$11</f>
        <v>23.4</v>
      </c>
      <c r="I201" s="364">
        <f t="shared" si="117"/>
        <v>21.8</v>
      </c>
      <c r="J201" s="364">
        <f t="shared" si="117"/>
        <v>21.4</v>
      </c>
      <c r="K201" s="365">
        <f t="shared" si="117"/>
        <v>24.6</v>
      </c>
      <c r="L201" s="363">
        <f>$E201*L$11</f>
        <v>48</v>
      </c>
      <c r="M201" s="364">
        <f t="shared" ref="M201:Q203" si="118">$E201*M$11</f>
        <v>25.6</v>
      </c>
      <c r="N201" s="364">
        <f t="shared" si="118"/>
        <v>24.2</v>
      </c>
      <c r="O201" s="366">
        <f t="shared" si="118"/>
        <v>16</v>
      </c>
      <c r="P201" s="364">
        <f t="shared" si="118"/>
        <v>15.4</v>
      </c>
      <c r="Q201" s="367">
        <f t="shared" si="118"/>
        <v>27.6</v>
      </c>
      <c r="S201" s="263">
        <f>E201*$S$11</f>
        <v>11.4</v>
      </c>
      <c r="T201" s="265">
        <f>E201*$T$11</f>
        <v>11.4</v>
      </c>
      <c r="U201" s="266">
        <f>E201*$U$11</f>
        <v>16.8</v>
      </c>
      <c r="V201" s="222"/>
      <c r="W201" s="263">
        <f t="shared" ref="W201:Z203" si="119">W$11*$E201</f>
        <v>24</v>
      </c>
      <c r="X201" s="264">
        <f t="shared" si="119"/>
        <v>25.6</v>
      </c>
      <c r="Y201" s="264">
        <f t="shared" si="119"/>
        <v>25.6</v>
      </c>
      <c r="Z201" s="264">
        <f t="shared" si="119"/>
        <v>23.6</v>
      </c>
      <c r="AA201" s="264"/>
      <c r="AB201" s="264"/>
      <c r="AC201" s="265">
        <f>AC$11*$E201</f>
        <v>25.6</v>
      </c>
      <c r="AD201" s="222"/>
      <c r="AE201" s="263">
        <f t="shared" ref="AE201:AJ203" si="120">AE$11*$E201</f>
        <v>33.4</v>
      </c>
      <c r="AF201" s="264">
        <f t="shared" si="120"/>
        <v>32.200000000000003</v>
      </c>
      <c r="AG201" s="264">
        <f t="shared" si="120"/>
        <v>30.4</v>
      </c>
      <c r="AH201" s="264">
        <f t="shared" si="120"/>
        <v>30.2</v>
      </c>
      <c r="AI201" s="264">
        <f t="shared" si="120"/>
        <v>30.4</v>
      </c>
      <c r="AJ201" s="264">
        <f t="shared" si="120"/>
        <v>34.799999999999997</v>
      </c>
      <c r="AK201" s="264"/>
      <c r="AL201" s="264"/>
      <c r="AM201" s="265"/>
      <c r="AN201" s="222"/>
    </row>
    <row r="202" spans="1:40" ht="16.5" customHeight="1" x14ac:dyDescent="0.25">
      <c r="A202" s="257">
        <v>370110</v>
      </c>
      <c r="B202" s="258" t="s">
        <v>440</v>
      </c>
      <c r="C202" s="259" t="s">
        <v>528</v>
      </c>
      <c r="D202" s="260">
        <f>A202</f>
        <v>370110</v>
      </c>
      <c r="E202" s="261">
        <v>1</v>
      </c>
      <c r="F202" s="262" cm="1">
        <f t="array" ref="F202">SUMPRODUCT((1*($G$9:$AM$9="x")),G202:AM202)</f>
        <v>34.1</v>
      </c>
      <c r="G202" s="363">
        <f>$E202*G$11</f>
        <v>9.3000000000000007</v>
      </c>
      <c r="H202" s="364">
        <f t="shared" si="117"/>
        <v>11.7</v>
      </c>
      <c r="I202" s="364">
        <f t="shared" si="117"/>
        <v>10.9</v>
      </c>
      <c r="J202" s="364">
        <f t="shared" si="117"/>
        <v>10.7</v>
      </c>
      <c r="K202" s="365">
        <f t="shared" si="117"/>
        <v>12.3</v>
      </c>
      <c r="L202" s="363">
        <f>$E202*L$11</f>
        <v>24</v>
      </c>
      <c r="M202" s="364">
        <f t="shared" si="118"/>
        <v>12.8</v>
      </c>
      <c r="N202" s="364">
        <f t="shared" si="118"/>
        <v>12.1</v>
      </c>
      <c r="O202" s="366">
        <f t="shared" si="118"/>
        <v>8</v>
      </c>
      <c r="P202" s="364">
        <f t="shared" si="118"/>
        <v>7.7</v>
      </c>
      <c r="Q202" s="367">
        <f t="shared" si="118"/>
        <v>13.8</v>
      </c>
      <c r="S202" s="263">
        <f>E202*$S$11</f>
        <v>5.7</v>
      </c>
      <c r="T202" s="265">
        <f>E202*$T$11</f>
        <v>5.7</v>
      </c>
      <c r="U202" s="266">
        <f>E202*$U$11</f>
        <v>8.4</v>
      </c>
      <c r="V202" s="222"/>
      <c r="W202" s="263">
        <f t="shared" si="119"/>
        <v>12</v>
      </c>
      <c r="X202" s="264">
        <f t="shared" si="119"/>
        <v>12.8</v>
      </c>
      <c r="Y202" s="264">
        <f t="shared" si="119"/>
        <v>12.8</v>
      </c>
      <c r="Z202" s="264">
        <f t="shared" si="119"/>
        <v>11.8</v>
      </c>
      <c r="AA202" s="264"/>
      <c r="AB202" s="264"/>
      <c r="AC202" s="265">
        <f>AC$11*$E202</f>
        <v>12.8</v>
      </c>
      <c r="AD202" s="222"/>
      <c r="AE202" s="263">
        <f t="shared" si="120"/>
        <v>16.7</v>
      </c>
      <c r="AF202" s="264">
        <f t="shared" si="120"/>
        <v>16.100000000000001</v>
      </c>
      <c r="AG202" s="264">
        <f t="shared" si="120"/>
        <v>15.2</v>
      </c>
      <c r="AH202" s="264">
        <f t="shared" si="120"/>
        <v>15.1</v>
      </c>
      <c r="AI202" s="264">
        <f t="shared" si="120"/>
        <v>15.2</v>
      </c>
      <c r="AJ202" s="264">
        <f t="shared" si="120"/>
        <v>17.399999999999999</v>
      </c>
      <c r="AK202" s="264"/>
      <c r="AL202" s="264"/>
      <c r="AM202" s="265"/>
      <c r="AN202" s="222"/>
    </row>
    <row r="203" spans="1:40" ht="16.5" customHeight="1" x14ac:dyDescent="0.25">
      <c r="A203" s="257">
        <v>370160</v>
      </c>
      <c r="B203" s="258" t="s">
        <v>441</v>
      </c>
      <c r="C203" s="259" t="s">
        <v>528</v>
      </c>
      <c r="D203" s="260">
        <f>A203</f>
        <v>370160</v>
      </c>
      <c r="E203" s="261">
        <v>1</v>
      </c>
      <c r="F203" s="262" cm="1">
        <f t="array" ref="F203">SUMPRODUCT((1*($G$9:$AM$9="x")),G203:AM203)</f>
        <v>34.1</v>
      </c>
      <c r="G203" s="363">
        <f>$E203*G$11</f>
        <v>9.3000000000000007</v>
      </c>
      <c r="H203" s="364">
        <f t="shared" si="117"/>
        <v>11.7</v>
      </c>
      <c r="I203" s="364">
        <f t="shared" si="117"/>
        <v>10.9</v>
      </c>
      <c r="J203" s="364">
        <f t="shared" si="117"/>
        <v>10.7</v>
      </c>
      <c r="K203" s="365">
        <f t="shared" si="117"/>
        <v>12.3</v>
      </c>
      <c r="L203" s="363">
        <f>$E203*L$11</f>
        <v>24</v>
      </c>
      <c r="M203" s="364">
        <f t="shared" si="118"/>
        <v>12.8</v>
      </c>
      <c r="N203" s="364">
        <f t="shared" si="118"/>
        <v>12.1</v>
      </c>
      <c r="O203" s="366">
        <f t="shared" si="118"/>
        <v>8</v>
      </c>
      <c r="P203" s="364">
        <f t="shared" si="118"/>
        <v>7.7</v>
      </c>
      <c r="Q203" s="367">
        <f t="shared" si="118"/>
        <v>13.8</v>
      </c>
      <c r="S203" s="263">
        <f>E203*$S$11</f>
        <v>5.7</v>
      </c>
      <c r="T203" s="265">
        <f>E203*$T$11</f>
        <v>5.7</v>
      </c>
      <c r="U203" s="266">
        <f>E203*$U$11</f>
        <v>8.4</v>
      </c>
      <c r="V203" s="222"/>
      <c r="W203" s="263">
        <f t="shared" si="119"/>
        <v>12</v>
      </c>
      <c r="X203" s="264">
        <f t="shared" si="119"/>
        <v>12.8</v>
      </c>
      <c r="Y203" s="264">
        <f t="shared" si="119"/>
        <v>12.8</v>
      </c>
      <c r="Z203" s="264">
        <f t="shared" si="119"/>
        <v>11.8</v>
      </c>
      <c r="AA203" s="264"/>
      <c r="AB203" s="264"/>
      <c r="AC203" s="265">
        <f>AC$11*$E203</f>
        <v>12.8</v>
      </c>
      <c r="AD203" s="222"/>
      <c r="AE203" s="263">
        <f t="shared" si="120"/>
        <v>16.7</v>
      </c>
      <c r="AF203" s="264">
        <f t="shared" si="120"/>
        <v>16.100000000000001</v>
      </c>
      <c r="AG203" s="264">
        <f t="shared" si="120"/>
        <v>15.2</v>
      </c>
      <c r="AH203" s="264">
        <f t="shared" si="120"/>
        <v>15.1</v>
      </c>
      <c r="AI203" s="264">
        <f t="shared" si="120"/>
        <v>15.2</v>
      </c>
      <c r="AJ203" s="264">
        <f t="shared" si="120"/>
        <v>17.399999999999999</v>
      </c>
      <c r="AK203" s="264"/>
      <c r="AL203" s="264"/>
      <c r="AM203" s="265"/>
      <c r="AN203" s="222"/>
    </row>
    <row r="204" spans="1:40" ht="16.5" customHeight="1" x14ac:dyDescent="0.25">
      <c r="A204" s="257">
        <v>341450</v>
      </c>
      <c r="B204" s="258" t="s">
        <v>222</v>
      </c>
      <c r="C204" s="259" t="s">
        <v>528</v>
      </c>
      <c r="D204" s="299" t="s">
        <v>529</v>
      </c>
      <c r="E204" s="261"/>
      <c r="F204" s="262" cm="1">
        <f t="array" ref="F204">SUMPRODUCT((1*($G$9:$AM$9="x")),G204:AM204)</f>
        <v>0</v>
      </c>
      <c r="G204" s="263"/>
      <c r="H204" s="264"/>
      <c r="I204" s="264"/>
      <c r="J204" s="264"/>
      <c r="K204" s="265"/>
      <c r="L204" s="263"/>
      <c r="M204" s="264"/>
      <c r="N204" s="264"/>
      <c r="O204" s="285"/>
      <c r="P204" s="264"/>
      <c r="Q204" s="286"/>
      <c r="S204" s="263"/>
      <c r="T204" s="265"/>
      <c r="U204" s="266"/>
      <c r="V204" s="222"/>
      <c r="W204" s="263"/>
      <c r="X204" s="264"/>
      <c r="Y204" s="264"/>
      <c r="Z204" s="264"/>
      <c r="AA204" s="264"/>
      <c r="AB204" s="264"/>
      <c r="AC204" s="265"/>
      <c r="AD204" s="222"/>
      <c r="AE204" s="263"/>
      <c r="AF204" s="264"/>
      <c r="AG204" s="264"/>
      <c r="AH204" s="264"/>
      <c r="AI204" s="264"/>
      <c r="AJ204" s="264"/>
      <c r="AK204" s="264"/>
      <c r="AL204" s="264"/>
      <c r="AM204" s="265"/>
      <c r="AN204" s="222"/>
    </row>
    <row r="205" spans="1:40" ht="16.5" customHeight="1" x14ac:dyDescent="0.25">
      <c r="A205" s="257">
        <v>370450</v>
      </c>
      <c r="B205" s="258" t="s">
        <v>223</v>
      </c>
      <c r="C205" s="259" t="s">
        <v>528</v>
      </c>
      <c r="D205" s="299" t="s">
        <v>529</v>
      </c>
      <c r="E205" s="261"/>
      <c r="F205" s="262" cm="1">
        <f t="array" ref="F205">SUMPRODUCT((1*($G$9:$AM$9="x")),G205:AM205)</f>
        <v>0</v>
      </c>
      <c r="G205" s="263"/>
      <c r="H205" s="264"/>
      <c r="I205" s="264"/>
      <c r="J205" s="264"/>
      <c r="K205" s="265"/>
      <c r="L205" s="263"/>
      <c r="M205" s="264"/>
      <c r="N205" s="264"/>
      <c r="O205" s="285"/>
      <c r="P205" s="264"/>
      <c r="Q205" s="286"/>
      <c r="S205" s="263"/>
      <c r="T205" s="265"/>
      <c r="U205" s="266"/>
      <c r="V205" s="222"/>
      <c r="W205" s="263"/>
      <c r="X205" s="264"/>
      <c r="Y205" s="264"/>
      <c r="Z205" s="264"/>
      <c r="AA205" s="264"/>
      <c r="AB205" s="264"/>
      <c r="AC205" s="265"/>
      <c r="AD205" s="222"/>
      <c r="AE205" s="263"/>
      <c r="AF205" s="264"/>
      <c r="AG205" s="264"/>
      <c r="AH205" s="264"/>
      <c r="AI205" s="264"/>
      <c r="AJ205" s="264"/>
      <c r="AK205" s="264"/>
      <c r="AL205" s="264"/>
      <c r="AM205" s="265"/>
      <c r="AN205" s="222"/>
    </row>
    <row r="206" spans="1:40" ht="63.75" customHeight="1" x14ac:dyDescent="0.25">
      <c r="A206" s="379">
        <v>340410</v>
      </c>
      <c r="B206" s="380" t="s">
        <v>131</v>
      </c>
      <c r="C206" s="381" t="s">
        <v>528</v>
      </c>
      <c r="D206" s="382" t="str">
        <f>D52</f>
        <v>Cavalo mecânico com semirreboque - 22 t</v>
      </c>
      <c r="E206" s="383">
        <v>4</v>
      </c>
      <c r="F206" s="384" cm="1">
        <f t="array" ref="F206">SUMPRODUCT((1*($G$9:$AM$9="x")),G206:AM206)</f>
        <v>136.4</v>
      </c>
      <c r="G206" s="385">
        <f t="shared" ref="G206:Q206" si="121">$E206*G$11</f>
        <v>37.200000000000003</v>
      </c>
      <c r="H206" s="386">
        <f t="shared" si="121"/>
        <v>46.8</v>
      </c>
      <c r="I206" s="386">
        <f t="shared" si="121"/>
        <v>43.6</v>
      </c>
      <c r="J206" s="386">
        <f t="shared" si="121"/>
        <v>42.8</v>
      </c>
      <c r="K206" s="387">
        <f t="shared" si="121"/>
        <v>49.2</v>
      </c>
      <c r="L206" s="388">
        <f t="shared" si="121"/>
        <v>96</v>
      </c>
      <c r="M206" s="389">
        <f t="shared" si="121"/>
        <v>51.2</v>
      </c>
      <c r="N206" s="389">
        <f t="shared" si="121"/>
        <v>48.4</v>
      </c>
      <c r="O206" s="390">
        <f t="shared" si="121"/>
        <v>32</v>
      </c>
      <c r="P206" s="389">
        <f t="shared" si="121"/>
        <v>30.8</v>
      </c>
      <c r="Q206" s="391">
        <f t="shared" si="121"/>
        <v>55.2</v>
      </c>
      <c r="S206" s="385">
        <f>E206*$S$11</f>
        <v>22.8</v>
      </c>
      <c r="T206" s="387">
        <f>E206*$T$11</f>
        <v>22.8</v>
      </c>
      <c r="U206" s="392">
        <f>E206*$U$11</f>
        <v>33.6</v>
      </c>
      <c r="V206" s="222"/>
      <c r="W206" s="385">
        <f>W$11*$E206</f>
        <v>48</v>
      </c>
      <c r="X206" s="386">
        <f>X$11*$E206</f>
        <v>51.2</v>
      </c>
      <c r="Y206" s="386">
        <f>Y$11*$E206</f>
        <v>51.2</v>
      </c>
      <c r="Z206" s="386">
        <f>Z$11*$E206</f>
        <v>47.2</v>
      </c>
      <c r="AA206" s="386"/>
      <c r="AB206" s="386"/>
      <c r="AC206" s="387">
        <f>AC$11*$E206</f>
        <v>51.2</v>
      </c>
      <c r="AD206" s="222"/>
      <c r="AE206" s="385">
        <f t="shared" ref="AE206:AJ206" si="122">AE$11*$E206</f>
        <v>66.8</v>
      </c>
      <c r="AF206" s="386">
        <f t="shared" si="122"/>
        <v>64.400000000000006</v>
      </c>
      <c r="AG206" s="386">
        <f t="shared" si="122"/>
        <v>60.8</v>
      </c>
      <c r="AH206" s="386">
        <f t="shared" si="122"/>
        <v>60.4</v>
      </c>
      <c r="AI206" s="386">
        <f t="shared" si="122"/>
        <v>60.8</v>
      </c>
      <c r="AJ206" s="386">
        <f t="shared" si="122"/>
        <v>69.599999999999994</v>
      </c>
      <c r="AK206" s="386"/>
      <c r="AL206" s="386"/>
      <c r="AM206" s="387"/>
      <c r="AN206" s="222"/>
    </row>
    <row r="207" spans="1:40" ht="6" customHeight="1" x14ac:dyDescent="0.25">
      <c r="A207" s="393"/>
      <c r="B207" s="393"/>
      <c r="C207" s="393"/>
    </row>
    <row r="208" spans="1:40" ht="13.35" customHeight="1" x14ac:dyDescent="0.25">
      <c r="A208" s="394" t="s">
        <v>549</v>
      </c>
      <c r="B208" s="394"/>
      <c r="C208" s="394"/>
    </row>
  </sheetData>
  <mergeCells count="19">
    <mergeCell ref="D93:D95"/>
    <mergeCell ref="G6:AM6"/>
    <mergeCell ref="G7:K7"/>
    <mergeCell ref="L7:Q7"/>
    <mergeCell ref="S7:T7"/>
    <mergeCell ref="W7:AC7"/>
    <mergeCell ref="AE7:AM7"/>
    <mergeCell ref="A9:F9"/>
    <mergeCell ref="D52:D58"/>
    <mergeCell ref="D61:D62"/>
    <mergeCell ref="D76:D87"/>
    <mergeCell ref="D90:D91"/>
    <mergeCell ref="D196:D199"/>
    <mergeCell ref="D112:D124"/>
    <mergeCell ref="D127:D129"/>
    <mergeCell ref="D134:D138"/>
    <mergeCell ref="D140:D142"/>
    <mergeCell ref="D144:D157"/>
    <mergeCell ref="D166:D193"/>
  </mergeCells>
  <pageMargins left="0.511811024" right="0.511811024" top="0.78740157499999996" bottom="0.78740157499999996" header="0.31496062000000002" footer="0.3149606200000000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CEA7D0-92B6-4FBE-8701-33C8F58A6039}">
  <dimension ref="A1:C19"/>
  <sheetViews>
    <sheetView workbookViewId="0">
      <selection activeCell="G26" sqref="G26"/>
    </sheetView>
  </sheetViews>
  <sheetFormatPr defaultRowHeight="15" x14ac:dyDescent="0.25"/>
  <cols>
    <col min="1" max="1" width="9.140625" style="1"/>
    <col min="2" max="2" width="39.7109375" style="395" customWidth="1"/>
    <col min="3" max="3" width="15.28515625" style="1" customWidth="1"/>
  </cols>
  <sheetData>
    <row r="1" spans="1:3" x14ac:dyDescent="0.25">
      <c r="A1" s="217" t="s">
        <v>30</v>
      </c>
      <c r="B1" s="218" t="s">
        <v>550</v>
      </c>
      <c r="C1" s="217" t="s">
        <v>483</v>
      </c>
    </row>
    <row r="2" spans="1:3" ht="15" customHeight="1" x14ac:dyDescent="0.25">
      <c r="A2" s="481">
        <v>200230</v>
      </c>
      <c r="B2" s="482" t="s">
        <v>256</v>
      </c>
      <c r="C2" s="484">
        <v>1815.5373</v>
      </c>
    </row>
    <row r="3" spans="1:3" ht="15" customHeight="1" x14ac:dyDescent="0.25">
      <c r="A3" s="481">
        <v>200240</v>
      </c>
      <c r="B3" s="482" t="s">
        <v>260</v>
      </c>
      <c r="C3" s="484">
        <v>1472.008</v>
      </c>
    </row>
    <row r="4" spans="1:3" ht="15" customHeight="1" x14ac:dyDescent="0.25">
      <c r="A4" s="481">
        <v>200000</v>
      </c>
      <c r="B4" s="482" t="s">
        <v>264</v>
      </c>
      <c r="C4" s="483">
        <v>110.324</v>
      </c>
    </row>
    <row r="5" spans="1:3" ht="15" customHeight="1" x14ac:dyDescent="0.25">
      <c r="A5" s="481">
        <v>200070</v>
      </c>
      <c r="B5" s="482" t="s">
        <v>265</v>
      </c>
      <c r="C5" s="485">
        <v>83.746700000000004</v>
      </c>
    </row>
    <row r="6" spans="1:3" ht="15" customHeight="1" x14ac:dyDescent="0.25">
      <c r="A6" s="481">
        <v>200170</v>
      </c>
      <c r="B6" s="482" t="s">
        <v>271</v>
      </c>
      <c r="C6" s="483">
        <v>138.78749999999999</v>
      </c>
    </row>
    <row r="7" spans="1:3" ht="15" customHeight="1" x14ac:dyDescent="0.25">
      <c r="A7" s="481">
        <v>200180</v>
      </c>
      <c r="B7" s="482" t="s">
        <v>273</v>
      </c>
      <c r="C7" s="485">
        <v>42.581200000000003</v>
      </c>
    </row>
    <row r="8" spans="1:3" ht="15" customHeight="1" x14ac:dyDescent="0.25">
      <c r="A8" s="481">
        <v>210020</v>
      </c>
      <c r="B8" s="482" t="s">
        <v>274</v>
      </c>
      <c r="C8" s="484">
        <v>4018.5154000000002</v>
      </c>
    </row>
    <row r="9" spans="1:3" ht="15" customHeight="1" x14ac:dyDescent="0.25">
      <c r="A9" s="481">
        <v>200120</v>
      </c>
      <c r="B9" s="482" t="s">
        <v>275</v>
      </c>
      <c r="C9" s="484">
        <v>1627.1084000000001</v>
      </c>
    </row>
    <row r="10" spans="1:3" ht="15" customHeight="1" x14ac:dyDescent="0.25">
      <c r="A10" s="481">
        <v>210050</v>
      </c>
      <c r="B10" s="482" t="s">
        <v>276</v>
      </c>
      <c r="C10" s="484">
        <v>1291.0994000000001</v>
      </c>
    </row>
    <row r="11" spans="1:3" ht="15" customHeight="1" x14ac:dyDescent="0.25">
      <c r="A11" s="481">
        <v>200160</v>
      </c>
      <c r="B11" s="482" t="s">
        <v>277</v>
      </c>
      <c r="C11" s="483">
        <v>651.52560000000005</v>
      </c>
    </row>
    <row r="12" spans="1:3" ht="15" customHeight="1" x14ac:dyDescent="0.25">
      <c r="A12" s="481">
        <v>200260</v>
      </c>
      <c r="B12" s="482" t="s">
        <v>278</v>
      </c>
      <c r="C12" s="484">
        <v>2856.0837999999999</v>
      </c>
    </row>
    <row r="13" spans="1:3" ht="15" customHeight="1" x14ac:dyDescent="0.25">
      <c r="A13" s="481">
        <v>200270</v>
      </c>
      <c r="B13" s="482" t="s">
        <v>279</v>
      </c>
      <c r="C13" s="486">
        <v>2.4047000000000001</v>
      </c>
    </row>
    <row r="14" spans="1:3" ht="15" customHeight="1" x14ac:dyDescent="0.25">
      <c r="A14" s="481">
        <v>210090</v>
      </c>
      <c r="B14" s="482" t="s">
        <v>281</v>
      </c>
      <c r="C14" s="486">
        <v>6</v>
      </c>
    </row>
    <row r="15" spans="1:3" x14ac:dyDescent="0.25">
      <c r="A15" s="481">
        <v>200130</v>
      </c>
      <c r="B15" s="482" t="s">
        <v>282</v>
      </c>
      <c r="C15" s="487">
        <v>30297.7441</v>
      </c>
    </row>
    <row r="16" spans="1:3" x14ac:dyDescent="0.25">
      <c r="A16" s="481">
        <v>210060</v>
      </c>
      <c r="B16" s="482" t="s">
        <v>396</v>
      </c>
      <c r="C16" s="484">
        <v>2012.8244</v>
      </c>
    </row>
    <row r="17" spans="1:3" x14ac:dyDescent="0.25">
      <c r="A17" s="481">
        <v>200250</v>
      </c>
      <c r="B17" s="482" t="s">
        <v>395</v>
      </c>
      <c r="C17" s="485">
        <v>57.088200000000001</v>
      </c>
    </row>
    <row r="18" spans="1:3" x14ac:dyDescent="0.25">
      <c r="A18" s="481">
        <v>210080</v>
      </c>
      <c r="B18" s="482" t="s">
        <v>284</v>
      </c>
      <c r="C18" s="486">
        <v>3.9527000000000001</v>
      </c>
    </row>
    <row r="19" spans="1:3" x14ac:dyDescent="0.25">
      <c r="A19" s="398"/>
      <c r="B19" s="399"/>
      <c r="C19" s="402"/>
    </row>
  </sheetData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10</vt:i4>
      </vt:variant>
      <vt:variant>
        <vt:lpstr>Intervalos Nomeados</vt:lpstr>
      </vt:variant>
      <vt:variant>
        <vt:i4>4</vt:i4>
      </vt:variant>
    </vt:vector>
  </HeadingPairs>
  <TitlesOfParts>
    <vt:vector size="14" baseType="lpstr">
      <vt:lpstr>DMT</vt:lpstr>
      <vt:lpstr>DER-PR_FU</vt:lpstr>
      <vt:lpstr>Transporte - FU</vt:lpstr>
      <vt:lpstr>CHP</vt:lpstr>
      <vt:lpstr>MD_EQ</vt:lpstr>
      <vt:lpstr>MO</vt:lpstr>
      <vt:lpstr>MD_MO</vt:lpstr>
      <vt:lpstr>hora.Equip.obra</vt:lpstr>
      <vt:lpstr>Pedagios</vt:lpstr>
      <vt:lpstr>hora.mo.obra</vt:lpstr>
      <vt:lpstr>MD_EQ!Area_de_impressao</vt:lpstr>
      <vt:lpstr>MD_MO!Area_de_impressao</vt:lpstr>
      <vt:lpstr>MD_EQ!Titulos_de_impressao</vt:lpstr>
      <vt:lpstr>MD_MO!Titulos_de_impressao</vt:lpstr>
    </vt:vector>
  </TitlesOfParts>
  <Company>DERPR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Dagoberto Ribeiro da Silva Junior</dc:creator>
  <cp:lastModifiedBy>danielew</cp:lastModifiedBy>
  <cp:lastPrinted>2026-03-18T14:34:01Z</cp:lastPrinted>
  <dcterms:created xsi:type="dcterms:W3CDTF">2021-05-20T12:53:18Z</dcterms:created>
  <dcterms:modified xsi:type="dcterms:W3CDTF">2026-05-22T16:41:51Z</dcterms:modified>
</cp:coreProperties>
</file>