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Transportes\"/>
    </mc:Choice>
  </mc:AlternateContent>
  <bookViews>
    <workbookView xWindow="0" yWindow="0" windowWidth="24000" windowHeight="8835" tabRatio="500"/>
  </bookViews>
  <sheets>
    <sheet name="TOTAL DO CONTRATO" sheetId="1" r:id="rId1"/>
    <sheet name="MOTORISTA" sheetId="2" r:id="rId2"/>
    <sheet name="Monitor" sheetId="3" r:id="rId3"/>
    <sheet name="CUSTO MANUT. VEICULO" sheetId="4" r:id="rId4"/>
    <sheet name="Uniformes" sheetId="5" r:id="rId5"/>
    <sheet name="CTG" sheetId="7" r:id="rId6"/>
    <sheet name="Memória" sheetId="8" r:id="rId7"/>
  </sheets>
  <externalReferences>
    <externalReference r:id="rId8"/>
    <externalReference r:id="rId9"/>
  </externalReferences>
  <definedNames>
    <definedName name="_xlnm.Print_Area" localSheetId="5">CTG!$B$2:$D$15</definedName>
    <definedName name="_xlnm.Print_Area" localSheetId="3">'CUSTO MANUT. VEICULO'!$A$1:$G$36</definedName>
    <definedName name="_xlnm.Print_Area" localSheetId="1">MOTORISTA!$A$1:$C$118</definedName>
    <definedName name="_xlnm.Print_Area" localSheetId="4">Uniformes!$B$1:$H$11</definedName>
    <definedName name="Equip.comuns.armados">[1]Equipamentos!$N$27</definedName>
    <definedName name="Equip.comuns.todos">[1]Equipamentos!$N$15</definedName>
    <definedName name="mat.usocomum">'[2]Mat Uso Comum '!$G$10</definedName>
    <definedName name="UNIF.agenteseg">[1]Uniformes!#REF!</definedName>
    <definedName name="UNIF.armado">[1]Uniformes!$H$14</definedName>
    <definedName name="UNIF.bomb.brigadista">[1]Uniformes!#REF!</definedName>
    <definedName name="UNIF.desarmado">[1]Uniformes!$H$26</definedName>
    <definedName name="UNIF.supervisor">[1]Uniformes!#REF!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6" i="4" l="1"/>
  <c r="D12" i="4"/>
  <c r="D18" i="4" l="1"/>
  <c r="B4" i="4"/>
  <c r="D14" i="4"/>
  <c r="D13" i="4"/>
  <c r="C9" i="7" l="1"/>
  <c r="C7" i="7"/>
  <c r="G8" i="5"/>
  <c r="G7" i="5"/>
  <c r="G6" i="5"/>
  <c r="G5" i="5"/>
  <c r="E32" i="4"/>
  <c r="E30" i="4"/>
  <c r="D21" i="4"/>
  <c r="D20" i="4"/>
  <c r="D19" i="4"/>
  <c r="D15" i="4"/>
  <c r="F12" i="4"/>
  <c r="F11" i="4"/>
  <c r="F10" i="4"/>
  <c r="G6" i="4"/>
  <c r="B101" i="3"/>
  <c r="B76" i="3"/>
  <c r="B75" i="3"/>
  <c r="B74" i="3"/>
  <c r="B73" i="3"/>
  <c r="B68" i="3"/>
  <c r="B66" i="3"/>
  <c r="B67" i="3" s="1"/>
  <c r="B65" i="3"/>
  <c r="B64" i="3"/>
  <c r="B69" i="3" s="1"/>
  <c r="B63" i="3"/>
  <c r="C52" i="3"/>
  <c r="B51" i="3"/>
  <c r="C51" i="3" s="1"/>
  <c r="C48" i="3"/>
  <c r="C47" i="3"/>
  <c r="C46" i="3"/>
  <c r="B43" i="3"/>
  <c r="B29" i="3"/>
  <c r="B30" i="3" s="1"/>
  <c r="B32" i="3" s="1"/>
  <c r="C22" i="3"/>
  <c r="C40" i="3" s="1"/>
  <c r="B101" i="2"/>
  <c r="B76" i="2"/>
  <c r="B75" i="2"/>
  <c r="B74" i="2"/>
  <c r="B73" i="2"/>
  <c r="B68" i="2"/>
  <c r="B66" i="2"/>
  <c r="B67" i="2" s="1"/>
  <c r="B65" i="2"/>
  <c r="B64" i="2"/>
  <c r="B63" i="2"/>
  <c r="C52" i="2"/>
  <c r="B51" i="2"/>
  <c r="C51" i="2" s="1"/>
  <c r="C48" i="2"/>
  <c r="C47" i="2"/>
  <c r="C46" i="2"/>
  <c r="B43" i="2"/>
  <c r="B29" i="2"/>
  <c r="B30" i="2" s="1"/>
  <c r="C22" i="2"/>
  <c r="C36" i="2" s="1"/>
  <c r="F16" i="1"/>
  <c r="F14" i="1"/>
  <c r="E14" i="1"/>
  <c r="E16" i="1" s="1"/>
  <c r="C6" i="4" s="1"/>
  <c r="C7" i="4" s="1"/>
  <c r="F13" i="1"/>
  <c r="E13" i="1"/>
  <c r="C53" i="3" l="1"/>
  <c r="C58" i="3" s="1"/>
  <c r="C37" i="3"/>
  <c r="C37" i="2"/>
  <c r="G9" i="5"/>
  <c r="G10" i="5" s="1"/>
  <c r="C82" i="3" s="1"/>
  <c r="C84" i="3" s="1"/>
  <c r="C53" i="2"/>
  <c r="C58" i="2" s="1"/>
  <c r="C28" i="2"/>
  <c r="C64" i="2"/>
  <c r="C108" i="2"/>
  <c r="C38" i="2"/>
  <c r="C26" i="2"/>
  <c r="C39" i="2"/>
  <c r="C68" i="2"/>
  <c r="C27" i="2"/>
  <c r="C42" i="2"/>
  <c r="C35" i="2"/>
  <c r="C76" i="2"/>
  <c r="C65" i="2"/>
  <c r="C41" i="3"/>
  <c r="C26" i="3"/>
  <c r="C42" i="3"/>
  <c r="C27" i="3"/>
  <c r="C63" i="3"/>
  <c r="C76" i="3"/>
  <c r="C28" i="3"/>
  <c r="C65" i="3"/>
  <c r="C35" i="3"/>
  <c r="C67" i="3"/>
  <c r="C36" i="3"/>
  <c r="C68" i="3"/>
  <c r="G10" i="4"/>
  <c r="C67" i="2"/>
  <c r="G12" i="4"/>
  <c r="B69" i="2"/>
  <c r="B32" i="2"/>
  <c r="C30" i="2"/>
  <c r="E22" i="4"/>
  <c r="F22" i="4" s="1"/>
  <c r="G22" i="4" s="1"/>
  <c r="E24" i="4"/>
  <c r="F24" i="4" s="1"/>
  <c r="G24" i="4" s="1"/>
  <c r="E15" i="4"/>
  <c r="F15" i="4" s="1"/>
  <c r="G15" i="4" s="1"/>
  <c r="E13" i="4"/>
  <c r="F13" i="4" s="1"/>
  <c r="E21" i="4"/>
  <c r="F21" i="4" s="1"/>
  <c r="G21" i="4" s="1"/>
  <c r="E19" i="4"/>
  <c r="F19" i="4" s="1"/>
  <c r="G19" i="4" s="1"/>
  <c r="E17" i="4"/>
  <c r="F17" i="4" s="1"/>
  <c r="G17" i="4" s="1"/>
  <c r="E23" i="4"/>
  <c r="F23" i="4" s="1"/>
  <c r="G23" i="4" s="1"/>
  <c r="E16" i="4"/>
  <c r="F16" i="4" s="1"/>
  <c r="G16" i="4" s="1"/>
  <c r="E14" i="4"/>
  <c r="F14" i="4" s="1"/>
  <c r="G14" i="4" s="1"/>
  <c r="E20" i="4"/>
  <c r="F20" i="4" s="1"/>
  <c r="G20" i="4" s="1"/>
  <c r="E18" i="4"/>
  <c r="F18" i="4" s="1"/>
  <c r="G18" i="4" s="1"/>
  <c r="G11" i="4"/>
  <c r="C64" i="3"/>
  <c r="C12" i="7"/>
  <c r="C14" i="7" s="1"/>
  <c r="C66" i="2"/>
  <c r="C77" i="2"/>
  <c r="C38" i="3"/>
  <c r="C108" i="3"/>
  <c r="D12" i="7"/>
  <c r="D14" i="7" s="1"/>
  <c r="C31" i="2"/>
  <c r="C40" i="2"/>
  <c r="C30" i="3"/>
  <c r="C39" i="3"/>
  <c r="C66" i="3"/>
  <c r="C77" i="3"/>
  <c r="C41" i="2"/>
  <c r="C63" i="2"/>
  <c r="C31" i="3"/>
  <c r="C82" i="2" l="1"/>
  <c r="C84" i="2" s="1"/>
  <c r="C43" i="2"/>
  <c r="C29" i="2"/>
  <c r="C32" i="2" s="1"/>
  <c r="C56" i="2" s="1"/>
  <c r="C43" i="3"/>
  <c r="C57" i="3" s="1"/>
  <c r="C69" i="3"/>
  <c r="C110" i="3" s="1"/>
  <c r="C29" i="3"/>
  <c r="C32" i="3" s="1"/>
  <c r="C56" i="3" s="1"/>
  <c r="G13" i="4"/>
  <c r="G26" i="4" s="1"/>
  <c r="G32" i="4" s="1"/>
  <c r="F26" i="4"/>
  <c r="C57" i="2"/>
  <c r="C69" i="2"/>
  <c r="C110" i="2" s="1"/>
  <c r="C112" i="2"/>
  <c r="C112" i="3"/>
  <c r="C71" i="3" l="1"/>
  <c r="C73" i="3" s="1"/>
  <c r="C59" i="3"/>
  <c r="C109" i="3" s="1"/>
  <c r="C59" i="2"/>
  <c r="C109" i="2" s="1"/>
  <c r="C71" i="2"/>
  <c r="G34" i="4"/>
  <c r="F32" i="4"/>
  <c r="F34" i="4" s="1"/>
  <c r="D14" i="1" s="1"/>
  <c r="G14" i="1" s="1"/>
  <c r="C75" i="3"/>
  <c r="C74" i="3" l="1"/>
  <c r="C78" i="3"/>
  <c r="C74" i="2"/>
  <c r="C75" i="2"/>
  <c r="C73" i="2"/>
  <c r="C78" i="2" s="1"/>
  <c r="C111" i="2" l="1"/>
  <c r="C113" i="2" s="1"/>
  <c r="C88" i="2"/>
  <c r="C111" i="3"/>
  <c r="C113" i="3" s="1"/>
  <c r="C88" i="3"/>
  <c r="C90" i="3" l="1"/>
  <c r="C90" i="2"/>
  <c r="C91" i="2" l="1"/>
  <c r="C93" i="2" s="1"/>
  <c r="C95" i="2" s="1"/>
  <c r="C91" i="3"/>
  <c r="C93" i="3" s="1"/>
  <c r="C95" i="3" s="1"/>
  <c r="C98" i="3" l="1"/>
  <c r="C100" i="3"/>
  <c r="C99" i="3"/>
  <c r="C99" i="2"/>
  <c r="C98" i="2"/>
  <c r="C100" i="2"/>
  <c r="C101" i="2" l="1"/>
  <c r="C103" i="2" s="1"/>
  <c r="C114" i="2" s="1"/>
  <c r="C115" i="2" s="1"/>
  <c r="C117" i="2" s="1"/>
  <c r="C101" i="3"/>
  <c r="C103" i="3" s="1"/>
  <c r="C114" i="3" s="1"/>
  <c r="C115" i="3" s="1"/>
  <c r="C117" i="3" s="1"/>
  <c r="C119" i="3" l="1"/>
  <c r="C118" i="3"/>
  <c r="D13" i="1" s="1"/>
  <c r="G13" i="1" s="1"/>
  <c r="C119" i="2"/>
  <c r="C118" i="2"/>
  <c r="D12" i="1" s="1"/>
  <c r="D16" i="1" l="1"/>
  <c r="G12" i="1"/>
  <c r="G16" i="1" s="1"/>
  <c r="G18" i="1" s="1"/>
</calcChain>
</file>

<file path=xl/comments1.xml><?xml version="1.0" encoding="utf-8"?>
<comments xmlns="http://schemas.openxmlformats.org/spreadsheetml/2006/main">
  <authors>
    <author>Márcio Rodrigo Oliveira Filho</author>
  </authors>
  <commentList>
    <comment ref="C20" authorId="0" shapeId="0">
      <text>
        <r>
          <rPr>
            <b/>
            <sz val="9"/>
            <color indexed="81"/>
            <rFont val="Segoe UI"/>
            <charset val="1"/>
          </rPr>
          <t>Rodrigo Filho:</t>
        </r>
        <r>
          <rPr>
            <sz val="9"/>
            <color indexed="81"/>
            <rFont val="Segoe UI"/>
            <charset val="1"/>
          </rPr>
          <t xml:space="preserve">
Proporcional a 40 horas semanais
prevendo o aumento de maio de 2024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0" authorId="0" shapeId="0">
      <text>
        <r>
          <rPr>
            <sz val="10"/>
            <rFont val="Arial"/>
            <charset val="1"/>
          </rPr>
          <t xml:space="preserve">Rodrigo Filho:
</t>
        </r>
        <r>
          <rPr>
            <sz val="9"/>
            <color rgb="FF000000"/>
            <rFont val="Segoe UI"/>
            <charset val="1"/>
          </rPr>
          <t>Proporcional a 20 horas semanais
prevendo o aumento de maio de 2024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B13" authorId="0" shapeId="0">
      <text>
        <r>
          <rPr>
            <sz val="10"/>
            <rFont val="Arial"/>
            <charset val="1"/>
          </rPr>
          <t xml:space="preserve">Valor veiculo(FIPE) X 10% (Coeficiente) / 12 meses.
</t>
        </r>
      </text>
    </comment>
    <comment ref="B14" authorId="0" shapeId="0">
      <text>
        <r>
          <rPr>
            <sz val="10"/>
            <rFont val="Arial"/>
            <charset val="1"/>
          </rPr>
          <t>Valor Veiculo (FIPE) - Valor residual (Tabela) X % depreciação / 12 meses</t>
        </r>
      </text>
    </comment>
    <comment ref="B16" authorId="0" shapeId="0">
      <text>
        <r>
          <rPr>
            <sz val="10"/>
            <rFont val="Arial"/>
            <charset val="1"/>
          </rPr>
          <t>Valor por veiculo (Sindicato) X nº veiculo / 12 meses</t>
        </r>
      </text>
    </comment>
    <comment ref="B18" authorId="0" shapeId="0">
      <text>
        <r>
          <rPr>
            <sz val="10"/>
            <rFont val="Arial"/>
            <charset val="1"/>
          </rPr>
          <t>Valor veiculo (FIPE) X 1% / 12 meses</t>
        </r>
      </text>
    </comment>
  </commentList>
</comments>
</file>

<file path=xl/sharedStrings.xml><?xml version="1.0" encoding="utf-8"?>
<sst xmlns="http://schemas.openxmlformats.org/spreadsheetml/2006/main" count="308" uniqueCount="186">
  <si>
    <t>QUADRO-RESUMO</t>
  </si>
  <si>
    <t>CONTRATO DE PRESTAÇÃO DE SERVIÇO</t>
  </si>
  <si>
    <t>TRANSPORTE ESCOLAR</t>
  </si>
  <si>
    <t>Secretaria Municipal de Educação e Cultura</t>
  </si>
  <si>
    <t>SÃO MATEUS DO SUL - PR</t>
  </si>
  <si>
    <t>Tipo de Serviço</t>
  </si>
  <si>
    <t>Valor/KM</t>
  </si>
  <si>
    <t>KM/Dia</t>
  </si>
  <si>
    <t xml:space="preserve">Dias Letivos </t>
  </si>
  <si>
    <t>Total do serviço</t>
  </si>
  <si>
    <t>I</t>
  </si>
  <si>
    <t>MOTORISTA</t>
  </si>
  <si>
    <t>II</t>
  </si>
  <si>
    <t>A. Motorista - MONITOR</t>
  </si>
  <si>
    <t>III</t>
  </si>
  <si>
    <t>MANUTENÇÃO DO VEICULO</t>
  </si>
  <si>
    <t>VALOR ESTIMADO</t>
  </si>
  <si>
    <t>VALOR MENSAL A FATURAR ESTIMADO</t>
  </si>
  <si>
    <t>PLANILHA DE CUSTOS E FORMAÇÃO DE PREÇOS</t>
  </si>
  <si>
    <t>Nº Processo:</t>
  </si>
  <si>
    <t>SALÁRIOS E ENCARGOS</t>
  </si>
  <si>
    <t>CALCULO DE CUSTO DO KM RODADO - TRANSPORTE</t>
  </si>
  <si>
    <t>Discriminação dos Serviços</t>
  </si>
  <si>
    <t>A - Data da apresentação da proposta (dia/mês/ano)</t>
  </si>
  <si>
    <t>B - Município/UF</t>
  </si>
  <si>
    <t>São Mateus do Sul - PR</t>
  </si>
  <si>
    <t>C - Ano do Acordo, Convenção ou Dissídio Coletivo</t>
  </si>
  <si>
    <t>D - Tipo de Serviço</t>
  </si>
  <si>
    <t>Van</t>
  </si>
  <si>
    <t>E - Número de dias de execução contratual</t>
  </si>
  <si>
    <r>
      <rPr>
        <b/>
        <i/>
        <sz val="12"/>
        <color rgb="FF000000"/>
        <rFont val="Arial"/>
        <family val="2"/>
        <charset val="1"/>
      </rPr>
      <t xml:space="preserve">IMPORTANTE: Para efeito de elaboração da planilha de custos os dados abaixo deverão ser informados/cotados os </t>
    </r>
    <r>
      <rPr>
        <b/>
        <i/>
        <u/>
        <sz val="12"/>
        <color rgb="FF000000"/>
        <rFont val="Arial"/>
        <family val="2"/>
        <charset val="1"/>
      </rPr>
      <t>valores unitários por empregado</t>
    </r>
    <r>
      <rPr>
        <b/>
        <i/>
        <sz val="12"/>
        <color rgb="FF000000"/>
        <rFont val="Arial"/>
        <family val="2"/>
        <charset val="1"/>
      </rPr>
      <t xml:space="preserve"> (não para o posto!!!)</t>
    </r>
  </si>
  <si>
    <t>MÓDULO 1: COMPOSIÇÃO DA REMUNERAÇÃO</t>
  </si>
  <si>
    <t>1 - COMPOSIÇÃO DA REMUNERAÇÃO</t>
  </si>
  <si>
    <t>B - Adicional noturno</t>
  </si>
  <si>
    <t xml:space="preserve">TOTAL DA REMUNERAÇÃO :    </t>
  </si>
  <si>
    <t>MÓDULO 2: Encargos e Benefícios Anuais, Mensais e Diários</t>
  </si>
  <si>
    <t>2.1 - Contingenciamento - Resolução 169/2013 CNJ</t>
  </si>
  <si>
    <t>A - 13º salário</t>
  </si>
  <si>
    <t>B- Férias</t>
  </si>
  <si>
    <t>C - Adicional de férias</t>
  </si>
  <si>
    <t>Subtotal</t>
  </si>
  <si>
    <t>D - Incidência do módulo 4 sobre 13º Salário e Férias</t>
  </si>
  <si>
    <t>E - Multa do FGTS por dispensa sem justa causa</t>
  </si>
  <si>
    <t>TOTAL</t>
  </si>
  <si>
    <t>2.2 - Encargos Previdenciários (GPS), Fundo de Garantia por Tempo de Serviço (FGTS) e outras contribuições.</t>
  </si>
  <si>
    <t>%</t>
  </si>
  <si>
    <t>Valor (R$)</t>
  </si>
  <si>
    <t>A - INSS</t>
  </si>
  <si>
    <t>B - Salário Educação</t>
  </si>
  <si>
    <t>C - RAT Ajustado</t>
  </si>
  <si>
    <t>D - SESC ou SESI</t>
  </si>
  <si>
    <t>E - SENAI - SENAC</t>
  </si>
  <si>
    <t>F -  SEBRAE</t>
  </si>
  <si>
    <t>G - INCRA</t>
  </si>
  <si>
    <t>H - FGTS</t>
  </si>
  <si>
    <t xml:space="preserve">TOTAL </t>
  </si>
  <si>
    <t>2.3 - Benefícios Mensais e Diários</t>
  </si>
  <si>
    <t>A - Transporte</t>
  </si>
  <si>
    <t>B - Auxílio-Refeição/Alimentação</t>
  </si>
  <si>
    <t xml:space="preserve">     B1 - Auxílio Alimentação - Férias</t>
  </si>
  <si>
    <t>C - Assistência médica e familiar</t>
  </si>
  <si>
    <t>D - Auxilio Creche</t>
  </si>
  <si>
    <t>E - Fundo Assistencial, C. Assistencial (2%) - Sindicato</t>
  </si>
  <si>
    <t>E - Outros: Auxilio Funeral (3 Salários Minimos)</t>
  </si>
  <si>
    <t>Quadro-Resumo do Módulo 2</t>
  </si>
  <si>
    <t>2.2 - GPS, FGTS e outras contribuições</t>
  </si>
  <si>
    <t>MÓDULO 3: Provisão para Rescisão</t>
  </si>
  <si>
    <t>3 - Provisão para rescisão</t>
  </si>
  <si>
    <t>A - Aviso prévio indenizado</t>
  </si>
  <si>
    <t>B - Incidência do FGTS sobre o aviso prévio indenizado</t>
  </si>
  <si>
    <t>C - Multa do FGTS do aviso prévio indenizado</t>
  </si>
  <si>
    <t>D - Aviso prévio trabalhado</t>
  </si>
  <si>
    <t>E - Incidência do submódulo 2.2 sobre aviso prévio trabalhado</t>
  </si>
  <si>
    <t>F - Multa do FGTS sobre o aviso prévio trabalhado</t>
  </si>
  <si>
    <t>MÓDULO 4: Custo de Reposição do Profissional Ausente</t>
  </si>
  <si>
    <t>4 - Custo de Reposição do Profissional Ausente</t>
  </si>
  <si>
    <t>A - Substituto na cobertura de Ausências Legais</t>
  </si>
  <si>
    <t>B - Substituto na cobertura de Licença-Paternidade</t>
  </si>
  <si>
    <t xml:space="preserve">C -Substituto na cobertura de Ausência por acidente de trabalho </t>
  </si>
  <si>
    <t>D - Substituto na cobertura de Afastamento Maternidade</t>
  </si>
  <si>
    <t>E - Substituto na cobertura de Outras ausências (especificar)</t>
  </si>
  <si>
    <t>MÓDULO 5: Insumos Diversos</t>
  </si>
  <si>
    <t>5 - INSUMOS DIVERSOS</t>
  </si>
  <si>
    <t>A - Uniformes</t>
  </si>
  <si>
    <t>C - Outros (especificar)</t>
  </si>
  <si>
    <t>MÓDULO 6: Custos Indiretos, Tributos, Lucros e BDI</t>
  </si>
  <si>
    <t>6 - Custos indiretos, tributos e lucro</t>
  </si>
  <si>
    <t>BASE DE CÁLCULO DOS CUSTOS INDIRETOS/DESPESAS OPERACIONAIS/ADMINISTRATIVAS  (Módulo 1 + Módulo 2+ Módulo 3 + Módulo 4 + Módulo 5)</t>
  </si>
  <si>
    <r>
      <rPr>
        <b/>
        <sz val="10"/>
        <rFont val="Arial"/>
        <family val="2"/>
        <charset val="1"/>
      </rPr>
      <t>A - Custos indiretos</t>
    </r>
    <r>
      <rPr>
        <sz val="10"/>
        <rFont val="Arial"/>
        <family val="2"/>
        <charset val="1"/>
      </rPr>
      <t xml:space="preserve"> </t>
    </r>
  </si>
  <si>
    <t xml:space="preserve">BASE DE CÁLCULO DO LUCRO = ((Módulo 1 + Módulo 2+ Módulo 3 + Módulo 4 + Módulo 5 + Custos Indiretos) </t>
  </si>
  <si>
    <t>B - Lucro</t>
  </si>
  <si>
    <t>C - Tributos</t>
  </si>
  <si>
    <t>BASE DE CÁLCULO DOS TRIBUTOS</t>
  </si>
  <si>
    <t xml:space="preserve">CÁLCULO DOS TRIBUTOS = Base de Cálculo dos Tributos / (1-(Total de Tributos em % dividido por 100)] x Alíquota do tributo </t>
  </si>
  <si>
    <t xml:space="preserve">   C1. Tributos Federais</t>
  </si>
  <si>
    <t xml:space="preserve">        COFINS</t>
  </si>
  <si>
    <t xml:space="preserve">        PIS</t>
  </si>
  <si>
    <r>
      <rPr>
        <sz val="10"/>
        <color rgb="FF000000"/>
        <rFont val="Arial"/>
        <family val="2"/>
        <charset val="1"/>
      </rPr>
      <t xml:space="preserve">   C2. Tributos Municipais  - </t>
    </r>
    <r>
      <rPr>
        <b/>
        <sz val="10"/>
        <color rgb="FF000000"/>
        <rFont val="Arial"/>
        <family val="2"/>
        <charset val="1"/>
      </rPr>
      <t>ISS</t>
    </r>
  </si>
  <si>
    <t xml:space="preserve">   SUBTOTAL Tributos</t>
  </si>
  <si>
    <t>QUADRO-RESUMO DO CUSTO POR EMPREGADO</t>
  </si>
  <si>
    <t>Mão-de-obra vinculada à execução contratual (Valor por empregado)</t>
  </si>
  <si>
    <t>(R$)</t>
  </si>
  <si>
    <t>A - Módulo 1 - Composição da Remuneração</t>
  </si>
  <si>
    <t>B - Módulo 2 - Encargos e Benefícios Anuais, Mensais e Diários</t>
  </si>
  <si>
    <t>C - Módulo 3 - Provisão para Rescisão</t>
  </si>
  <si>
    <t>D - Módulo 4 - Custo de Reposição do Profissional Ausente</t>
  </si>
  <si>
    <t>E - Módulo 5 - Insumos Diversos</t>
  </si>
  <si>
    <t>Subtotal (A+B+C+D+E)</t>
  </si>
  <si>
    <t>F - Módulo 6 - Custos indiretos, tributos e lucro</t>
  </si>
  <si>
    <t>VALOR TOTAL POR EMPREGADO</t>
  </si>
  <si>
    <t>Motorista</t>
  </si>
  <si>
    <t>ADEQUAÇÃO KM RODADO</t>
  </si>
  <si>
    <t>R$/KM</t>
  </si>
  <si>
    <t xml:space="preserve">Nº Processo: </t>
  </si>
  <si>
    <t>PREGÃO N° ____________</t>
  </si>
  <si>
    <t>Assistente Transporte - MONITOR</t>
  </si>
  <si>
    <t>B - Adicional Noturno</t>
  </si>
  <si>
    <t xml:space="preserve">  B1 - Auxílio Alimentação - Férias</t>
  </si>
  <si>
    <t>MÓDULO 6: Custos Indiretos, Tributos e Lucros - BDI</t>
  </si>
  <si>
    <t>A - Custos indiretos</t>
  </si>
  <si>
    <t>Qtde. de Monitor</t>
  </si>
  <si>
    <t>CUSTO DE MANUTENÇÃO DE VEICULOS</t>
  </si>
  <si>
    <t xml:space="preserve">KM/DIA </t>
  </si>
  <si>
    <t>KM TOTAL CONTRATO:</t>
  </si>
  <si>
    <t>KM/Mês</t>
  </si>
  <si>
    <t>VAN</t>
  </si>
  <si>
    <t>DESCRIÇÃO</t>
  </si>
  <si>
    <t>UNIT</t>
  </si>
  <si>
    <t>MÉDIA KM</t>
  </si>
  <si>
    <t>CUSTO/KM</t>
  </si>
  <si>
    <t>CUSTO DIA R$</t>
  </si>
  <si>
    <t>Óleo diesel</t>
  </si>
  <si>
    <t>Óleo lubrificante</t>
  </si>
  <si>
    <t>Pneus de rodagem</t>
  </si>
  <si>
    <t>Manutenção do veículo</t>
  </si>
  <si>
    <t>Depreciação do veículo</t>
  </si>
  <si>
    <t>Limpeza e higienização</t>
  </si>
  <si>
    <t>Contribuição assistência patronal</t>
  </si>
  <si>
    <t>Garagem</t>
  </si>
  <si>
    <t>IPVA</t>
  </si>
  <si>
    <t>Seguro Civil</t>
  </si>
  <si>
    <t>Laudos Detran/Inmetro</t>
  </si>
  <si>
    <t>DPVAT</t>
  </si>
  <si>
    <t>Sistema monitoramento - GPS</t>
  </si>
  <si>
    <t>Taxa de vistoria GRD Transporte Escolar</t>
  </si>
  <si>
    <t>Emplacamento</t>
  </si>
  <si>
    <t>CUSTO ESTIMADO VEÍCULO</t>
  </si>
  <si>
    <t>Lucro/Custos Indiretos - BDI</t>
  </si>
  <si>
    <t>ISS</t>
  </si>
  <si>
    <t>TRIBUTOS (PIS/COFINS)</t>
  </si>
  <si>
    <t>CUSTO ESTIMADO (Lucro + Impostos)</t>
  </si>
  <si>
    <t>VALOR TOTAL ESTIMADO VEICULO</t>
  </si>
  <si>
    <t>*Lucro e Despesas Indiretas = ((1 + Despesas Indiretas) x (1 + Lucro) / (1 - PIS - COFINS)) -1</t>
  </si>
  <si>
    <t>UNIFORMES</t>
  </si>
  <si>
    <t>Item</t>
  </si>
  <si>
    <t>Especificação</t>
  </si>
  <si>
    <t>Unidade</t>
  </si>
  <si>
    <t>Quantidade ANUAL por empregado</t>
  </si>
  <si>
    <t>Preço unt</t>
  </si>
  <si>
    <t>Total Geral</t>
  </si>
  <si>
    <t>Camisa,  manga curta, na cor utizada pela empresa</t>
  </si>
  <si>
    <t>Camisa, manga longa, na cor utilizada pela empresa.</t>
  </si>
  <si>
    <t>Calçado de segurança preto, em couro, com solado baixo</t>
  </si>
  <si>
    <t>Par</t>
  </si>
  <si>
    <t>Jaqueta corta vento na cor utilizada pela empresa</t>
  </si>
  <si>
    <t>TOTAL ANUAL POR EMPREGADO</t>
  </si>
  <si>
    <t>RATEIO MENSAL CUSTO UNIFORME</t>
  </si>
  <si>
    <t>PLANILHA DE CONTINGENCIAMENTO DOS ENCARGOS TRABALHISTAS*</t>
  </si>
  <si>
    <t>* Conforme Resolução nº 169/2013 do Conselho Nacional de Justiça - CNJ</t>
  </si>
  <si>
    <t>ENCARGO</t>
  </si>
  <si>
    <t>PERCENTUAL</t>
  </si>
  <si>
    <t xml:space="preserve">Férias </t>
  </si>
  <si>
    <t>1/3 Constitucional</t>
  </si>
  <si>
    <t>13º Salário</t>
  </si>
  <si>
    <t xml:space="preserve">Mínimo </t>
  </si>
  <si>
    <t>Máximo</t>
  </si>
  <si>
    <t>Encargos Previdenciários/FGTS</t>
  </si>
  <si>
    <t>Incidência dos encargos previdenciários e FGTS sobre férias, 1/3 constitucional e 13º salário*</t>
  </si>
  <si>
    <t>Multa do FGTS por dispensa sem justa causa</t>
  </si>
  <si>
    <t>Total de encargos a contingenciar</t>
  </si>
  <si>
    <t>* Variação percentual possível em função do RAT ajustado (RATxFAP)</t>
  </si>
  <si>
    <t>FETROPAR/Sinfretiba - 23/25</t>
  </si>
  <si>
    <t>DATA DA CONCLUSÃO DA FORMAÇÃO DE PREÇO</t>
  </si>
  <si>
    <t xml:space="preserve"> 23/04/2024</t>
  </si>
  <si>
    <t>A - Salário base - ( a partir de 01/05/24)</t>
  </si>
  <si>
    <t>Lote 5: Faxinal dos Ilhéus, Espigãozinho, Água Branca...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</si>
</sst>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R$ &quot;* #,##0.00_);_(&quot;R$ &quot;* \(#,##0.00\);_(&quot;R$ &quot;* \-??_);_(@_)"/>
    <numFmt numFmtId="165" formatCode="_(* #,##0.00_);_(* \(#,##0.00\);_(* \-??_);_(@_)"/>
    <numFmt numFmtId="166" formatCode="_-* #,##0.00_-;\-* #,##0.00_-;_-* \-??_-;_-@_-"/>
    <numFmt numFmtId="167" formatCode="d/mmm"/>
    <numFmt numFmtId="168" formatCode="&quot;R$ &quot;#,##0.00;[Red]&quot;-R$ &quot;#,##0.00"/>
    <numFmt numFmtId="169" formatCode="_-[$R$-416]\ * #,##0.00_-;\-[$R$-416]\ * #,##0.00_-;_-[$R$-416]\ * \-??_-;_-@_-"/>
    <numFmt numFmtId="170" formatCode="_-[$R$-416]* #,##0.00_-;\-[$R$-416]* #,##0.00_-;_-[$R$-416]* \-??_-;_-@_-"/>
    <numFmt numFmtId="171" formatCode="d/m/yyyy"/>
    <numFmt numFmtId="172" formatCode="0.0000%"/>
  </numFmts>
  <fonts count="63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b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b/>
      <sz val="18"/>
      <color rgb="FF003366"/>
      <name val="Cambria"/>
      <family val="2"/>
      <charset val="1"/>
    </font>
    <font>
      <b/>
      <sz val="14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1"/>
      <color rgb="FF4F81BD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70C0"/>
      <name val="Arial"/>
      <family val="2"/>
      <charset val="1"/>
    </font>
    <font>
      <b/>
      <sz val="11"/>
      <color rgb="FF558ED5"/>
      <name val="Arial"/>
      <family val="2"/>
      <charset val="1"/>
    </font>
    <font>
      <b/>
      <sz val="10"/>
      <color rgb="FF558ED5"/>
      <name val="Arial"/>
      <family val="2"/>
      <charset val="1"/>
    </font>
    <font>
      <sz val="12"/>
      <name val="Arial"/>
      <family val="2"/>
      <charset val="1"/>
    </font>
    <font>
      <sz val="8"/>
      <name val="Arial"/>
      <family val="2"/>
      <charset val="1"/>
    </font>
    <font>
      <b/>
      <sz val="12"/>
      <color rgb="FF0000FF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6"/>
      <color rgb="FFFF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i/>
      <sz val="10"/>
      <color rgb="FF000000"/>
      <name val="Arial"/>
      <family val="2"/>
      <charset val="1"/>
    </font>
    <font>
      <i/>
      <sz val="10"/>
      <color rgb="FF000000"/>
      <name val="Arial"/>
      <family val="2"/>
      <charset val="1"/>
    </font>
    <font>
      <b/>
      <i/>
      <sz val="10"/>
      <color rgb="FFFF0000"/>
      <name val="Arial"/>
      <family val="2"/>
      <charset val="1"/>
    </font>
    <font>
      <b/>
      <i/>
      <sz val="12"/>
      <color rgb="FF000000"/>
      <name val="Arial"/>
      <family val="2"/>
      <charset val="1"/>
    </font>
    <font>
      <b/>
      <i/>
      <u/>
      <sz val="12"/>
      <color rgb="FF000000"/>
      <name val="Arial"/>
      <family val="2"/>
      <charset val="1"/>
    </font>
    <font>
      <b/>
      <sz val="10"/>
      <name val="Arial Narrow"/>
      <family val="2"/>
      <charset val="1"/>
    </font>
    <font>
      <b/>
      <sz val="12"/>
      <color rgb="FF000000"/>
      <name val="Arial"/>
      <family val="2"/>
      <charset val="1"/>
    </font>
    <font>
      <b/>
      <sz val="10"/>
      <color rgb="FF800000"/>
      <name val="Arial"/>
      <family val="2"/>
      <charset val="1"/>
    </font>
    <font>
      <b/>
      <sz val="10"/>
      <color rgb="FF000080"/>
      <name val="Arial"/>
      <family val="2"/>
      <charset val="1"/>
    </font>
    <font>
      <b/>
      <sz val="8"/>
      <name val="Arial"/>
      <family val="2"/>
      <charset val="1"/>
    </font>
    <font>
      <u/>
      <sz val="10"/>
      <name val="Arial"/>
      <family val="2"/>
      <charset val="1"/>
    </font>
    <font>
      <b/>
      <i/>
      <sz val="10"/>
      <color rgb="FF00008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FFFFFF"/>
      <name val="Arial"/>
      <family val="2"/>
      <charset val="1"/>
    </font>
    <font>
      <b/>
      <i/>
      <sz val="10"/>
      <name val="Arial"/>
      <family val="2"/>
      <charset val="1"/>
    </font>
    <font>
      <sz val="9"/>
      <color rgb="FF000000"/>
      <name val="Segoe UI"/>
      <charset val="1"/>
    </font>
    <font>
      <b/>
      <sz val="12"/>
      <color rgb="FFFF0000"/>
      <name val="Arial"/>
      <family val="2"/>
      <charset val="1"/>
    </font>
    <font>
      <b/>
      <sz val="12"/>
      <color rgb="FF558ED5"/>
      <name val="Arial"/>
      <family val="2"/>
      <charset val="1"/>
    </font>
    <font>
      <b/>
      <sz val="12"/>
      <color rgb="FF0070C0"/>
      <name val="Arial"/>
      <family val="2"/>
      <charset val="1"/>
    </font>
    <font>
      <sz val="12"/>
      <color rgb="FF000000"/>
      <name val="Arial"/>
      <family val="2"/>
      <charset val="1"/>
    </font>
    <font>
      <b/>
      <sz val="12"/>
      <color rgb="FF4F81BD"/>
      <name val="Arial"/>
      <family val="2"/>
      <charset val="1"/>
    </font>
    <font>
      <b/>
      <sz val="10"/>
      <color rgb="FFFFFFFF"/>
      <name val="Arial"/>
      <family val="2"/>
      <charset val="1"/>
    </font>
    <font>
      <b/>
      <sz val="10"/>
      <color rgb="FFFF0000"/>
      <name val="Arial"/>
      <family val="2"/>
      <charset val="1"/>
    </font>
    <font>
      <sz val="10"/>
      <name val="Arial"/>
      <charset val="1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2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CCCFF"/>
        <bgColor rgb="FFC6D9F1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DDD9C3"/>
      </patternFill>
    </fill>
    <fill>
      <patternFill patternType="solid">
        <fgColor rgb="FF99CCFF"/>
        <bgColor rgb="FFB9CDE5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9900"/>
      </patternFill>
    </fill>
    <fill>
      <patternFill patternType="solid">
        <fgColor rgb="FF0066CC"/>
        <bgColor rgb="FF0070C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558ED5"/>
      </patternFill>
    </fill>
    <fill>
      <patternFill patternType="solid">
        <fgColor rgb="FFFF9900"/>
        <bgColor rgb="FFFFCC00"/>
      </patternFill>
    </fill>
    <fill>
      <patternFill patternType="solid">
        <fgColor rgb="FFC0C0C0"/>
        <bgColor rgb="FFBFBFB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D9D9D9"/>
        <bgColor rgb="FFDDD9C3"/>
      </patternFill>
    </fill>
    <fill>
      <patternFill patternType="solid">
        <fgColor rgb="FFC6D9F1"/>
        <bgColor rgb="FFCCCCFF"/>
      </patternFill>
    </fill>
    <fill>
      <patternFill patternType="solid">
        <fgColor rgb="FFDCE6F2"/>
        <bgColor rgb="FFD9D9D9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8EB4E3"/>
        <bgColor rgb="FF99CCFF"/>
      </patternFill>
    </fill>
    <fill>
      <patternFill patternType="solid">
        <fgColor rgb="FFBFBFBF"/>
        <bgColor rgb="FFC0C0C0"/>
      </patternFill>
    </fill>
    <fill>
      <patternFill patternType="solid">
        <fgColor rgb="FFB9CDE5"/>
        <bgColor rgb="FFC6D9F1"/>
      </patternFill>
    </fill>
    <fill>
      <patternFill patternType="solid">
        <fgColor rgb="FFCCCCCC"/>
        <bgColor rgb="FFC0C0C0"/>
      </patternFill>
    </fill>
    <fill>
      <patternFill patternType="solid">
        <fgColor rgb="FFDDD9C3"/>
        <bgColor rgb="FFD9D9D9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70">
    <xf numFmtId="0" fontId="0" fillId="0" borderId="0"/>
    <xf numFmtId="165" fontId="59" fillId="0" borderId="0" applyBorder="0" applyProtection="0"/>
    <xf numFmtId="164" fontId="59" fillId="0" borderId="0" applyBorder="0" applyProtection="0"/>
    <xf numFmtId="9" fontId="59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3" fillId="4" borderId="0" applyBorder="0" applyProtection="0"/>
    <xf numFmtId="0" fontId="4" fillId="16" borderId="1" applyProtection="0"/>
    <xf numFmtId="0" fontId="5" fillId="17" borderId="2" applyProtection="0"/>
    <xf numFmtId="0" fontId="6" fillId="0" borderId="3" applyProtection="0"/>
    <xf numFmtId="0" fontId="7" fillId="7" borderId="1" applyProtection="0"/>
    <xf numFmtId="0" fontId="8" fillId="3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164" fontId="59" fillId="0" borderId="0" applyBorder="0" applyProtection="0"/>
    <xf numFmtId="0" fontId="9" fillId="18" borderId="0" applyBorder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19" borderId="4" applyProtection="0"/>
    <xf numFmtId="0" fontId="59" fillId="19" borderId="4" applyProtection="0"/>
    <xf numFmtId="9" fontId="59" fillId="0" borderId="0" applyBorder="0" applyProtection="0"/>
    <xf numFmtId="9" fontId="59" fillId="0" borderId="0" applyBorder="0" applyProtection="0"/>
    <xf numFmtId="9" fontId="59" fillId="0" borderId="0" applyBorder="0" applyProtection="0"/>
    <xf numFmtId="9" fontId="59" fillId="0" borderId="0" applyBorder="0" applyProtection="0"/>
    <xf numFmtId="9" fontId="59" fillId="0" borderId="0" applyBorder="0" applyProtection="0"/>
    <xf numFmtId="0" fontId="11" fillId="16" borderId="5" applyProtection="0"/>
    <xf numFmtId="0" fontId="12" fillId="0" borderId="0" applyBorder="0" applyProtection="0"/>
    <xf numFmtId="0" fontId="13" fillId="0" borderId="0" applyBorder="0" applyProtection="0"/>
    <xf numFmtId="0" fontId="14" fillId="0" borderId="6" applyProtection="0"/>
    <xf numFmtId="0" fontId="15" fillId="0" borderId="7" applyProtection="0"/>
    <xf numFmtId="0" fontId="16" fillId="0" borderId="8" applyProtection="0"/>
    <xf numFmtId="0" fontId="17" fillId="0" borderId="9" applyProtection="0"/>
    <xf numFmtId="0" fontId="17" fillId="0" borderId="0" applyBorder="0" applyProtection="0"/>
    <xf numFmtId="0" fontId="18" fillId="0" borderId="0" applyBorder="0" applyProtection="0"/>
    <xf numFmtId="165" fontId="59" fillId="0" borderId="0" applyBorder="0" applyProtection="0"/>
    <xf numFmtId="166" fontId="59" fillId="0" borderId="0" applyBorder="0" applyProtection="0"/>
    <xf numFmtId="166" fontId="59" fillId="0" borderId="0" applyBorder="0" applyProtection="0"/>
    <xf numFmtId="166" fontId="59" fillId="0" borderId="0" applyBorder="0" applyProtection="0"/>
    <xf numFmtId="166" fontId="59" fillId="0" borderId="0" applyBorder="0" applyProtection="0"/>
    <xf numFmtId="0" fontId="2" fillId="20" borderId="0" applyBorder="0" applyProtection="0"/>
    <xf numFmtId="0" fontId="2" fillId="21" borderId="0" applyBorder="0" applyProtection="0"/>
    <xf numFmtId="0" fontId="2" fillId="22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23" borderId="0" applyBorder="0" applyProtection="0"/>
  </cellStyleXfs>
  <cellXfs count="288">
    <xf numFmtId="0" fontId="0" fillId="0" borderId="0" xfId="0"/>
    <xf numFmtId="0" fontId="10" fillId="0" borderId="0" xfId="0" applyFont="1" applyAlignment="1" applyProtection="1"/>
    <xf numFmtId="0" fontId="20" fillId="0" borderId="0" xfId="0" applyFont="1" applyBorder="1" applyAlignment="1" applyProtection="1">
      <alignment horizontal="center"/>
    </xf>
    <xf numFmtId="0" fontId="19" fillId="0" borderId="0" xfId="0" applyFont="1" applyBorder="1" applyAlignment="1" applyProtection="1">
      <alignment horizontal="center" wrapText="1"/>
    </xf>
    <xf numFmtId="0" fontId="21" fillId="0" borderId="14" xfId="0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/>
    </xf>
    <xf numFmtId="0" fontId="23" fillId="0" borderId="14" xfId="0" applyFont="1" applyBorder="1" applyAlignment="1" applyProtection="1">
      <alignment vertical="center"/>
    </xf>
    <xf numFmtId="164" fontId="24" fillId="0" borderId="14" xfId="2" applyFont="1" applyBorder="1" applyAlignment="1" applyProtection="1"/>
    <xf numFmtId="4" fontId="22" fillId="0" borderId="14" xfId="2" applyNumberFormat="1" applyFont="1" applyBorder="1" applyAlignment="1" applyProtection="1">
      <alignment horizontal="center"/>
    </xf>
    <xf numFmtId="1" fontId="25" fillId="0" borderId="14" xfId="0" applyNumberFormat="1" applyFont="1" applyBorder="1" applyAlignment="1" applyProtection="1">
      <alignment horizontal="center"/>
    </xf>
    <xf numFmtId="2" fontId="10" fillId="0" borderId="0" xfId="0" applyNumberFormat="1" applyFont="1" applyAlignment="1" applyProtection="1"/>
    <xf numFmtId="0" fontId="23" fillId="0" borderId="15" xfId="0" applyFont="1" applyBorder="1" applyAlignment="1" applyProtection="1">
      <alignment vertical="center"/>
    </xf>
    <xf numFmtId="4" fontId="26" fillId="0" borderId="14" xfId="2" applyNumberFormat="1" applyFont="1" applyBorder="1" applyAlignment="1" applyProtection="1">
      <alignment horizontal="center"/>
    </xf>
    <xf numFmtId="1" fontId="26" fillId="0" borderId="14" xfId="0" applyNumberFormat="1" applyFont="1" applyBorder="1" applyAlignment="1" applyProtection="1">
      <alignment horizontal="center"/>
    </xf>
    <xf numFmtId="4" fontId="27" fillId="0" borderId="14" xfId="2" applyNumberFormat="1" applyFont="1" applyBorder="1" applyAlignment="1" applyProtection="1">
      <alignment horizontal="center"/>
    </xf>
    <xf numFmtId="1" fontId="27" fillId="0" borderId="14" xfId="0" applyNumberFormat="1" applyFont="1" applyBorder="1" applyAlignment="1" applyProtection="1">
      <alignment horizontal="center"/>
    </xf>
    <xf numFmtId="0" fontId="28" fillId="0" borderId="0" xfId="0" applyFont="1" applyAlignment="1" applyProtection="1"/>
    <xf numFmtId="0" fontId="21" fillId="25" borderId="16" xfId="0" applyFont="1" applyFill="1" applyBorder="1" applyAlignment="1" applyProtection="1">
      <alignment vertical="center"/>
    </xf>
    <xf numFmtId="0" fontId="29" fillId="25" borderId="17" xfId="0" applyFont="1" applyFill="1" applyBorder="1" applyAlignment="1" applyProtection="1">
      <alignment horizontal="center" vertical="center"/>
    </xf>
    <xf numFmtId="164" fontId="21" fillId="25" borderId="12" xfId="0" applyNumberFormat="1" applyFont="1" applyFill="1" applyBorder="1" applyAlignment="1" applyProtection="1">
      <alignment horizontal="center" vertical="center"/>
    </xf>
    <xf numFmtId="4" fontId="21" fillId="25" borderId="17" xfId="0" applyNumberFormat="1" applyFont="1" applyFill="1" applyBorder="1" applyAlignment="1" applyProtection="1">
      <alignment horizontal="center" vertical="center"/>
    </xf>
    <xf numFmtId="1" fontId="21" fillId="25" borderId="12" xfId="0" applyNumberFormat="1" applyFont="1" applyFill="1" applyBorder="1" applyAlignment="1" applyProtection="1">
      <alignment horizontal="center" vertical="center"/>
    </xf>
    <xf numFmtId="164" fontId="21" fillId="25" borderId="18" xfId="2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0" fontId="30" fillId="0" borderId="0" xfId="0" applyFont="1" applyAlignment="1" applyProtection="1">
      <alignment vertical="center"/>
    </xf>
    <xf numFmtId="0" fontId="34" fillId="0" borderId="0" xfId="0" applyFont="1" applyBorder="1" applyAlignment="1" applyProtection="1">
      <alignment horizontal="left" vertical="center"/>
    </xf>
    <xf numFmtId="0" fontId="35" fillId="0" borderId="0" xfId="0" applyFont="1" applyBorder="1" applyAlignment="1" applyProtection="1">
      <alignment horizontal="left" vertical="center"/>
    </xf>
    <xf numFmtId="0" fontId="36" fillId="0" borderId="0" xfId="0" applyFont="1" applyBorder="1" applyAlignment="1" applyProtection="1">
      <alignment horizontal="left" vertical="center"/>
    </xf>
    <xf numFmtId="0" fontId="37" fillId="0" borderId="14" xfId="0" applyFont="1" applyBorder="1" applyAlignment="1" applyProtection="1">
      <alignment horizontal="left" vertical="center"/>
    </xf>
    <xf numFmtId="0" fontId="37" fillId="0" borderId="0" xfId="0" applyFont="1" applyBorder="1" applyAlignment="1" applyProtection="1">
      <alignment horizontal="left" vertical="center"/>
    </xf>
    <xf numFmtId="0" fontId="36" fillId="0" borderId="0" xfId="0" applyFont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horizontal="center" vertical="center" wrapText="1"/>
    </xf>
    <xf numFmtId="0" fontId="41" fillId="0" borderId="0" xfId="0" applyFont="1" applyAlignment="1" applyProtection="1">
      <alignment vertical="center"/>
    </xf>
    <xf numFmtId="0" fontId="42" fillId="0" borderId="0" xfId="0" applyFont="1" applyBorder="1" applyAlignment="1" applyProtection="1">
      <alignment horizontal="left" vertical="center"/>
    </xf>
    <xf numFmtId="0" fontId="35" fillId="24" borderId="14" xfId="0" applyFont="1" applyFill="1" applyBorder="1" applyAlignment="1" applyProtection="1">
      <alignment vertical="center" wrapText="1"/>
    </xf>
    <xf numFmtId="0" fontId="35" fillId="24" borderId="14" xfId="0" applyFont="1" applyFill="1" applyBorder="1" applyAlignment="1" applyProtection="1">
      <alignment horizontal="center" vertical="center" wrapText="1"/>
    </xf>
    <xf numFmtId="0" fontId="20" fillId="24" borderId="14" xfId="0" applyFont="1" applyFill="1" applyBorder="1" applyAlignment="1" applyProtection="1">
      <alignment horizontal="center" vertical="center"/>
    </xf>
    <xf numFmtId="0" fontId="43" fillId="0" borderId="0" xfId="0" applyFont="1" applyAlignment="1" applyProtection="1">
      <alignment vertical="center"/>
    </xf>
    <xf numFmtId="0" fontId="34" fillId="0" borderId="14" xfId="0" applyFont="1" applyBorder="1" applyAlignment="1" applyProtection="1">
      <alignment horizontal="justify" vertical="center" wrapText="1"/>
    </xf>
    <xf numFmtId="164" fontId="34" fillId="0" borderId="14" xfId="2" applyFont="1" applyBorder="1" applyAlignment="1" applyProtection="1">
      <alignment horizontal="center" vertical="center" wrapText="1"/>
    </xf>
    <xf numFmtId="164" fontId="10" fillId="0" borderId="14" xfId="2" applyFont="1" applyBorder="1" applyAlignment="1" applyProtection="1">
      <alignment horizontal="left" vertical="center" wrapText="1"/>
    </xf>
    <xf numFmtId="0" fontId="34" fillId="0" borderId="14" xfId="0" applyFont="1" applyBorder="1" applyAlignment="1" applyProtection="1">
      <alignment horizontal="center" vertical="center" wrapText="1"/>
    </xf>
    <xf numFmtId="0" fontId="20" fillId="0" borderId="0" xfId="0" applyFont="1" applyAlignment="1" applyProtection="1">
      <alignment vertical="center"/>
    </xf>
    <xf numFmtId="0" fontId="44" fillId="0" borderId="14" xfId="0" applyFont="1" applyBorder="1" applyAlignment="1" applyProtection="1">
      <alignment horizontal="justify" vertical="center" wrapText="1"/>
    </xf>
    <xf numFmtId="0" fontId="44" fillId="0" borderId="14" xfId="0" applyFont="1" applyBorder="1" applyAlignment="1" applyProtection="1">
      <alignment horizontal="center" vertical="center" wrapText="1"/>
    </xf>
    <xf numFmtId="164" fontId="44" fillId="0" borderId="14" xfId="2" applyFont="1" applyBorder="1" applyAlignment="1" applyProtection="1">
      <alignment horizontal="left" vertical="center" wrapText="1"/>
    </xf>
    <xf numFmtId="0" fontId="45" fillId="0" borderId="0" xfId="0" applyFont="1" applyAlignment="1" applyProtection="1">
      <alignment vertical="center"/>
    </xf>
    <xf numFmtId="0" fontId="34" fillId="0" borderId="0" xfId="0" applyFont="1" applyBorder="1" applyAlignment="1" applyProtection="1">
      <alignment horizontal="justify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vertical="center"/>
    </xf>
    <xf numFmtId="0" fontId="35" fillId="0" borderId="0" xfId="0" applyFont="1" applyBorder="1" applyAlignment="1" applyProtection="1">
      <alignment horizontal="justify" vertical="center" wrapText="1"/>
    </xf>
    <xf numFmtId="0" fontId="34" fillId="0" borderId="0" xfId="0" applyFont="1" applyBorder="1" applyAlignment="1" applyProtection="1">
      <alignment horizontal="center" vertical="center" wrapText="1"/>
    </xf>
    <xf numFmtId="0" fontId="35" fillId="24" borderId="14" xfId="0" applyFont="1" applyFill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vertical="center"/>
    </xf>
    <xf numFmtId="10" fontId="10" fillId="0" borderId="14" xfId="3" applyNumberFormat="1" applyFont="1" applyBorder="1" applyAlignment="1" applyProtection="1">
      <alignment horizontal="center" vertical="center"/>
    </xf>
    <xf numFmtId="164" fontId="10" fillId="0" borderId="14" xfId="0" applyNumberFormat="1" applyFont="1" applyBorder="1" applyAlignment="1" applyProtection="1">
      <alignment horizontal="left" vertical="center" wrapText="1"/>
    </xf>
    <xf numFmtId="10" fontId="10" fillId="0" borderId="14" xfId="0" applyNumberFormat="1" applyFont="1" applyBorder="1" applyAlignment="1" applyProtection="1">
      <alignment horizontal="center" vertical="center"/>
    </xf>
    <xf numFmtId="0" fontId="46" fillId="0" borderId="0" xfId="0" applyFont="1" applyAlignment="1" applyProtection="1">
      <alignment vertical="center"/>
    </xf>
    <xf numFmtId="0" fontId="20" fillId="0" borderId="14" xfId="0" applyFont="1" applyBorder="1" applyAlignment="1" applyProtection="1">
      <alignment vertical="center"/>
    </xf>
    <xf numFmtId="10" fontId="20" fillId="0" borderId="14" xfId="0" applyNumberFormat="1" applyFont="1" applyBorder="1" applyAlignment="1" applyProtection="1">
      <alignment horizontal="center" vertical="center"/>
    </xf>
    <xf numFmtId="164" fontId="20" fillId="0" borderId="14" xfId="0" applyNumberFormat="1" applyFont="1" applyBorder="1" applyAlignment="1" applyProtection="1">
      <alignment horizontal="left" vertical="center" wrapText="1"/>
    </xf>
    <xf numFmtId="10" fontId="34" fillId="0" borderId="14" xfId="3" applyNumberFormat="1" applyFont="1" applyBorder="1" applyAlignment="1" applyProtection="1">
      <alignment horizontal="center" vertical="center"/>
    </xf>
    <xf numFmtId="0" fontId="20" fillId="0" borderId="0" xfId="0" applyFont="1" applyAlignment="1" applyProtection="1">
      <alignment horizontal="right" vertical="center"/>
    </xf>
    <xf numFmtId="0" fontId="20" fillId="0" borderId="0" xfId="0" applyFont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vertical="center"/>
    </xf>
    <xf numFmtId="164" fontId="10" fillId="0" borderId="14" xfId="0" applyNumberFormat="1" applyFont="1" applyBorder="1" applyAlignment="1" applyProtection="1">
      <alignment horizontal="left" vertical="center" wrapText="1"/>
    </xf>
    <xf numFmtId="10" fontId="10" fillId="0" borderId="0" xfId="3" applyNumberFormat="1" applyFont="1" applyBorder="1" applyAlignment="1" applyProtection="1">
      <alignment vertical="center"/>
    </xf>
    <xf numFmtId="10" fontId="47" fillId="0" borderId="14" xfId="3" applyNumberFormat="1" applyFont="1" applyBorder="1" applyAlignment="1" applyProtection="1">
      <alignment horizontal="center" vertical="center" wrapText="1"/>
    </xf>
    <xf numFmtId="164" fontId="20" fillId="0" borderId="14" xfId="2" applyFont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horizontal="left" vertical="center" wrapText="1"/>
    </xf>
    <xf numFmtId="0" fontId="48" fillId="0" borderId="0" xfId="0" applyFont="1" applyAlignment="1" applyProtection="1">
      <alignment vertical="center"/>
    </xf>
    <xf numFmtId="0" fontId="10" fillId="0" borderId="14" xfId="0" applyFont="1" applyBorder="1" applyAlignment="1" applyProtection="1">
      <alignment vertical="center" wrapText="1"/>
    </xf>
    <xf numFmtId="0" fontId="20" fillId="0" borderId="14" xfId="0" applyFont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horizontal="justify" vertical="center" wrapText="1"/>
    </xf>
    <xf numFmtId="166" fontId="20" fillId="0" borderId="14" xfId="0" applyNumberFormat="1" applyFont="1" applyBorder="1" applyAlignment="1" applyProtection="1">
      <alignment horizontal="left" vertical="center" wrapText="1"/>
    </xf>
    <xf numFmtId="0" fontId="35" fillId="24" borderId="14" xfId="0" applyFont="1" applyFill="1" applyBorder="1" applyAlignment="1" applyProtection="1">
      <alignment horizontal="justify" vertical="center" wrapText="1"/>
    </xf>
    <xf numFmtId="0" fontId="34" fillId="24" borderId="14" xfId="0" applyFont="1" applyFill="1" applyBorder="1" applyAlignment="1" applyProtection="1">
      <alignment horizontal="center" vertical="center" wrapText="1"/>
    </xf>
    <xf numFmtId="0" fontId="35" fillId="0" borderId="14" xfId="0" applyFont="1" applyBorder="1" applyAlignment="1" applyProtection="1">
      <alignment horizontal="justify" vertical="center" wrapText="1"/>
    </xf>
    <xf numFmtId="10" fontId="34" fillId="0" borderId="14" xfId="0" applyNumberFormat="1" applyFont="1" applyBorder="1" applyAlignment="1" applyProtection="1">
      <alignment horizontal="center" vertical="center" wrapText="1"/>
    </xf>
    <xf numFmtId="164" fontId="20" fillId="0" borderId="14" xfId="2" applyFont="1" applyBorder="1" applyAlignment="1" applyProtection="1">
      <alignment vertical="center"/>
    </xf>
    <xf numFmtId="10" fontId="20" fillId="0" borderId="14" xfId="0" applyNumberFormat="1" applyFont="1" applyBorder="1" applyAlignment="1" applyProtection="1">
      <alignment horizontal="center" vertical="center" wrapText="1"/>
    </xf>
    <xf numFmtId="164" fontId="10" fillId="0" borderId="14" xfId="2" applyFont="1" applyBorder="1" applyAlignment="1" applyProtection="1">
      <alignment vertical="center"/>
    </xf>
    <xf numFmtId="165" fontId="10" fillId="0" borderId="0" xfId="1" applyFont="1" applyBorder="1" applyAlignment="1" applyProtection="1">
      <alignment vertical="center"/>
    </xf>
    <xf numFmtId="10" fontId="35" fillId="0" borderId="14" xfId="0" applyNumberFormat="1" applyFont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left" vertical="center" wrapText="1"/>
    </xf>
    <xf numFmtId="0" fontId="20" fillId="24" borderId="14" xfId="0" applyFont="1" applyFill="1" applyBorder="1" applyAlignment="1" applyProtection="1">
      <alignment vertical="center"/>
    </xf>
    <xf numFmtId="10" fontId="30" fillId="0" borderId="0" xfId="0" applyNumberFormat="1" applyFont="1" applyAlignment="1" applyProtection="1">
      <alignment vertical="center"/>
    </xf>
    <xf numFmtId="0" fontId="35" fillId="0" borderId="14" xfId="0" applyFont="1" applyBorder="1" applyAlignment="1" applyProtection="1">
      <alignment horizontal="justify" vertical="center" wrapText="1"/>
    </xf>
    <xf numFmtId="164" fontId="20" fillId="0" borderId="14" xfId="0" applyNumberFormat="1" applyFont="1" applyBorder="1" applyAlignment="1" applyProtection="1">
      <alignment horizontal="left" vertical="center" wrapText="1"/>
    </xf>
    <xf numFmtId="164" fontId="49" fillId="0" borderId="0" xfId="0" applyNumberFormat="1" applyFont="1" applyAlignment="1" applyProtection="1">
      <alignment vertical="center"/>
    </xf>
    <xf numFmtId="0" fontId="44" fillId="0" borderId="0" xfId="0" applyFont="1" applyBorder="1" applyAlignment="1" applyProtection="1">
      <alignment horizontal="justify" vertical="center" wrapText="1"/>
    </xf>
    <xf numFmtId="10" fontId="10" fillId="0" borderId="0" xfId="0" applyNumberFormat="1" applyFont="1" applyBorder="1" applyAlignment="1" applyProtection="1">
      <alignment horizontal="center" vertical="center"/>
    </xf>
    <xf numFmtId="164" fontId="20" fillId="0" borderId="0" xfId="2" applyFont="1" applyBorder="1" applyAlignment="1" applyProtection="1">
      <alignment horizontal="left" vertical="center" wrapText="1"/>
    </xf>
    <xf numFmtId="0" fontId="10" fillId="27" borderId="14" xfId="0" applyFont="1" applyFill="1" applyBorder="1" applyAlignment="1" applyProtection="1">
      <alignment horizontal="left" vertical="center" wrapText="1"/>
    </xf>
    <xf numFmtId="10" fontId="44" fillId="0" borderId="0" xfId="0" applyNumberFormat="1" applyFont="1" applyBorder="1" applyAlignment="1" applyProtection="1">
      <alignment horizontal="center" vertical="center"/>
    </xf>
    <xf numFmtId="164" fontId="44" fillId="0" borderId="0" xfId="0" applyNumberFormat="1" applyFont="1" applyBorder="1" applyAlignment="1" applyProtection="1">
      <alignment horizontal="left" vertical="center" wrapText="1"/>
    </xf>
    <xf numFmtId="10" fontId="35" fillId="24" borderId="14" xfId="3" applyNumberFormat="1" applyFont="1" applyFill="1" applyBorder="1" applyAlignment="1" applyProtection="1">
      <alignment horizontal="center" vertical="center" wrapText="1"/>
    </xf>
    <xf numFmtId="164" fontId="20" fillId="24" borderId="14" xfId="0" applyNumberFormat="1" applyFont="1" applyFill="1" applyBorder="1" applyAlignment="1" applyProtection="1">
      <alignment horizontal="center" vertical="center" wrapText="1"/>
    </xf>
    <xf numFmtId="166" fontId="10" fillId="0" borderId="0" xfId="0" applyNumberFormat="1" applyFont="1" applyAlignment="1" applyProtection="1">
      <alignment vertical="center"/>
    </xf>
    <xf numFmtId="164" fontId="50" fillId="0" borderId="14" xfId="0" applyNumberFormat="1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justify" vertical="center" wrapText="1"/>
    </xf>
    <xf numFmtId="10" fontId="34" fillId="0" borderId="14" xfId="3" applyNumberFormat="1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vertical="center" wrapText="1"/>
    </xf>
    <xf numFmtId="0" fontId="50" fillId="0" borderId="20" xfId="0" applyFont="1" applyBorder="1" applyAlignment="1" applyProtection="1">
      <alignment horizontal="center" vertical="center" wrapText="1"/>
    </xf>
    <xf numFmtId="0" fontId="34" fillId="0" borderId="14" xfId="0" applyFont="1" applyBorder="1" applyAlignment="1" applyProtection="1">
      <alignment vertical="center" wrapText="1"/>
    </xf>
    <xf numFmtId="0" fontId="34" fillId="0" borderId="14" xfId="0" applyFont="1" applyBorder="1" applyAlignment="1" applyProtection="1">
      <alignment horizontal="justify" vertical="center" wrapText="1"/>
    </xf>
    <xf numFmtId="9" fontId="10" fillId="0" borderId="0" xfId="0" applyNumberFormat="1" applyFont="1" applyAlignment="1" applyProtection="1">
      <alignment vertical="center"/>
    </xf>
    <xf numFmtId="10" fontId="10" fillId="0" borderId="0" xfId="0" applyNumberFormat="1" applyFont="1" applyAlignment="1" applyProtection="1">
      <alignment vertical="center"/>
    </xf>
    <xf numFmtId="10" fontId="10" fillId="0" borderId="14" xfId="3" applyNumberFormat="1" applyFont="1" applyBorder="1" applyAlignment="1" applyProtection="1">
      <alignment horizontal="center" vertical="center" wrapText="1"/>
    </xf>
    <xf numFmtId="0" fontId="36" fillId="0" borderId="14" xfId="0" applyFont="1" applyBorder="1" applyAlignment="1" applyProtection="1">
      <alignment horizontal="justify" vertical="center" wrapText="1"/>
    </xf>
    <xf numFmtId="10" fontId="36" fillId="0" borderId="14" xfId="3" applyNumberFormat="1" applyFont="1" applyBorder="1" applyAlignment="1" applyProtection="1">
      <alignment horizontal="center" vertical="center" wrapText="1"/>
    </xf>
    <xf numFmtId="164" fontId="50" fillId="0" borderId="14" xfId="0" applyNumberFormat="1" applyFont="1" applyBorder="1" applyAlignment="1" applyProtection="1">
      <alignment horizontal="left" vertical="center" wrapText="1"/>
    </xf>
    <xf numFmtId="10" fontId="35" fillId="0" borderId="14" xfId="3" applyNumberFormat="1" applyFont="1" applyBorder="1" applyAlignment="1" applyProtection="1">
      <alignment horizontal="center" vertical="center" wrapText="1"/>
    </xf>
    <xf numFmtId="10" fontId="35" fillId="0" borderId="0" xfId="3" applyNumberFormat="1" applyFont="1" applyBorder="1" applyAlignment="1" applyProtection="1">
      <alignment horizontal="center" vertical="center" wrapText="1"/>
    </xf>
    <xf numFmtId="164" fontId="20" fillId="0" borderId="0" xfId="0" applyNumberFormat="1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justify" vertical="center" wrapText="1"/>
    </xf>
    <xf numFmtId="164" fontId="10" fillId="0" borderId="14" xfId="0" applyNumberFormat="1" applyFont="1" applyBorder="1" applyAlignment="1" applyProtection="1">
      <alignment vertical="center"/>
    </xf>
    <xf numFmtId="164" fontId="20" fillId="0" borderId="14" xfId="0" applyNumberFormat="1" applyFont="1" applyBorder="1" applyAlignment="1" applyProtection="1">
      <alignment vertical="center"/>
    </xf>
    <xf numFmtId="164" fontId="10" fillId="0" borderId="21" xfId="0" applyNumberFormat="1" applyFont="1" applyBorder="1" applyAlignment="1" applyProtection="1">
      <alignment vertical="center"/>
    </xf>
    <xf numFmtId="164" fontId="21" fillId="26" borderId="19" xfId="0" applyNumberFormat="1" applyFont="1" applyFill="1" applyBorder="1" applyAlignment="1" applyProtection="1">
      <alignment vertical="center" wrapText="1"/>
    </xf>
    <xf numFmtId="164" fontId="10" fillId="0" borderId="0" xfId="0" applyNumberFormat="1" applyFont="1" applyAlignment="1" applyProtection="1">
      <alignment vertical="center"/>
    </xf>
    <xf numFmtId="0" fontId="42" fillId="0" borderId="0" xfId="0" applyFont="1" applyBorder="1" applyAlignment="1" applyProtection="1">
      <alignment horizontal="justify" vertical="center" wrapText="1"/>
    </xf>
    <xf numFmtId="0" fontId="34" fillId="0" borderId="0" xfId="0" applyFont="1" applyBorder="1" applyAlignment="1" applyProtection="1">
      <alignment horizontal="center" vertical="center" wrapText="1"/>
    </xf>
    <xf numFmtId="164" fontId="21" fillId="0" borderId="0" xfId="0" applyNumberFormat="1" applyFont="1" applyBorder="1" applyAlignment="1" applyProtection="1">
      <alignment horizontal="left" vertical="center" wrapText="1"/>
    </xf>
    <xf numFmtId="0" fontId="19" fillId="29" borderId="21" xfId="0" applyFont="1" applyFill="1" applyBorder="1" applyAlignment="1" applyProtection="1">
      <alignment vertical="center"/>
    </xf>
    <xf numFmtId="0" fontId="19" fillId="29" borderId="21" xfId="0" applyFont="1" applyFill="1" applyBorder="1" applyAlignment="1" applyProtection="1">
      <alignment horizontal="center" vertical="center"/>
    </xf>
    <xf numFmtId="166" fontId="19" fillId="29" borderId="21" xfId="0" applyNumberFormat="1" applyFont="1" applyFill="1" applyBorder="1" applyAlignment="1" applyProtection="1">
      <alignment vertical="center"/>
    </xf>
    <xf numFmtId="0" fontId="21" fillId="0" borderId="16" xfId="0" applyFont="1" applyBorder="1" applyAlignment="1" applyProtection="1">
      <alignment vertical="center"/>
    </xf>
    <xf numFmtId="0" fontId="21" fillId="0" borderId="12" xfId="0" applyFont="1" applyBorder="1" applyAlignment="1" applyProtection="1">
      <alignment horizontal="center" vertical="center"/>
    </xf>
    <xf numFmtId="166" fontId="19" fillId="0" borderId="18" xfId="0" applyNumberFormat="1" applyFont="1" applyBorder="1" applyAlignment="1" applyProtection="1">
      <alignment vertical="center"/>
    </xf>
    <xf numFmtId="0" fontId="34" fillId="0" borderId="0" xfId="0" applyFont="1" applyBorder="1" applyAlignment="1" applyProtection="1">
      <alignment horizontal="center" vertical="center"/>
    </xf>
    <xf numFmtId="0" fontId="35" fillId="0" borderId="0" xfId="0" applyFont="1" applyBorder="1" applyAlignment="1" applyProtection="1">
      <alignment vertical="center" wrapText="1"/>
    </xf>
    <xf numFmtId="0" fontId="34" fillId="0" borderId="0" xfId="0" applyFont="1" applyBorder="1" applyAlignment="1" applyProtection="1">
      <alignment vertical="center" wrapText="1"/>
    </xf>
    <xf numFmtId="0" fontId="34" fillId="0" borderId="0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vertical="center" wrapText="1"/>
    </xf>
    <xf numFmtId="0" fontId="34" fillId="0" borderId="0" xfId="0" applyFont="1" applyAlignment="1" applyProtection="1">
      <alignment horizontal="center" vertical="center"/>
    </xf>
    <xf numFmtId="0" fontId="34" fillId="0" borderId="0" xfId="0" applyFont="1" applyAlignment="1" applyProtection="1">
      <alignment horizontal="justify" vertical="center"/>
    </xf>
    <xf numFmtId="166" fontId="0" fillId="0" borderId="0" xfId="0" applyNumberFormat="1" applyAlignment="1" applyProtection="1"/>
    <xf numFmtId="0" fontId="21" fillId="0" borderId="17" xfId="0" applyFont="1" applyBorder="1" applyAlignment="1" applyProtection="1">
      <alignment horizontal="center" vertical="center" wrapText="1"/>
    </xf>
    <xf numFmtId="0" fontId="21" fillId="0" borderId="23" xfId="0" applyFont="1" applyBorder="1" applyAlignment="1" applyProtection="1">
      <alignment horizontal="center" vertical="center" wrapText="1"/>
    </xf>
    <xf numFmtId="0" fontId="21" fillId="0" borderId="16" xfId="0" applyFont="1" applyBorder="1" applyAlignment="1" applyProtection="1">
      <alignment vertical="center" wrapText="1"/>
    </xf>
    <xf numFmtId="4" fontId="54" fillId="0" borderId="12" xfId="0" applyNumberFormat="1" applyFont="1" applyBorder="1" applyAlignment="1" applyProtection="1">
      <alignment horizontal="center" vertical="center" wrapText="1"/>
    </xf>
    <xf numFmtId="0" fontId="53" fillId="0" borderId="19" xfId="0" applyFont="1" applyBorder="1" applyAlignment="1" applyProtection="1">
      <alignment horizontal="center" vertical="center" wrapText="1"/>
    </xf>
    <xf numFmtId="0" fontId="21" fillId="0" borderId="12" xfId="0" applyFont="1" applyBorder="1" applyAlignment="1" applyProtection="1">
      <alignment vertical="center" wrapText="1"/>
    </xf>
    <xf numFmtId="0" fontId="54" fillId="0" borderId="11" xfId="0" applyFont="1" applyBorder="1" applyAlignment="1" applyProtection="1">
      <alignment horizontal="center" vertical="center" wrapText="1"/>
    </xf>
    <xf numFmtId="0" fontId="53" fillId="0" borderId="18" xfId="0" applyFont="1" applyBorder="1" applyAlignment="1" applyProtection="1">
      <alignment horizontal="center" vertical="center" wrapText="1"/>
    </xf>
    <xf numFmtId="0" fontId="21" fillId="24" borderId="12" xfId="0" applyFont="1" applyFill="1" applyBorder="1" applyAlignment="1" applyProtection="1">
      <alignment horizontal="center" vertical="center" wrapText="1"/>
    </xf>
    <xf numFmtId="0" fontId="21" fillId="24" borderId="25" xfId="0" applyFont="1" applyFill="1" applyBorder="1" applyAlignment="1" applyProtection="1">
      <alignment horizontal="center" vertical="center" wrapText="1"/>
    </xf>
    <xf numFmtId="165" fontId="55" fillId="0" borderId="27" xfId="1" applyFont="1" applyBorder="1" applyAlignment="1" applyProtection="1">
      <alignment horizontal="center" vertical="center" wrapText="1"/>
    </xf>
    <xf numFmtId="0" fontId="55" fillId="0" borderId="28" xfId="0" applyFont="1" applyBorder="1" applyAlignment="1" applyProtection="1">
      <alignment horizontal="center" vertical="center" wrapText="1"/>
    </xf>
    <xf numFmtId="166" fontId="56" fillId="0" borderId="28" xfId="0" applyNumberFormat="1" applyFont="1" applyBorder="1" applyAlignment="1" applyProtection="1">
      <alignment horizontal="center" vertical="center" wrapText="1"/>
    </xf>
    <xf numFmtId="168" fontId="56" fillId="0" borderId="29" xfId="0" applyNumberFormat="1" applyFont="1" applyBorder="1" applyAlignment="1" applyProtection="1">
      <alignment horizontal="center" vertical="center" wrapText="1"/>
    </xf>
    <xf numFmtId="165" fontId="55" fillId="0" borderId="31" xfId="1" applyFont="1" applyBorder="1" applyAlignment="1" applyProtection="1">
      <alignment horizontal="center" vertical="center" wrapText="1"/>
    </xf>
    <xf numFmtId="0" fontId="55" fillId="0" borderId="32" xfId="0" applyFont="1" applyBorder="1" applyAlignment="1" applyProtection="1">
      <alignment horizontal="center" vertical="center" wrapText="1"/>
    </xf>
    <xf numFmtId="166" fontId="56" fillId="0" borderId="14" xfId="0" applyNumberFormat="1" applyFont="1" applyBorder="1" applyAlignment="1" applyProtection="1">
      <alignment horizontal="center" vertical="center" wrapText="1"/>
    </xf>
    <xf numFmtId="168" fontId="56" fillId="0" borderId="33" xfId="0" applyNumberFormat="1" applyFont="1" applyBorder="1" applyAlignment="1" applyProtection="1">
      <alignment horizontal="center" vertical="center" wrapText="1"/>
    </xf>
    <xf numFmtId="0" fontId="53" fillId="0" borderId="32" xfId="0" applyFont="1" applyBorder="1" applyAlignment="1" applyProtection="1">
      <alignment horizontal="center" vertical="center" wrapText="1"/>
    </xf>
    <xf numFmtId="0" fontId="55" fillId="0" borderId="34" xfId="0" applyFont="1" applyBorder="1" applyAlignment="1" applyProtection="1">
      <alignment horizontal="left" vertical="center" wrapText="1"/>
    </xf>
    <xf numFmtId="0" fontId="55" fillId="0" borderId="20" xfId="0" applyFont="1" applyBorder="1" applyAlignment="1" applyProtection="1">
      <alignment horizontal="left" vertical="center" wrapText="1"/>
    </xf>
    <xf numFmtId="165" fontId="55" fillId="0" borderId="14" xfId="1" applyFont="1" applyBorder="1" applyAlignment="1" applyProtection="1">
      <alignment horizontal="center" vertical="center" wrapText="1"/>
    </xf>
    <xf numFmtId="0" fontId="29" fillId="0" borderId="0" xfId="0" applyFont="1" applyAlignment="1" applyProtection="1"/>
    <xf numFmtId="0" fontId="56" fillId="0" borderId="0" xfId="0" applyFont="1" applyAlignment="1" applyProtection="1"/>
    <xf numFmtId="168" fontId="56" fillId="0" borderId="24" xfId="0" applyNumberFormat="1" applyFont="1" applyBorder="1" applyAlignment="1" applyProtection="1">
      <alignment horizontal="center" vertical="center" wrapText="1"/>
    </xf>
    <xf numFmtId="0" fontId="10" fillId="0" borderId="0" xfId="0" applyFont="1" applyAlignment="1" applyProtection="1"/>
    <xf numFmtId="0" fontId="21" fillId="24" borderId="16" xfId="0" applyFont="1" applyFill="1" applyBorder="1" applyAlignment="1" applyProtection="1">
      <alignment vertical="center"/>
    </xf>
    <xf numFmtId="0" fontId="21" fillId="24" borderId="17" xfId="0" applyFont="1" applyFill="1" applyBorder="1" applyAlignment="1" applyProtection="1"/>
    <xf numFmtId="169" fontId="21" fillId="24" borderId="18" xfId="0" applyNumberFormat="1" applyFont="1" applyFill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20" fillId="0" borderId="0" xfId="0" applyFont="1" applyBorder="1" applyAlignment="1" applyProtection="1"/>
    <xf numFmtId="169" fontId="20" fillId="0" borderId="0" xfId="0" applyNumberFormat="1" applyFont="1" applyBorder="1" applyAlignment="1" applyProtection="1">
      <alignment vertical="center"/>
    </xf>
    <xf numFmtId="165" fontId="10" fillId="0" borderId="0" xfId="1" applyFont="1" applyBorder="1" applyAlignment="1" applyProtection="1"/>
    <xf numFmtId="0" fontId="10" fillId="0" borderId="0" xfId="0" applyFont="1" applyBorder="1" applyAlignment="1" applyProtection="1"/>
    <xf numFmtId="0" fontId="29" fillId="0" borderId="36" xfId="0" applyFont="1" applyBorder="1" applyAlignment="1" applyProtection="1">
      <alignment vertical="center"/>
    </xf>
    <xf numFmtId="10" fontId="29" fillId="0" borderId="23" xfId="3" applyNumberFormat="1" applyFont="1" applyBorder="1" applyAlignment="1" applyProtection="1">
      <alignment vertical="center"/>
    </xf>
    <xf numFmtId="0" fontId="29" fillId="0" borderId="25" xfId="0" applyFont="1" applyBorder="1" applyAlignment="1" applyProtection="1">
      <alignment vertical="center"/>
    </xf>
    <xf numFmtId="170" fontId="10" fillId="0" borderId="0" xfId="0" applyNumberFormat="1" applyFont="1" applyAlignment="1" applyProtection="1"/>
    <xf numFmtId="0" fontId="10" fillId="0" borderId="0" xfId="0" applyFont="1" applyBorder="1" applyAlignment="1" applyProtection="1">
      <alignment vertical="center"/>
    </xf>
    <xf numFmtId="0" fontId="29" fillId="0" borderId="37" xfId="0" applyFont="1" applyBorder="1" applyAlignment="1" applyProtection="1">
      <alignment vertical="center"/>
    </xf>
    <xf numFmtId="10" fontId="29" fillId="0" borderId="0" xfId="3" applyNumberFormat="1" applyFont="1" applyBorder="1" applyAlignment="1" applyProtection="1">
      <alignment vertical="center"/>
    </xf>
    <xf numFmtId="0" fontId="29" fillId="0" borderId="38" xfId="0" applyFont="1" applyBorder="1" applyAlignment="1" applyProtection="1">
      <alignment vertical="center"/>
    </xf>
    <xf numFmtId="0" fontId="41" fillId="0" borderId="0" xfId="0" applyFont="1" applyAlignment="1" applyProtection="1"/>
    <xf numFmtId="0" fontId="29" fillId="0" borderId="37" xfId="0" applyFont="1" applyBorder="1" applyAlignment="1" applyProtection="1">
      <alignment vertical="center"/>
    </xf>
    <xf numFmtId="0" fontId="21" fillId="30" borderId="15" xfId="0" applyFont="1" applyFill="1" applyBorder="1" applyAlignment="1" applyProtection="1">
      <alignment vertical="center"/>
    </xf>
    <xf numFmtId="10" fontId="21" fillId="30" borderId="39" xfId="3" applyNumberFormat="1" applyFont="1" applyFill="1" applyBorder="1" applyAlignment="1" applyProtection="1">
      <alignment vertical="center"/>
    </xf>
    <xf numFmtId="2" fontId="21" fillId="30" borderId="39" xfId="3" applyNumberFormat="1" applyFont="1" applyFill="1" applyBorder="1" applyAlignment="1" applyProtection="1">
      <alignment vertical="center"/>
    </xf>
    <xf numFmtId="169" fontId="21" fillId="30" borderId="20" xfId="0" applyNumberFormat="1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/>
    </xf>
    <xf numFmtId="170" fontId="10" fillId="0" borderId="0" xfId="0" applyNumberFormat="1" applyFont="1" applyBorder="1" applyAlignment="1" applyProtection="1">
      <alignment horizontal="center"/>
    </xf>
    <xf numFmtId="10" fontId="20" fillId="0" borderId="0" xfId="3" applyNumberFormat="1" applyFont="1" applyBorder="1" applyAlignment="1" applyProtection="1">
      <alignment vertical="center"/>
    </xf>
    <xf numFmtId="169" fontId="10" fillId="0" borderId="0" xfId="0" applyNumberFormat="1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0" fontId="21" fillId="0" borderId="0" xfId="3" applyNumberFormat="1" applyFont="1" applyBorder="1" applyAlignment="1" applyProtection="1">
      <alignment vertical="center"/>
    </xf>
    <xf numFmtId="169" fontId="29" fillId="0" borderId="0" xfId="0" applyNumberFormat="1" applyFont="1" applyBorder="1" applyAlignment="1" applyProtection="1">
      <alignment vertical="center"/>
    </xf>
    <xf numFmtId="0" fontId="10" fillId="0" borderId="0" xfId="0" applyFont="1" applyBorder="1" applyAlignment="1" applyProtection="1"/>
    <xf numFmtId="170" fontId="21" fillId="25" borderId="12" xfId="0" applyNumberFormat="1" applyFont="1" applyFill="1" applyBorder="1" applyAlignment="1" applyProtection="1">
      <alignment vertical="center"/>
    </xf>
    <xf numFmtId="169" fontId="21" fillId="25" borderId="12" xfId="0" applyNumberFormat="1" applyFont="1" applyFill="1" applyBorder="1" applyAlignment="1" applyProtection="1">
      <alignment vertical="center"/>
    </xf>
    <xf numFmtId="169" fontId="10" fillId="0" borderId="0" xfId="0" applyNumberFormat="1" applyFont="1" applyBorder="1" applyAlignment="1" applyProtection="1">
      <alignment horizontal="center"/>
    </xf>
    <xf numFmtId="0" fontId="57" fillId="0" borderId="0" xfId="0" applyFont="1" applyBorder="1" applyAlignment="1" applyProtection="1">
      <alignment vertical="center"/>
    </xf>
    <xf numFmtId="169" fontId="57" fillId="0" borderId="0" xfId="0" applyNumberFormat="1" applyFont="1" applyBorder="1" applyAlignment="1" applyProtection="1">
      <alignment vertical="center"/>
    </xf>
    <xf numFmtId="0" fontId="30" fillId="0" borderId="0" xfId="0" applyFont="1" applyAlignment="1" applyProtection="1"/>
    <xf numFmtId="171" fontId="10" fillId="0" borderId="0" xfId="0" applyNumberFormat="1" applyFont="1" applyAlignment="1" applyProtection="1">
      <alignment horizontal="center"/>
    </xf>
    <xf numFmtId="169" fontId="10" fillId="0" borderId="0" xfId="0" applyNumberFormat="1" applyFont="1" applyAlignment="1" applyProtection="1"/>
    <xf numFmtId="0" fontId="10" fillId="0" borderId="0" xfId="0" applyFont="1" applyAlignment="1" applyProtection="1">
      <alignment horizontal="center"/>
    </xf>
    <xf numFmtId="0" fontId="20" fillId="30" borderId="22" xfId="0" applyFont="1" applyFill="1" applyBorder="1" applyAlignment="1" applyProtection="1">
      <alignment horizontal="center" vertical="center" wrapText="1"/>
    </xf>
    <xf numFmtId="0" fontId="20" fillId="30" borderId="40" xfId="0" applyFont="1" applyFill="1" applyBorder="1" applyAlignment="1" applyProtection="1">
      <alignment horizontal="center" vertical="center" wrapText="1"/>
    </xf>
    <xf numFmtId="0" fontId="20" fillId="30" borderId="19" xfId="0" applyFont="1" applyFill="1" applyBorder="1" applyAlignment="1" applyProtection="1">
      <alignment horizontal="center" vertical="center" wrapText="1"/>
    </xf>
    <xf numFmtId="0" fontId="25" fillId="0" borderId="30" xfId="0" applyFont="1" applyBorder="1" applyAlignment="1" applyProtection="1">
      <alignment horizontal="center" vertical="center" wrapText="1"/>
    </xf>
    <xf numFmtId="0" fontId="25" fillId="0" borderId="14" xfId="0" applyFont="1" applyBorder="1" applyAlignment="1" applyProtection="1">
      <alignment horizontal="left" vertical="center" wrapText="1"/>
    </xf>
    <xf numFmtId="0" fontId="25" fillId="0" borderId="14" xfId="0" applyFont="1" applyBorder="1" applyAlignment="1" applyProtection="1">
      <alignment horizontal="center" vertical="center" wrapText="1"/>
    </xf>
    <xf numFmtId="169" fontId="10" fillId="0" borderId="33" xfId="33" applyNumberFormat="1" applyFont="1" applyBorder="1" applyAlignment="1" applyProtection="1">
      <alignment horizontal="center" vertical="center" wrapText="1"/>
    </xf>
    <xf numFmtId="169" fontId="35" fillId="0" borderId="42" xfId="0" applyNumberFormat="1" applyFont="1" applyBorder="1" applyAlignment="1" applyProtection="1">
      <alignment horizontal="center" vertical="center" wrapText="1"/>
    </xf>
    <xf numFmtId="169" fontId="35" fillId="31" borderId="19" xfId="2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wrapText="1"/>
    </xf>
    <xf numFmtId="0" fontId="20" fillId="0" borderId="0" xfId="0" applyFont="1" applyAlignment="1" applyProtection="1"/>
    <xf numFmtId="0" fontId="35" fillId="32" borderId="12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wrapText="1"/>
    </xf>
    <xf numFmtId="0" fontId="34" fillId="0" borderId="11" xfId="0" applyFont="1" applyBorder="1" applyAlignment="1" applyProtection="1">
      <alignment vertical="center" wrapText="1"/>
    </xf>
    <xf numFmtId="10" fontId="34" fillId="0" borderId="12" xfId="0" applyNumberFormat="1" applyFont="1" applyBorder="1" applyAlignment="1" applyProtection="1">
      <alignment horizontal="center" vertical="center" wrapText="1"/>
    </xf>
    <xf numFmtId="172" fontId="0" fillId="0" borderId="0" xfId="0" applyNumberFormat="1" applyAlignment="1" applyProtection="1">
      <alignment horizontal="left" wrapText="1"/>
    </xf>
    <xf numFmtId="0" fontId="36" fillId="33" borderId="11" xfId="0" applyFont="1" applyFill="1" applyBorder="1" applyAlignment="1" applyProtection="1">
      <alignment horizontal="right" vertical="center" wrapText="1"/>
    </xf>
    <xf numFmtId="0" fontId="0" fillId="0" borderId="0" xfId="0" applyAlignment="1" applyProtection="1"/>
    <xf numFmtId="0" fontId="34" fillId="0" borderId="43" xfId="0" applyFont="1" applyBorder="1" applyAlignment="1" applyProtection="1">
      <alignment horizontal="center" vertical="center" wrapText="1"/>
    </xf>
    <xf numFmtId="0" fontId="34" fillId="0" borderId="11" xfId="0" applyFont="1" applyBorder="1" applyAlignment="1" applyProtection="1">
      <alignment horizontal="center" vertical="center" wrapText="1"/>
    </xf>
    <xf numFmtId="172" fontId="0" fillId="0" borderId="0" xfId="3" applyNumberFormat="1" applyFont="1" applyBorder="1" applyAlignment="1" applyProtection="1"/>
    <xf numFmtId="10" fontId="34" fillId="0" borderId="43" xfId="0" applyNumberFormat="1" applyFont="1" applyBorder="1" applyAlignment="1" applyProtection="1">
      <alignment horizontal="center" vertical="center" wrapText="1"/>
    </xf>
    <xf numFmtId="10" fontId="34" fillId="0" borderId="11" xfId="0" applyNumberFormat="1" applyFont="1" applyBorder="1" applyAlignment="1" applyProtection="1">
      <alignment horizontal="center" vertical="center" wrapText="1"/>
    </xf>
    <xf numFmtId="10" fontId="0" fillId="0" borderId="0" xfId="3" applyNumberFormat="1" applyFont="1" applyBorder="1" applyAlignment="1" applyProtection="1"/>
    <xf numFmtId="0" fontId="48" fillId="0" borderId="0" xfId="0" applyFont="1" applyAlignment="1" applyProtection="1"/>
    <xf numFmtId="0" fontId="35" fillId="33" borderId="11" xfId="0" applyFont="1" applyFill="1" applyBorder="1" applyAlignment="1" applyProtection="1">
      <alignment horizontal="right" vertical="center" wrapText="1"/>
    </xf>
    <xf numFmtId="10" fontId="35" fillId="33" borderId="43" xfId="0" applyNumberFormat="1" applyFont="1" applyFill="1" applyBorder="1" applyAlignment="1" applyProtection="1">
      <alignment horizontal="center" vertical="center" wrapText="1"/>
    </xf>
    <xf numFmtId="10" fontId="35" fillId="33" borderId="12" xfId="0" applyNumberFormat="1" applyFont="1" applyFill="1" applyBorder="1" applyAlignment="1" applyProtection="1">
      <alignment horizontal="center" vertical="center" wrapText="1"/>
    </xf>
    <xf numFmtId="0" fontId="34" fillId="0" borderId="23" xfId="0" applyFont="1" applyBorder="1" applyAlignment="1" applyProtection="1">
      <alignment horizontal="left" vertical="center"/>
    </xf>
    <xf numFmtId="164" fontId="21" fillId="34" borderId="19" xfId="2" applyFont="1" applyFill="1" applyBorder="1" applyAlignment="1" applyProtection="1">
      <alignment horizontal="center" vertical="center"/>
    </xf>
    <xf numFmtId="0" fontId="62" fillId="35" borderId="12" xfId="0" applyFont="1" applyFill="1" applyBorder="1" applyAlignment="1" applyProtection="1">
      <alignment horizontal="right" vertical="center"/>
    </xf>
    <xf numFmtId="0" fontId="62" fillId="35" borderId="22" xfId="0" applyFont="1" applyFill="1" applyBorder="1" applyAlignment="1" applyProtection="1">
      <alignment vertical="center"/>
    </xf>
    <xf numFmtId="0" fontId="62" fillId="35" borderId="40" xfId="0" applyFont="1" applyFill="1" applyBorder="1" applyAlignment="1">
      <alignment vertical="center"/>
    </xf>
    <xf numFmtId="0" fontId="62" fillId="35" borderId="19" xfId="0" applyFont="1" applyFill="1" applyBorder="1" applyAlignment="1">
      <alignment vertical="center"/>
    </xf>
    <xf numFmtId="0" fontId="19" fillId="25" borderId="12" xfId="0" applyFont="1" applyFill="1" applyBorder="1" applyAlignment="1" applyProtection="1">
      <alignment horizontal="center" vertical="center" wrapText="1"/>
    </xf>
    <xf numFmtId="0" fontId="21" fillId="0" borderId="14" xfId="0" applyFont="1" applyBorder="1" applyAlignment="1" applyProtection="1">
      <alignment horizontal="center" vertical="center" wrapText="1"/>
    </xf>
    <xf numFmtId="0" fontId="19" fillId="0" borderId="10" xfId="0" applyFont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center" vertical="center"/>
    </xf>
    <xf numFmtId="0" fontId="19" fillId="24" borderId="12" xfId="0" applyFont="1" applyFill="1" applyBorder="1" applyAlignment="1" applyProtection="1">
      <alignment horizontal="center" wrapText="1"/>
    </xf>
    <xf numFmtId="0" fontId="19" fillId="0" borderId="13" xfId="0" applyFont="1" applyBorder="1" applyAlignment="1" applyProtection="1">
      <alignment horizontal="center" wrapText="1"/>
    </xf>
    <xf numFmtId="0" fontId="19" fillId="0" borderId="11" xfId="0" applyFont="1" applyBorder="1" applyAlignment="1" applyProtection="1">
      <alignment horizontal="center" wrapText="1"/>
    </xf>
    <xf numFmtId="0" fontId="21" fillId="26" borderId="22" xfId="0" applyFont="1" applyFill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left" vertical="center" wrapText="1"/>
    </xf>
    <xf numFmtId="0" fontId="20" fillId="0" borderId="14" xfId="0" applyFont="1" applyBorder="1" applyAlignment="1" applyProtection="1">
      <alignment horizontal="left" vertical="center" wrapText="1"/>
    </xf>
    <xf numFmtId="0" fontId="10" fillId="0" borderId="21" xfId="0" applyFont="1" applyBorder="1" applyAlignment="1" applyProtection="1">
      <alignment horizontal="left" vertical="center" wrapText="1"/>
    </xf>
    <xf numFmtId="0" fontId="36" fillId="0" borderId="14" xfId="0" applyFont="1" applyBorder="1" applyAlignment="1" applyProtection="1">
      <alignment horizontal="center" vertical="center" wrapText="1"/>
    </xf>
    <xf numFmtId="0" fontId="21" fillId="28" borderId="12" xfId="0" applyFont="1" applyFill="1" applyBorder="1" applyAlignment="1" applyProtection="1">
      <alignment horizontal="center" vertical="center" wrapText="1"/>
    </xf>
    <xf numFmtId="0" fontId="20" fillId="24" borderId="14" xfId="0" applyFont="1" applyFill="1" applyBorder="1" applyAlignment="1" applyProtection="1">
      <alignment horizontal="left" vertical="center" wrapText="1"/>
    </xf>
    <xf numFmtId="0" fontId="10" fillId="0" borderId="14" xfId="0" applyFont="1" applyBorder="1" applyAlignment="1" applyProtection="1">
      <alignment horizontal="left" vertical="top" wrapText="1"/>
    </xf>
    <xf numFmtId="0" fontId="37" fillId="0" borderId="14" xfId="0" applyFont="1" applyBorder="1" applyAlignment="1" applyProtection="1">
      <alignment horizontal="center" vertical="center" wrapText="1"/>
    </xf>
    <xf numFmtId="164" fontId="50" fillId="0" borderId="14" xfId="0" applyNumberFormat="1" applyFont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left" vertical="center" wrapText="1"/>
    </xf>
    <xf numFmtId="0" fontId="37" fillId="0" borderId="20" xfId="0" applyFont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 wrapText="1"/>
    </xf>
    <xf numFmtId="0" fontId="35" fillId="24" borderId="14" xfId="0" applyFont="1" applyFill="1" applyBorder="1" applyAlignment="1" applyProtection="1">
      <alignment horizontal="left" vertical="center" wrapText="1"/>
    </xf>
    <xf numFmtId="167" fontId="36" fillId="0" borderId="14" xfId="0" applyNumberFormat="1" applyFont="1" applyBorder="1" applyAlignment="1" applyProtection="1">
      <alignment horizontal="center" vertical="center"/>
    </xf>
    <xf numFmtId="0" fontId="36" fillId="0" borderId="14" xfId="0" applyFont="1" applyBorder="1" applyAlignment="1" applyProtection="1">
      <alignment horizontal="center" vertical="center"/>
    </xf>
    <xf numFmtId="0" fontId="37" fillId="0" borderId="14" xfId="0" applyFont="1" applyBorder="1" applyAlignment="1" applyProtection="1">
      <alignment horizontal="center" vertical="center"/>
    </xf>
    <xf numFmtId="0" fontId="38" fillId="0" borderId="14" xfId="0" applyFont="1" applyBorder="1" applyAlignment="1" applyProtection="1">
      <alignment horizontal="center" vertical="center" wrapText="1"/>
    </xf>
    <xf numFmtId="1" fontId="36" fillId="0" borderId="14" xfId="0" applyNumberFormat="1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center" vertical="center"/>
    </xf>
    <xf numFmtId="0" fontId="21" fillId="0" borderId="0" xfId="0" applyFont="1" applyBorder="1" applyAlignment="1" applyProtection="1">
      <alignment horizontal="center" vertical="center"/>
    </xf>
    <xf numFmtId="0" fontId="33" fillId="0" borderId="0" xfId="0" applyFont="1" applyBorder="1" applyAlignment="1" applyProtection="1">
      <alignment horizontal="center" vertical="center"/>
    </xf>
    <xf numFmtId="0" fontId="21" fillId="26" borderId="0" xfId="0" applyFont="1" applyFill="1" applyBorder="1" applyAlignment="1" applyProtection="1">
      <alignment horizontal="center" vertical="center"/>
    </xf>
    <xf numFmtId="0" fontId="52" fillId="0" borderId="0" xfId="0" applyFont="1" applyBorder="1" applyAlignment="1" applyProtection="1">
      <alignment horizontal="center" vertical="center"/>
    </xf>
    <xf numFmtId="0" fontId="21" fillId="25" borderId="16" xfId="0" applyFont="1" applyFill="1" applyBorder="1" applyAlignment="1" applyProtection="1">
      <alignment horizontal="center" vertical="center"/>
    </xf>
    <xf numFmtId="0" fontId="55" fillId="0" borderId="30" xfId="0" applyFont="1" applyBorder="1" applyAlignment="1" applyProtection="1">
      <alignment horizontal="left" vertical="center" wrapText="1"/>
    </xf>
    <xf numFmtId="0" fontId="55" fillId="0" borderId="35" xfId="0" applyFont="1" applyBorder="1" applyAlignment="1" applyProtection="1">
      <alignment horizontal="left" vertical="center" wrapText="1"/>
    </xf>
    <xf numFmtId="0" fontId="21" fillId="24" borderId="12" xfId="0" applyFont="1" applyFill="1" applyBorder="1" applyAlignment="1" applyProtection="1">
      <alignment horizontal="center" vertical="center" wrapText="1"/>
    </xf>
    <xf numFmtId="0" fontId="55" fillId="0" borderId="26" xfId="0" applyFont="1" applyBorder="1" applyAlignment="1" applyProtection="1">
      <alignment horizontal="left" vertical="center" wrapText="1"/>
    </xf>
    <xf numFmtId="0" fontId="21" fillId="0" borderId="12" xfId="0" applyFont="1" applyBorder="1" applyAlignment="1" applyProtection="1">
      <alignment horizontal="center" vertical="center" wrapText="1"/>
    </xf>
    <xf numFmtId="0" fontId="53" fillId="0" borderId="12" xfId="0" applyFont="1" applyBorder="1" applyAlignment="1" applyProtection="1">
      <alignment horizontal="center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0" fontId="21" fillId="0" borderId="24" xfId="0" applyFont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center"/>
    </xf>
    <xf numFmtId="0" fontId="58" fillId="0" borderId="10" xfId="0" applyFont="1" applyBorder="1" applyAlignment="1" applyProtection="1">
      <alignment horizontal="center" vertical="center"/>
    </xf>
    <xf numFmtId="0" fontId="20" fillId="0" borderId="41" xfId="0" applyFont="1" applyBorder="1" applyAlignment="1" applyProtection="1">
      <alignment horizontal="center" vertical="center" wrapText="1"/>
    </xf>
    <xf numFmtId="0" fontId="20" fillId="0" borderId="22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left" wrapText="1"/>
    </xf>
    <xf numFmtId="10" fontId="34" fillId="0" borderId="12" xfId="0" applyNumberFormat="1" applyFont="1" applyBorder="1" applyAlignment="1" applyProtection="1">
      <alignment horizontal="center" vertical="center" wrapText="1"/>
    </xf>
    <xf numFmtId="10" fontId="36" fillId="33" borderId="12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/>
    </xf>
    <xf numFmtId="0" fontId="35" fillId="32" borderId="12" xfId="0" applyFont="1" applyFill="1" applyBorder="1" applyAlignment="1" applyProtection="1">
      <alignment horizontal="center" vertical="center" wrapText="1"/>
    </xf>
  </cellXfs>
  <cellStyles count="70">
    <cellStyle name="20% - Ênfase1 2" xfId="4"/>
    <cellStyle name="20% - Ênfase2 2" xfId="5"/>
    <cellStyle name="20% - Ênfase3 2" xfId="6"/>
    <cellStyle name="20% - Ênfase4 2" xfId="7"/>
    <cellStyle name="20% - Ênfase5 2" xfId="8"/>
    <cellStyle name="20% - Ênfase6 2" xfId="9"/>
    <cellStyle name="40% - Ênfase1 2" xfId="10"/>
    <cellStyle name="40% - Ênfase2 2" xfId="11"/>
    <cellStyle name="40% - Ênfase3 2" xfId="12"/>
    <cellStyle name="40% - Ênfase4 2" xfId="13"/>
    <cellStyle name="40% - Ênfase5 2" xfId="14"/>
    <cellStyle name="40% - Ênfase6 2" xfId="15"/>
    <cellStyle name="60% - Ênfase1 2" xfId="16"/>
    <cellStyle name="60% - Ênfase2 2" xfId="17"/>
    <cellStyle name="60% - Ênfase3 2" xfId="18"/>
    <cellStyle name="60% - Ênfase4 2" xfId="19"/>
    <cellStyle name="60% - Ênfase5 2" xfId="20"/>
    <cellStyle name="60% - Ênfase6 2" xfId="21"/>
    <cellStyle name="Bom 2" xfId="22"/>
    <cellStyle name="Cálculo 2" xfId="23"/>
    <cellStyle name="Célula de Verificação 2" xfId="24"/>
    <cellStyle name="Célula Vinculada 2" xfId="25"/>
    <cellStyle name="Ênfase1 2" xfId="64"/>
    <cellStyle name="Ênfase2 2" xfId="65"/>
    <cellStyle name="Ênfase3 2" xfId="66"/>
    <cellStyle name="Ênfase4 2" xfId="67"/>
    <cellStyle name="Ênfase5 2" xfId="68"/>
    <cellStyle name="Ênfase6 2" xfId="69"/>
    <cellStyle name="Entrada 2" xfId="26"/>
    <cellStyle name="Incorreto 2" xfId="27"/>
    <cellStyle name="Moeda" xfId="2" builtinId="4"/>
    <cellStyle name="Moeda 13" xfId="28"/>
    <cellStyle name="Moeda 13 2" xfId="29"/>
    <cellStyle name="Moeda 2" xfId="30"/>
    <cellStyle name="Moeda 2 2" xfId="31"/>
    <cellStyle name="Moeda 3" xfId="32"/>
    <cellStyle name="Moeda 3 2" xfId="33"/>
    <cellStyle name="Neutra 2" xfId="34"/>
    <cellStyle name="Normal" xfId="0" builtinId="0"/>
    <cellStyle name="Normal 2" xfId="35"/>
    <cellStyle name="Normal 2 2" xfId="36"/>
    <cellStyle name="Normal 2 2 2" xfId="37"/>
    <cellStyle name="Normal 2 3" xfId="38"/>
    <cellStyle name="Normal 3" xfId="39"/>
    <cellStyle name="Normal 3 2" xfId="40"/>
    <cellStyle name="Normal 3 2 2" xfId="41"/>
    <cellStyle name="Normal 3 3" xfId="42"/>
    <cellStyle name="Nota 2" xfId="43"/>
    <cellStyle name="Nota 2 2" xfId="44"/>
    <cellStyle name="Porcentagem" xfId="3" builtinId="5"/>
    <cellStyle name="Porcentagem 2" xfId="45"/>
    <cellStyle name="Porcentagem 2 2" xfId="46"/>
    <cellStyle name="Porcentagem 2 7" xfId="47"/>
    <cellStyle name="Porcentagem 9 6" xfId="48"/>
    <cellStyle name="Porcentagem 9 6 2" xfId="49"/>
    <cellStyle name="Saída 2" xfId="50"/>
    <cellStyle name="Texto de Aviso 2" xfId="51"/>
    <cellStyle name="Texto Explicativo 2" xfId="52"/>
    <cellStyle name="Título 1 2" xfId="54"/>
    <cellStyle name="Título 2 2" xfId="55"/>
    <cellStyle name="Título 3 2" xfId="56"/>
    <cellStyle name="Título 4 2" xfId="57"/>
    <cellStyle name="Título 5" xfId="58"/>
    <cellStyle name="Total 2" xfId="53"/>
    <cellStyle name="Vírgula" xfId="1" builtinId="3"/>
    <cellStyle name="Vírgula 2" xfId="59"/>
    <cellStyle name="Vírgula 2 2" xfId="60"/>
    <cellStyle name="Vírgula 2 2 2" xfId="61"/>
    <cellStyle name="Vírgula 3" xfId="62"/>
    <cellStyle name="Vírgula 3 2" xfId="6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DDD9C3"/>
      <rgbColor rgb="FFFF00FF"/>
      <rgbColor rgb="FFC6D9F1"/>
      <rgbColor rgb="FF800000"/>
      <rgbColor rgb="FF008000"/>
      <rgbColor rgb="FF000080"/>
      <rgbColor rgb="FFCCCCCC"/>
      <rgbColor rgb="FF800080"/>
      <rgbColor rgb="FF0070C0"/>
      <rgbColor rgb="FFC0C0C0"/>
      <rgbColor rgb="FF808080"/>
      <rgbColor rgb="FF8EB4E3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D9D9D9"/>
      <rgbColor rgb="FFF2F2F2"/>
      <rgbColor rgb="FF800080"/>
      <rgbColor rgb="FF800000"/>
      <rgbColor rgb="FF008080"/>
      <rgbColor rgb="FF0000FF"/>
      <rgbColor rgb="FFB9CDE5"/>
      <rgbColor rgb="FFDCE6F2"/>
      <rgbColor rgb="FFCCFFCC"/>
      <rgbColor rgb="FFFFFF99"/>
      <rgbColor rgb="FF99CCFF"/>
      <rgbColor rgb="FFFF99CC"/>
      <rgbColor rgb="FFCC99FF"/>
      <rgbColor rgb="FFFFCC99"/>
      <rgbColor rgb="FF558ED5"/>
      <rgbColor rgb="FF33CCCC"/>
      <rgbColor rgb="FFBFBFBF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85680</xdr:colOff>
      <xdr:row>0</xdr:row>
      <xdr:rowOff>85680</xdr:rowOff>
    </xdr:from>
    <xdr:to>
      <xdr:col>10</xdr:col>
      <xdr:colOff>495000</xdr:colOff>
      <xdr:row>54</xdr:row>
      <xdr:rowOff>28080</xdr:rowOff>
    </xdr:to>
    <xdr:sp macro="" textlink="">
      <xdr:nvSpPr>
        <xdr:cNvPr id="2" name="CaixaDeTexto 1"/>
        <xdr:cNvSpPr/>
      </xdr:nvSpPr>
      <xdr:spPr>
        <a:xfrm>
          <a:off x="85680" y="85680"/>
          <a:ext cx="6524280" cy="86864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wrap="none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Calibri"/>
            </a:rPr>
            <a:t>Memória de Cálculo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TOTAL DO CONTRATO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- Linhas 12 - 13 - 14 - Multiplica as colunas D x E x F = G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- Linha 18 = Total da G15 / 11 meses letivos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PLANILHA DE CUSTOS E FORMAÇÃO DE PREÇOS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Calibri"/>
            </a:rPr>
            <a:t>MOTORISTA: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- Linha 20 = Salário da Categoria (Sindicato)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B = Informar os valores de referência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117  = Valor total do custo com salário X o número de motorista do contrato;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118 = Valor C 117 dividido pelo KM total/mês;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Calibri"/>
            </a:rPr>
            <a:t>MONITOR: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- Linha 20 = Salário da Categoria (Sindicato)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B = Informar os valores de referência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117  = Valor total do custo com salário X o número de motorista do contrato;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C 118 = Valor C117 dividido por 30 dias e dividido pelo KM total/dia;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CUSTO MANUT. VEÍCULO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Coluna: D - Linhas: 10 a 24 = Valor MÊS unitário cotados no mercado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Coluna: E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- Linhas 10 a 12 - Média do veículo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- Linhas 13 a 24 - Obtido pela KM Rodado mês C7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F =  Linhas 10 a 24 - Obtido pela divisão das linhas da coluna D pela E 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= Linhas 10 a 24 - Obtido pela multiplicação da linha da coluna F pela média KM/dia D6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Manutenção de Veiculos = Valor do veículo (FIPE) X 10% (Coeficiente) / nº meses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Depreciação de Veículo - D 14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Valor atual do veículo (fipe) menos 20? X percentual de depreciação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Contribuição Patronal = 40,00 (por veiculo) aa / nº meses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UNIFORMES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= Multiplica pela coluna E X F (Cotado pelo preço médio de mercado)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Coluna G Linha 11 = Total G10 / 11 (meses letivos)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1" u="sng" strike="noStrike" spc="-1">
              <a:solidFill>
                <a:srgbClr val="000000"/>
              </a:solidFill>
              <a:uFillTx/>
              <a:latin typeface="Calibri"/>
            </a:rPr>
            <a:t>Informações Importantes para cálculo de custo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Número de dias letivos por ano = </a:t>
          </a:r>
          <a:r>
            <a:rPr lang="pt-BR" sz="1100" b="1" strike="noStrike" spc="-1">
              <a:solidFill>
                <a:srgbClr val="000000"/>
              </a:solidFill>
              <a:latin typeface="Calibri"/>
            </a:rPr>
            <a:t>200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Número de dias letivos por mês = </a:t>
          </a:r>
          <a:r>
            <a:rPr lang="pt-BR" sz="1100" b="1" strike="noStrike" spc="-1">
              <a:solidFill>
                <a:srgbClr val="000000"/>
              </a:solidFill>
              <a:latin typeface="Calibri"/>
            </a:rPr>
            <a:t>22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Número de meses letivos por ano = </a:t>
          </a:r>
          <a:r>
            <a:rPr lang="pt-BR" sz="1100" b="1" strike="noStrike" spc="-1">
              <a:solidFill>
                <a:srgbClr val="000000"/>
              </a:solidFill>
              <a:latin typeface="Calibri"/>
            </a:rPr>
            <a:t>11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Vida útil para o cálculo de depreciação de ônibus = 15 anos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&gt; Valor residual dos veículos usado para cálculo da depreciação: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                    . Veículos = 20% do valor do veículo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Calibri"/>
            </a:rPr>
            <a:t>                     </a:t>
          </a:r>
          <a:endParaRPr lang="pt-BR" sz="11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100" b="0" strike="noStrike" spc="-1"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EG&#213;ES\2018\VIGIL&#194;NCIA\Regional__IV_VIII%20-%20PE%2088_2018%20(Jo&#227;o%20Orlando)\Planilha%20Regi&#227;o%20IV%20-%20vers&#227;o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ONTRATOS%20VIGIL&#194;NCIA\Vig%20Capital%202&#186;%20Grau_Secretaria%20-%20EQUIP%20SEG\PLANILHAS%20DE%20CUSTOS\03.%20Planilha%20Repact%20CCT%202017%20-%20SEM%20A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roposta Comercial"/>
      <sheetName val="12x36 D"/>
      <sheetName val="12x36 N"/>
      <sheetName val="44h desarm"/>
      <sheetName val="Uniformes"/>
      <sheetName val="Equipamentos"/>
      <sheetName val="CTG"/>
      <sheetName val="ISS e VT"/>
    </sheetNames>
    <sheetDataSet>
      <sheetData sheetId="0"/>
      <sheetData sheetId="1"/>
      <sheetData sheetId="2"/>
      <sheetData sheetId="3"/>
      <sheetData sheetId="4"/>
      <sheetData sheetId="5">
        <row r="14">
          <cell r="H14">
            <v>105.18499999999999</v>
          </cell>
        </row>
        <row r="26">
          <cell r="H26">
            <v>79.184999999999988</v>
          </cell>
        </row>
      </sheetData>
      <sheetData sheetId="6">
        <row r="15">
          <cell r="N15">
            <v>6.8306591216216219</v>
          </cell>
        </row>
        <row r="27">
          <cell r="N27">
            <v>32.040531250000008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Proposta Com."/>
      <sheetName val="Valor mensal por posto"/>
      <sheetName val="QUADRO RESUMO"/>
      <sheetName val="RESUMO"/>
      <sheetName val="Uniformes"/>
      <sheetName val="Mat Uso Comum "/>
      <sheetName val="Equipamentos"/>
      <sheetName val="12x36 D"/>
      <sheetName val="12x36 N"/>
      <sheetName val="12x36 N (des)"/>
      <sheetName val="44horas"/>
      <sheetName val="Seg.Bombeiro"/>
      <sheetName val="Agente Seg"/>
      <sheetName val="Supervisor"/>
      <sheetName val="PROPOSTA COMERCIAL"/>
      <sheetName val="Resumo_Proposta_Com_"/>
      <sheetName val="Valor_mensal_por_posto"/>
      <sheetName val="QUADRO_RESUMO"/>
      <sheetName val="Mat_Uso_Comum_"/>
      <sheetName val="12x36_D"/>
      <sheetName val="12x36_N"/>
      <sheetName val="12x36_N_(des)"/>
      <sheetName val="Seg_Bombeiro"/>
      <sheetName val="Agente_Seg"/>
      <sheetName val="PROPOSTA_COMERCIAL"/>
    </sheetNames>
    <sheetDataSet>
      <sheetData sheetId="0"/>
      <sheetData sheetId="1"/>
      <sheetData sheetId="2"/>
      <sheetData sheetId="3"/>
      <sheetData sheetId="4"/>
      <sheetData sheetId="5">
        <row r="10">
          <cell r="G10">
            <v>4.1111111111111107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0"/>
  <sheetViews>
    <sheetView tabSelected="1" topLeftCell="B4" zoomScaleNormal="100" workbookViewId="0">
      <selection activeCell="E13" sqref="E13"/>
    </sheetView>
  </sheetViews>
  <sheetFormatPr defaultColWidth="9.140625" defaultRowHeight="12.75" x14ac:dyDescent="0.2"/>
  <cols>
    <col min="1" max="1" width="1.42578125" style="1" customWidth="1"/>
    <col min="2" max="2" width="6.140625" style="1" customWidth="1"/>
    <col min="3" max="3" width="30.140625" style="1" customWidth="1"/>
    <col min="4" max="4" width="13.28515625" style="1" customWidth="1"/>
    <col min="5" max="5" width="12.7109375" style="1" customWidth="1"/>
    <col min="6" max="6" width="15" style="1" customWidth="1"/>
    <col min="7" max="7" width="22.42578125" style="1" customWidth="1"/>
    <col min="8" max="8" width="9.140625" style="1"/>
    <col min="9" max="9" width="9.5703125" style="1" customWidth="1"/>
    <col min="10" max="16384" width="9.140625" style="1"/>
  </cols>
  <sheetData>
    <row r="1" spans="2:9" ht="31.5" customHeight="1" x14ac:dyDescent="0.2"/>
    <row r="2" spans="2:9" ht="24.75" customHeight="1" x14ac:dyDescent="0.2">
      <c r="B2" s="240" t="s">
        <v>0</v>
      </c>
      <c r="C2" s="240"/>
      <c r="D2" s="240"/>
      <c r="E2" s="240"/>
      <c r="F2" s="240"/>
      <c r="G2" s="240"/>
    </row>
    <row r="3" spans="2:9" ht="21" customHeight="1" x14ac:dyDescent="0.2">
      <c r="B3" s="241" t="s">
        <v>1</v>
      </c>
      <c r="C3" s="241"/>
      <c r="D3" s="241"/>
      <c r="E3" s="241"/>
      <c r="F3" s="241"/>
      <c r="G3" s="241"/>
    </row>
    <row r="4" spans="2:9" ht="9" customHeight="1" x14ac:dyDescent="0.2">
      <c r="B4" s="2"/>
      <c r="C4" s="2"/>
      <c r="D4" s="2"/>
      <c r="E4" s="2"/>
      <c r="F4" s="2"/>
      <c r="G4" s="2"/>
    </row>
    <row r="5" spans="2:9" ht="21" customHeight="1" x14ac:dyDescent="0.25">
      <c r="B5" s="242" t="s">
        <v>2</v>
      </c>
      <c r="C5" s="242"/>
      <c r="D5" s="242"/>
      <c r="E5" s="242"/>
      <c r="F5" s="242"/>
      <c r="G5" s="242"/>
    </row>
    <row r="6" spans="2:9" ht="22.5" customHeight="1" x14ac:dyDescent="0.25">
      <c r="B6" s="243" t="s">
        <v>3</v>
      </c>
      <c r="C6" s="243"/>
      <c r="D6" s="243"/>
      <c r="E6" s="243"/>
      <c r="F6" s="243"/>
      <c r="G6" s="243"/>
    </row>
    <row r="7" spans="2:9" ht="26.25" customHeight="1" x14ac:dyDescent="0.25">
      <c r="B7" s="244" t="s">
        <v>4</v>
      </c>
      <c r="C7" s="244"/>
      <c r="D7" s="244"/>
      <c r="E7" s="244"/>
      <c r="F7" s="244"/>
      <c r="G7" s="244"/>
    </row>
    <row r="8" spans="2:9" ht="10.5" customHeight="1" x14ac:dyDescent="0.25">
      <c r="B8" s="3"/>
      <c r="C8" s="3"/>
      <c r="D8" s="3"/>
      <c r="E8" s="3"/>
      <c r="F8" s="3"/>
      <c r="G8" s="3"/>
    </row>
    <row r="9" spans="2:9" ht="26.25" customHeight="1" x14ac:dyDescent="0.2">
      <c r="B9" s="238" t="s">
        <v>185</v>
      </c>
      <c r="C9" s="238"/>
      <c r="D9" s="238"/>
      <c r="E9" s="238"/>
      <c r="F9" s="238"/>
      <c r="G9" s="238"/>
    </row>
    <row r="10" spans="2:9" ht="4.5" customHeight="1" x14ac:dyDescent="0.2"/>
    <row r="11" spans="2:9" ht="26.25" customHeight="1" x14ac:dyDescent="0.2">
      <c r="B11" s="239" t="s">
        <v>5</v>
      </c>
      <c r="C11" s="239"/>
      <c r="D11" s="4" t="s">
        <v>6</v>
      </c>
      <c r="E11" s="4" t="s">
        <v>7</v>
      </c>
      <c r="F11" s="4" t="s">
        <v>8</v>
      </c>
      <c r="G11" s="4" t="s">
        <v>9</v>
      </c>
    </row>
    <row r="12" spans="2:9" ht="30" customHeight="1" x14ac:dyDescent="0.25">
      <c r="B12" s="5" t="s">
        <v>10</v>
      </c>
      <c r="C12" s="6" t="s">
        <v>11</v>
      </c>
      <c r="D12" s="7">
        <f>ROUND(MOTORISTA!C118,2)</f>
        <v>2.2999999999999998</v>
      </c>
      <c r="E12" s="8">
        <v>118.5</v>
      </c>
      <c r="F12" s="9">
        <v>200</v>
      </c>
      <c r="G12" s="7">
        <f>SUM(D12*E12*F12)</f>
        <v>54509.999999999993</v>
      </c>
      <c r="I12" s="10"/>
    </row>
    <row r="13" spans="2:9" ht="30" customHeight="1" x14ac:dyDescent="0.25">
      <c r="B13" s="5" t="s">
        <v>12</v>
      </c>
      <c r="C13" s="11" t="s">
        <v>13</v>
      </c>
      <c r="D13" s="7">
        <f>ROUND(Monitor!C118,2)</f>
        <v>4.32</v>
      </c>
      <c r="E13" s="12">
        <f>E12</f>
        <v>118.5</v>
      </c>
      <c r="F13" s="13">
        <f>F12</f>
        <v>200</v>
      </c>
      <c r="G13" s="7">
        <f>SUM(D13*E13*F13)</f>
        <v>102384</v>
      </c>
      <c r="I13" s="10"/>
    </row>
    <row r="14" spans="2:9" ht="27" customHeight="1" x14ac:dyDescent="0.25">
      <c r="B14" s="5" t="s">
        <v>14</v>
      </c>
      <c r="C14" s="11" t="s">
        <v>15</v>
      </c>
      <c r="D14" s="7">
        <f>ROUND('CUSTO MANUT. VEICULO'!F34,2)</f>
        <v>2.7</v>
      </c>
      <c r="E14" s="14">
        <f>E12</f>
        <v>118.5</v>
      </c>
      <c r="F14" s="15">
        <f>F12</f>
        <v>200</v>
      </c>
      <c r="G14" s="7">
        <f>SUM(D14*E14*F14)</f>
        <v>63990.000000000007</v>
      </c>
      <c r="I14" s="10"/>
    </row>
    <row r="15" spans="2:9" ht="8.25" customHeight="1" x14ac:dyDescent="0.2">
      <c r="E15" s="16"/>
      <c r="F15" s="16"/>
    </row>
    <row r="16" spans="2:9" ht="30" customHeight="1" x14ac:dyDescent="0.2">
      <c r="B16" s="17" t="s">
        <v>16</v>
      </c>
      <c r="C16" s="18"/>
      <c r="D16" s="19">
        <f>SUM(D12:D14)</f>
        <v>9.32</v>
      </c>
      <c r="E16" s="20">
        <f>E14</f>
        <v>118.5</v>
      </c>
      <c r="F16" s="21">
        <f>F12</f>
        <v>200</v>
      </c>
      <c r="G16" s="22">
        <f>SUM(G12:G14)</f>
        <v>220884</v>
      </c>
    </row>
    <row r="17" spans="2:7" ht="5.25" customHeight="1" x14ac:dyDescent="0.2"/>
    <row r="18" spans="2:7" ht="27.75" customHeight="1" x14ac:dyDescent="0.2">
      <c r="B18" s="17" t="s">
        <v>17</v>
      </c>
      <c r="C18" s="18"/>
      <c r="D18" s="18"/>
      <c r="E18" s="18"/>
      <c r="F18" s="18"/>
      <c r="G18" s="233">
        <f>SUM(G16/11)</f>
        <v>20080.363636363636</v>
      </c>
    </row>
    <row r="19" spans="2:7" ht="5.25" customHeight="1" thickBot="1" x14ac:dyDescent="0.25"/>
    <row r="20" spans="2:7" ht="27.75" customHeight="1" thickBot="1" x14ac:dyDescent="0.25">
      <c r="B20" s="235" t="s">
        <v>182</v>
      </c>
      <c r="C20" s="236"/>
      <c r="D20" s="236"/>
      <c r="E20" s="236"/>
      <c r="F20" s="237"/>
      <c r="G20" s="234" t="s">
        <v>183</v>
      </c>
    </row>
  </sheetData>
  <mergeCells count="8">
    <mergeCell ref="B20:F20"/>
    <mergeCell ref="B9:G9"/>
    <mergeCell ref="B11:C11"/>
    <mergeCell ref="B2:G2"/>
    <mergeCell ref="B3:G3"/>
    <mergeCell ref="B5:G5"/>
    <mergeCell ref="B6:G6"/>
    <mergeCell ref="B7:G7"/>
  </mergeCells>
  <pageMargins left="0.25" right="0.25" top="0.75" bottom="0.75" header="0.3" footer="0.511811023622047"/>
  <pageSetup paperSize="9" scale="99" orientation="portrait" verticalDpi="300" r:id="rId1"/>
  <headerFooter>
    <oddHeader>&amp;RFls.______
Visto:______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A1:P144"/>
  <sheetViews>
    <sheetView showGridLines="0" zoomScaleNormal="100" zoomScalePageLayoutView="90" workbookViewId="0">
      <selection activeCell="C20" sqref="C20"/>
    </sheetView>
  </sheetViews>
  <sheetFormatPr defaultColWidth="9.140625" defaultRowHeight="12.75" x14ac:dyDescent="0.2"/>
  <cols>
    <col min="1" max="1" width="64.140625" style="23" customWidth="1"/>
    <col min="2" max="2" width="12.140625" style="24" customWidth="1"/>
    <col min="3" max="3" width="19.5703125" style="23" customWidth="1"/>
    <col min="4" max="4" width="4.28515625" style="23" customWidth="1"/>
    <col min="5" max="5" width="17.85546875" style="23" customWidth="1"/>
    <col min="6" max="6" width="10.7109375" style="25" customWidth="1"/>
    <col min="7" max="13" width="10.7109375" style="23" customWidth="1"/>
    <col min="14" max="16384" width="9.140625" style="23"/>
  </cols>
  <sheetData>
    <row r="1" spans="1:16" ht="15.75" customHeight="1" x14ac:dyDescent="0.2">
      <c r="A1" s="264"/>
      <c r="B1" s="264"/>
      <c r="C1" s="264"/>
    </row>
    <row r="2" spans="1:16" ht="18" customHeight="1" x14ac:dyDescent="0.2">
      <c r="A2" s="265" t="s">
        <v>18</v>
      </c>
      <c r="B2" s="265"/>
      <c r="C2" s="265"/>
    </row>
    <row r="3" spans="1:16" ht="21" customHeight="1" x14ac:dyDescent="0.2">
      <c r="A3" s="266" t="s">
        <v>19</v>
      </c>
      <c r="B3" s="266"/>
      <c r="C3" s="266"/>
    </row>
    <row r="4" spans="1:16" ht="24.75" customHeight="1" x14ac:dyDescent="0.2">
      <c r="A4" s="267" t="s">
        <v>20</v>
      </c>
      <c r="B4" s="267"/>
      <c r="C4" s="267"/>
    </row>
    <row r="5" spans="1:16" ht="16.5" customHeight="1" x14ac:dyDescent="0.2">
      <c r="A5" s="268" t="s">
        <v>21</v>
      </c>
      <c r="B5" s="268"/>
      <c r="C5" s="268"/>
    </row>
    <row r="6" spans="1:16" ht="6" customHeight="1" x14ac:dyDescent="0.2">
      <c r="A6" s="26"/>
      <c r="B6" s="27"/>
      <c r="C6" s="27"/>
    </row>
    <row r="7" spans="1:16" ht="15" customHeight="1" x14ac:dyDescent="0.2">
      <c r="A7" s="28" t="s">
        <v>22</v>
      </c>
      <c r="B7" s="28"/>
      <c r="C7" s="28"/>
    </row>
    <row r="8" spans="1:16" ht="4.5" customHeight="1" x14ac:dyDescent="0.2">
      <c r="A8" s="28"/>
      <c r="B8" s="28"/>
      <c r="C8" s="28"/>
    </row>
    <row r="9" spans="1:16" ht="15" customHeight="1" x14ac:dyDescent="0.2">
      <c r="A9" s="29" t="s">
        <v>23</v>
      </c>
      <c r="B9" s="259"/>
      <c r="C9" s="259"/>
    </row>
    <row r="10" spans="1:16" ht="15" customHeight="1" x14ac:dyDescent="0.2">
      <c r="A10" s="29" t="s">
        <v>24</v>
      </c>
      <c r="B10" s="260" t="s">
        <v>25</v>
      </c>
      <c r="C10" s="260"/>
    </row>
    <row r="11" spans="1:16" ht="15" customHeight="1" x14ac:dyDescent="0.2">
      <c r="A11" s="29" t="s">
        <v>26</v>
      </c>
      <c r="B11" s="261" t="s">
        <v>181</v>
      </c>
      <c r="C11" s="261"/>
    </row>
    <row r="12" spans="1:16" ht="15" customHeight="1" x14ac:dyDescent="0.2">
      <c r="A12" s="29" t="s">
        <v>27</v>
      </c>
      <c r="B12" s="262" t="s">
        <v>28</v>
      </c>
      <c r="C12" s="262"/>
    </row>
    <row r="13" spans="1:16" ht="15" customHeight="1" x14ac:dyDescent="0.2">
      <c r="A13" s="29" t="s">
        <v>29</v>
      </c>
      <c r="B13" s="263">
        <v>200</v>
      </c>
      <c r="C13" s="263"/>
    </row>
    <row r="14" spans="1:16" ht="9" customHeight="1" x14ac:dyDescent="0.2">
      <c r="A14" s="30"/>
      <c r="B14" s="31"/>
      <c r="C14" s="31"/>
    </row>
    <row r="15" spans="1:16" ht="15" customHeight="1" x14ac:dyDescent="0.2">
      <c r="A15" s="257" t="s">
        <v>30</v>
      </c>
      <c r="B15" s="257"/>
      <c r="C15" s="257"/>
    </row>
    <row r="16" spans="1:16" ht="15" customHeight="1" x14ac:dyDescent="0.2">
      <c r="A16" s="257"/>
      <c r="B16" s="257"/>
      <c r="C16" s="257"/>
      <c r="P16" s="33"/>
    </row>
    <row r="17" spans="1:6" ht="8.25" customHeight="1" x14ac:dyDescent="0.2">
      <c r="A17" s="32"/>
      <c r="B17" s="32"/>
      <c r="C17" s="32"/>
    </row>
    <row r="18" spans="1:6" ht="15" customHeight="1" x14ac:dyDescent="0.2">
      <c r="A18" s="27" t="s">
        <v>31</v>
      </c>
      <c r="B18" s="27"/>
      <c r="C18" s="34"/>
    </row>
    <row r="19" spans="1:6" ht="15" customHeight="1" x14ac:dyDescent="0.2">
      <c r="A19" s="35" t="s">
        <v>32</v>
      </c>
      <c r="B19" s="36"/>
      <c r="C19" s="37"/>
      <c r="E19" s="38"/>
    </row>
    <row r="20" spans="1:6" ht="15" customHeight="1" x14ac:dyDescent="0.2">
      <c r="A20" s="39" t="s">
        <v>184</v>
      </c>
      <c r="B20" s="40"/>
      <c r="C20" s="41">
        <v>2017.58</v>
      </c>
    </row>
    <row r="21" spans="1:6" ht="15" customHeight="1" x14ac:dyDescent="0.2">
      <c r="A21" s="39" t="s">
        <v>33</v>
      </c>
      <c r="B21" s="42"/>
      <c r="C21" s="41"/>
      <c r="D21" s="43"/>
    </row>
    <row r="22" spans="1:6" s="43" customFormat="1" ht="15" customHeight="1" x14ac:dyDescent="0.2">
      <c r="A22" s="44" t="s">
        <v>34</v>
      </c>
      <c r="B22" s="45"/>
      <c r="C22" s="46">
        <f>SUM(C20:C21)</f>
        <v>2017.58</v>
      </c>
      <c r="F22" s="47"/>
    </row>
    <row r="23" spans="1:6" ht="6.75" customHeight="1" x14ac:dyDescent="0.2">
      <c r="A23" s="48"/>
      <c r="B23" s="49"/>
      <c r="C23" s="50"/>
    </row>
    <row r="24" spans="1:6" ht="15" customHeight="1" x14ac:dyDescent="0.2">
      <c r="A24" s="51" t="s">
        <v>35</v>
      </c>
      <c r="B24" s="52"/>
      <c r="C24" s="50"/>
    </row>
    <row r="25" spans="1:6" ht="15" customHeight="1" x14ac:dyDescent="0.2">
      <c r="A25" s="53" t="s">
        <v>36</v>
      </c>
      <c r="B25" s="53"/>
      <c r="C25" s="53"/>
    </row>
    <row r="26" spans="1:6" ht="15" customHeight="1" x14ac:dyDescent="0.2">
      <c r="A26" s="54" t="s">
        <v>37</v>
      </c>
      <c r="B26" s="55">
        <v>9.0899999999999995E-2</v>
      </c>
      <c r="C26" s="56">
        <f>$C$22*B26</f>
        <v>183.39802199999997</v>
      </c>
    </row>
    <row r="27" spans="1:6" ht="15" customHeight="1" x14ac:dyDescent="0.2">
      <c r="A27" s="54" t="s">
        <v>38</v>
      </c>
      <c r="B27" s="57">
        <v>9.0899999999999995E-2</v>
      </c>
      <c r="C27" s="56">
        <f>$C$22*B27</f>
        <v>183.39802199999997</v>
      </c>
      <c r="E27" s="58"/>
    </row>
    <row r="28" spans="1:6" ht="15" customHeight="1" x14ac:dyDescent="0.2">
      <c r="A28" s="54" t="s">
        <v>39</v>
      </c>
      <c r="B28" s="57">
        <v>3.0300000000000001E-2</v>
      </c>
      <c r="C28" s="56">
        <f>$C$22*B28</f>
        <v>61.132674000000002</v>
      </c>
    </row>
    <row r="29" spans="1:6" ht="15" customHeight="1" x14ac:dyDescent="0.2">
      <c r="A29" s="59" t="s">
        <v>40</v>
      </c>
      <c r="B29" s="60">
        <f>SUM(B26:B28)</f>
        <v>0.21209999999999998</v>
      </c>
      <c r="C29" s="61">
        <f>SUM(C26:C28)</f>
        <v>427.92871799999995</v>
      </c>
    </row>
    <row r="30" spans="1:6" ht="15" customHeight="1" x14ac:dyDescent="0.2">
      <c r="A30" s="54" t="s">
        <v>41</v>
      </c>
      <c r="B30" s="55">
        <f>+B29*B43</f>
        <v>7.8052800000000006E-2</v>
      </c>
      <c r="C30" s="56">
        <f>$C$22*B30</f>
        <v>157.47776822400002</v>
      </c>
    </row>
    <row r="31" spans="1:6" ht="15" customHeight="1" x14ac:dyDescent="0.2">
      <c r="A31" s="54" t="s">
        <v>42</v>
      </c>
      <c r="B31" s="62">
        <v>3.4700000000000002E-2</v>
      </c>
      <c r="C31" s="56">
        <f>$C$22*B31</f>
        <v>70.010025999999996</v>
      </c>
      <c r="E31" s="63"/>
    </row>
    <row r="32" spans="1:6" x14ac:dyDescent="0.2">
      <c r="A32" s="44" t="s">
        <v>43</v>
      </c>
      <c r="B32" s="60">
        <f>B30+B29+B31</f>
        <v>0.3248528</v>
      </c>
      <c r="C32" s="61">
        <f>C30+C29+C31</f>
        <v>655.41651222400003</v>
      </c>
    </row>
    <row r="33" spans="1:5" ht="4.5" customHeight="1" x14ac:dyDescent="0.2">
      <c r="A33" s="64"/>
      <c r="B33" s="64"/>
      <c r="C33" s="64"/>
    </row>
    <row r="34" spans="1:5" ht="31.5" customHeight="1" x14ac:dyDescent="0.2">
      <c r="A34" s="35" t="s">
        <v>44</v>
      </c>
      <c r="B34" s="37" t="s">
        <v>45</v>
      </c>
      <c r="C34" s="37" t="s">
        <v>46</v>
      </c>
    </row>
    <row r="35" spans="1:5" ht="15" customHeight="1" x14ac:dyDescent="0.2">
      <c r="A35" s="65" t="s">
        <v>47</v>
      </c>
      <c r="B35" s="57">
        <v>0.2</v>
      </c>
      <c r="C35" s="66">
        <f t="shared" ref="C35:C42" si="0">$C$22*B35</f>
        <v>403.51600000000002</v>
      </c>
    </row>
    <row r="36" spans="1:5" ht="15" customHeight="1" x14ac:dyDescent="0.2">
      <c r="A36" s="65" t="s">
        <v>48</v>
      </c>
      <c r="B36" s="57">
        <v>2.5000000000000001E-2</v>
      </c>
      <c r="C36" s="66">
        <f t="shared" si="0"/>
        <v>50.439500000000002</v>
      </c>
      <c r="E36" s="67"/>
    </row>
    <row r="37" spans="1:5" ht="15" customHeight="1" x14ac:dyDescent="0.2">
      <c r="A37" s="65" t="s">
        <v>49</v>
      </c>
      <c r="B37" s="57">
        <v>0.03</v>
      </c>
      <c r="C37" s="66">
        <f t="shared" si="0"/>
        <v>60.527399999999993</v>
      </c>
      <c r="E37" s="67"/>
    </row>
    <row r="38" spans="1:5" ht="15" customHeight="1" x14ac:dyDescent="0.2">
      <c r="A38" s="65" t="s">
        <v>50</v>
      </c>
      <c r="B38" s="57">
        <v>1.4999999999999999E-2</v>
      </c>
      <c r="C38" s="66">
        <f t="shared" si="0"/>
        <v>30.263699999999996</v>
      </c>
    </row>
    <row r="39" spans="1:5" ht="15" customHeight="1" x14ac:dyDescent="0.2">
      <c r="A39" s="65" t="s">
        <v>51</v>
      </c>
      <c r="B39" s="57">
        <v>0.01</v>
      </c>
      <c r="C39" s="66">
        <f t="shared" si="0"/>
        <v>20.175799999999999</v>
      </c>
    </row>
    <row r="40" spans="1:5" ht="15" customHeight="1" x14ac:dyDescent="0.2">
      <c r="A40" s="65" t="s">
        <v>52</v>
      </c>
      <c r="B40" s="57">
        <v>6.0000000000000001E-3</v>
      </c>
      <c r="C40" s="66">
        <f t="shared" si="0"/>
        <v>12.10548</v>
      </c>
    </row>
    <row r="41" spans="1:5" ht="15" customHeight="1" x14ac:dyDescent="0.2">
      <c r="A41" s="65" t="s">
        <v>53</v>
      </c>
      <c r="B41" s="57">
        <v>2E-3</v>
      </c>
      <c r="C41" s="66">
        <f t="shared" si="0"/>
        <v>4.0351600000000003</v>
      </c>
    </row>
    <row r="42" spans="1:5" ht="15" customHeight="1" x14ac:dyDescent="0.2">
      <c r="A42" s="65" t="s">
        <v>54</v>
      </c>
      <c r="B42" s="57">
        <v>0.08</v>
      </c>
      <c r="C42" s="66">
        <f t="shared" si="0"/>
        <v>161.40639999999999</v>
      </c>
    </row>
    <row r="43" spans="1:5" x14ac:dyDescent="0.2">
      <c r="A43" s="44" t="s">
        <v>55</v>
      </c>
      <c r="B43" s="68">
        <f>SUM(B35:B42)</f>
        <v>0.36800000000000005</v>
      </c>
      <c r="C43" s="69">
        <f>SUM(C35:C42)</f>
        <v>742.46943999999985</v>
      </c>
    </row>
    <row r="44" spans="1:5" ht="7.5" customHeight="1" x14ac:dyDescent="0.2">
      <c r="A44" s="64"/>
      <c r="B44" s="64"/>
      <c r="C44" s="64"/>
    </row>
    <row r="45" spans="1:5" ht="15" customHeight="1" x14ac:dyDescent="0.2">
      <c r="A45" s="258" t="s">
        <v>56</v>
      </c>
      <c r="B45" s="258"/>
      <c r="C45" s="258"/>
    </row>
    <row r="46" spans="1:5" ht="15" customHeight="1" x14ac:dyDescent="0.2">
      <c r="A46" s="70" t="s">
        <v>57</v>
      </c>
      <c r="B46" s="69">
        <v>2.75</v>
      </c>
      <c r="C46" s="41">
        <f>(B46*22*2)-C20*0.06</f>
        <v>-5.4799999999985971E-2</v>
      </c>
      <c r="E46" s="71"/>
    </row>
    <row r="47" spans="1:5" ht="15" customHeight="1" x14ac:dyDescent="0.2">
      <c r="A47" s="70" t="s">
        <v>58</v>
      </c>
      <c r="B47" s="41">
        <v>620</v>
      </c>
      <c r="C47" s="41">
        <f>+B47*(1-10%)</f>
        <v>558</v>
      </c>
    </row>
    <row r="48" spans="1:5" ht="15" customHeight="1" x14ac:dyDescent="0.2">
      <c r="A48" s="70" t="s">
        <v>59</v>
      </c>
      <c r="B48" s="41">
        <v>620</v>
      </c>
      <c r="C48" s="41">
        <f>+B48/12*(1-10%)</f>
        <v>46.5</v>
      </c>
    </row>
    <row r="49" spans="1:4" ht="15" customHeight="1" x14ac:dyDescent="0.2">
      <c r="A49" s="72" t="s">
        <v>60</v>
      </c>
      <c r="B49" s="73"/>
      <c r="C49" s="69">
        <v>0</v>
      </c>
    </row>
    <row r="50" spans="1:4" ht="15" customHeight="1" x14ac:dyDescent="0.2">
      <c r="A50" s="74" t="s">
        <v>61</v>
      </c>
      <c r="B50" s="73"/>
      <c r="C50" s="69">
        <v>315.20999999999998</v>
      </c>
    </row>
    <row r="51" spans="1:4" ht="15" customHeight="1" x14ac:dyDescent="0.2">
      <c r="A51" s="74" t="s">
        <v>62</v>
      </c>
      <c r="B51" s="75">
        <f>SUM(C20*2%)</f>
        <v>40.351599999999998</v>
      </c>
      <c r="C51" s="69">
        <f>-B51</f>
        <v>-40.351599999999998</v>
      </c>
    </row>
    <row r="52" spans="1:4" ht="15" customHeight="1" x14ac:dyDescent="0.2">
      <c r="A52" s="70" t="s">
        <v>63</v>
      </c>
      <c r="B52" s="41">
        <v>3636</v>
      </c>
      <c r="C52" s="41">
        <f>SUM(B52/12)</f>
        <v>303</v>
      </c>
    </row>
    <row r="53" spans="1:4" x14ac:dyDescent="0.2">
      <c r="A53" s="44" t="s">
        <v>55</v>
      </c>
      <c r="B53" s="73"/>
      <c r="C53" s="69">
        <f>SUM(C46:C52)</f>
        <v>1182.3036</v>
      </c>
    </row>
    <row r="54" spans="1:4" ht="6" customHeight="1" x14ac:dyDescent="0.2">
      <c r="A54" s="64"/>
      <c r="B54" s="64"/>
      <c r="C54" s="64"/>
    </row>
    <row r="55" spans="1:4" ht="15" customHeight="1" x14ac:dyDescent="0.2">
      <c r="A55" s="76" t="s">
        <v>64</v>
      </c>
      <c r="B55" s="77"/>
      <c r="C55" s="37" t="s">
        <v>46</v>
      </c>
    </row>
    <row r="56" spans="1:4" ht="15" customHeight="1" x14ac:dyDescent="0.2">
      <c r="A56" s="78" t="s">
        <v>36</v>
      </c>
      <c r="B56" s="79"/>
      <c r="C56" s="80">
        <f>+C32</f>
        <v>655.41651222400003</v>
      </c>
    </row>
    <row r="57" spans="1:4" ht="15" customHeight="1" x14ac:dyDescent="0.2">
      <c r="A57" s="74" t="s">
        <v>65</v>
      </c>
      <c r="B57" s="81"/>
      <c r="C57" s="82">
        <f>+C43</f>
        <v>742.46943999999985</v>
      </c>
    </row>
    <row r="58" spans="1:4" ht="15" customHeight="1" x14ac:dyDescent="0.2">
      <c r="A58" s="39" t="s">
        <v>56</v>
      </c>
      <c r="B58" s="79"/>
      <c r="C58" s="82">
        <f>+C53</f>
        <v>1182.3036</v>
      </c>
      <c r="D58" s="83"/>
    </row>
    <row r="59" spans="1:4" x14ac:dyDescent="0.2">
      <c r="A59" s="44" t="s">
        <v>55</v>
      </c>
      <c r="B59" s="84"/>
      <c r="C59" s="80">
        <f>SUM(C56:C58)</f>
        <v>2580.1895522240002</v>
      </c>
    </row>
    <row r="60" spans="1:4" ht="6.75" customHeight="1" x14ac:dyDescent="0.2">
      <c r="A60" s="85"/>
      <c r="B60" s="85"/>
      <c r="C60" s="85"/>
    </row>
    <row r="61" spans="1:4" ht="15" customHeight="1" x14ac:dyDescent="0.2">
      <c r="A61" s="85" t="s">
        <v>66</v>
      </c>
      <c r="B61" s="85"/>
      <c r="C61" s="85"/>
    </row>
    <row r="62" spans="1:4" ht="15" customHeight="1" x14ac:dyDescent="0.2">
      <c r="A62" s="86" t="s">
        <v>67</v>
      </c>
      <c r="B62" s="37" t="s">
        <v>45</v>
      </c>
      <c r="C62" s="37" t="s">
        <v>46</v>
      </c>
    </row>
    <row r="63" spans="1:4" ht="15" customHeight="1" x14ac:dyDescent="0.2">
      <c r="A63" s="65" t="s">
        <v>68</v>
      </c>
      <c r="B63" s="57">
        <f>(((1+1/12*1+(1/12*1+1/3*1/12*1))*0.05)/12)+(((1/30*3)*1)*0.95)/12</f>
        <v>1.2893518518518519E-2</v>
      </c>
      <c r="C63" s="66">
        <f>$C$22*B63</f>
        <v>26.013705092592595</v>
      </c>
    </row>
    <row r="64" spans="1:4" ht="15" customHeight="1" x14ac:dyDescent="0.2">
      <c r="A64" s="65" t="s">
        <v>69</v>
      </c>
      <c r="B64" s="57">
        <f>0.08*B63</f>
        <v>1.0314814814814815E-3</v>
      </c>
      <c r="C64" s="66">
        <f>$C$22*B64</f>
        <v>2.0810964074074074</v>
      </c>
    </row>
    <row r="65" spans="1:6" ht="15" customHeight="1" x14ac:dyDescent="0.2">
      <c r="A65" s="54" t="s">
        <v>70</v>
      </c>
      <c r="B65" s="57">
        <f>0.08*0.4*B63</f>
        <v>4.1259259259259265E-4</v>
      </c>
      <c r="C65" s="66">
        <f>$C$22*B65</f>
        <v>0.83243856296296304</v>
      </c>
    </row>
    <row r="66" spans="1:6" ht="15" customHeight="1" x14ac:dyDescent="0.2">
      <c r="A66" s="54" t="s">
        <v>71</v>
      </c>
      <c r="B66" s="57">
        <f>((7/30)/12)</f>
        <v>1.9444444444444445E-2</v>
      </c>
      <c r="C66" s="56">
        <f>($C$22+C49+C50)*B66</f>
        <v>45.359805555555553</v>
      </c>
      <c r="E66" s="71"/>
      <c r="F66" s="87"/>
    </row>
    <row r="67" spans="1:6" ht="15" customHeight="1" x14ac:dyDescent="0.2">
      <c r="A67" s="54" t="s">
        <v>72</v>
      </c>
      <c r="B67" s="57">
        <f>+B66*B43</f>
        <v>7.1555555555555565E-3</v>
      </c>
      <c r="C67" s="66">
        <f>$C$22*B67</f>
        <v>14.436905777777779</v>
      </c>
    </row>
    <row r="68" spans="1:6" ht="15" customHeight="1" x14ac:dyDescent="0.2">
      <c r="A68" s="54" t="s">
        <v>73</v>
      </c>
      <c r="B68" s="57">
        <f>0.08*0.4*B66</f>
        <v>6.2222222222222225E-4</v>
      </c>
      <c r="C68" s="56">
        <f>+B68*C22</f>
        <v>1.2553831111111111</v>
      </c>
    </row>
    <row r="69" spans="1:6" ht="15" customHeight="1" x14ac:dyDescent="0.2">
      <c r="A69" s="88" t="s">
        <v>43</v>
      </c>
      <c r="B69" s="60">
        <f>SUM(B63:B67)</f>
        <v>4.0937592592592595E-2</v>
      </c>
      <c r="C69" s="89">
        <f>SUM(C63:C68)</f>
        <v>89.979334507407415</v>
      </c>
    </row>
    <row r="70" spans="1:6" ht="6" customHeight="1" x14ac:dyDescent="0.2">
      <c r="A70" s="85"/>
      <c r="B70" s="85"/>
    </row>
    <row r="71" spans="1:6" ht="15" customHeight="1" x14ac:dyDescent="0.2">
      <c r="A71" s="85" t="s">
        <v>74</v>
      </c>
      <c r="B71" s="85"/>
      <c r="C71" s="90">
        <f>+C22+C29+C43+C49+C69+C76+C82</f>
        <v>3343.5185657125921</v>
      </c>
    </row>
    <row r="72" spans="1:6" ht="15" customHeight="1" x14ac:dyDescent="0.2">
      <c r="A72" s="258" t="s">
        <v>75</v>
      </c>
      <c r="B72" s="258"/>
      <c r="C72" s="258"/>
      <c r="E72" s="67"/>
    </row>
    <row r="73" spans="1:6" ht="15" customHeight="1" x14ac:dyDescent="0.2">
      <c r="A73" s="70" t="s">
        <v>76</v>
      </c>
      <c r="B73" s="57">
        <f>(5/30)/12</f>
        <v>1.3888888888888888E-2</v>
      </c>
      <c r="C73" s="41">
        <f>+B73*C71</f>
        <v>46.43775785711933</v>
      </c>
    </row>
    <row r="74" spans="1:6" ht="15" customHeight="1" x14ac:dyDescent="0.2">
      <c r="A74" s="70" t="s">
        <v>77</v>
      </c>
      <c r="B74" s="57">
        <f>((5/30)/12)*0.015</f>
        <v>2.0833333333333332E-4</v>
      </c>
      <c r="C74" s="41">
        <f>+B74*C71</f>
        <v>0.69656636785678994</v>
      </c>
    </row>
    <row r="75" spans="1:6" ht="15" customHeight="1" x14ac:dyDescent="0.2">
      <c r="A75" s="70" t="s">
        <v>78</v>
      </c>
      <c r="B75" s="57">
        <f>(15/30)/12*0.0078</f>
        <v>3.2499999999999999E-4</v>
      </c>
      <c r="C75" s="41">
        <f>+B75*C71</f>
        <v>1.0866435338565923</v>
      </c>
    </row>
    <row r="76" spans="1:6" ht="15" customHeight="1" x14ac:dyDescent="0.2">
      <c r="A76" s="70" t="s">
        <v>79</v>
      </c>
      <c r="B76" s="57">
        <f>((1+0.333333333333333)*3.95/12*0.02)/12</f>
        <v>7.3148148148148139E-4</v>
      </c>
      <c r="C76" s="41">
        <f>B76*C22+((C49)*3.95*0.02)/12+(((3.95*C22+3.95/12*C22)*B43+(0)*0.08)*0.02)/12</f>
        <v>6.7710732051851865</v>
      </c>
    </row>
    <row r="77" spans="1:6" ht="15" customHeight="1" x14ac:dyDescent="0.2">
      <c r="A77" s="70" t="s">
        <v>80</v>
      </c>
      <c r="B77" s="57"/>
      <c r="C77" s="41">
        <f>+B77*$C$22</f>
        <v>0</v>
      </c>
    </row>
    <row r="78" spans="1:6" ht="15" customHeight="1" x14ac:dyDescent="0.2">
      <c r="A78" s="88" t="s">
        <v>43</v>
      </c>
      <c r="B78" s="57"/>
      <c r="C78" s="69">
        <f>SUM(C73:C77)</f>
        <v>54.992040964017903</v>
      </c>
    </row>
    <row r="79" spans="1:6" ht="6" customHeight="1" x14ac:dyDescent="0.2">
      <c r="A79" s="91"/>
      <c r="B79" s="85"/>
      <c r="C79" s="85"/>
    </row>
    <row r="80" spans="1:6" ht="15" customHeight="1" x14ac:dyDescent="0.2">
      <c r="A80" s="85" t="s">
        <v>81</v>
      </c>
      <c r="B80" s="92"/>
      <c r="C80" s="93"/>
    </row>
    <row r="81" spans="1:5" ht="15" customHeight="1" x14ac:dyDescent="0.2">
      <c r="A81" s="53" t="s">
        <v>82</v>
      </c>
      <c r="B81" s="77"/>
      <c r="C81" s="37" t="s">
        <v>46</v>
      </c>
    </row>
    <row r="82" spans="1:5" ht="15" customHeight="1" x14ac:dyDescent="0.2">
      <c r="A82" s="70" t="s">
        <v>83</v>
      </c>
      <c r="B82" s="79"/>
      <c r="C82" s="82">
        <f>Uniformes!G10</f>
        <v>58.79</v>
      </c>
    </row>
    <row r="83" spans="1:5" ht="15" customHeight="1" x14ac:dyDescent="0.2">
      <c r="A83" s="94" t="s">
        <v>84</v>
      </c>
      <c r="B83" s="57"/>
      <c r="C83" s="41">
        <v>0</v>
      </c>
    </row>
    <row r="84" spans="1:5" ht="15" customHeight="1" x14ac:dyDescent="0.2">
      <c r="A84" s="88" t="s">
        <v>43</v>
      </c>
      <c r="B84" s="57"/>
      <c r="C84" s="69">
        <f>SUM(C82:C83)</f>
        <v>58.79</v>
      </c>
    </row>
    <row r="85" spans="1:5" ht="8.25" customHeight="1" x14ac:dyDescent="0.2">
      <c r="A85" s="51"/>
      <c r="B85" s="92"/>
      <c r="C85" s="93"/>
    </row>
    <row r="86" spans="1:5" ht="15" customHeight="1" x14ac:dyDescent="0.2">
      <c r="A86" s="85" t="s">
        <v>85</v>
      </c>
      <c r="B86" s="95"/>
      <c r="C86" s="96"/>
    </row>
    <row r="87" spans="1:5" ht="15" customHeight="1" x14ac:dyDescent="0.2">
      <c r="A87" s="76" t="s">
        <v>86</v>
      </c>
      <c r="B87" s="97" t="s">
        <v>45</v>
      </c>
      <c r="C87" s="98" t="s">
        <v>46</v>
      </c>
      <c r="E87" s="99"/>
    </row>
    <row r="88" spans="1:5" ht="18" customHeight="1" x14ac:dyDescent="0.2">
      <c r="A88" s="255" t="s">
        <v>87</v>
      </c>
      <c r="B88" s="255"/>
      <c r="C88" s="254">
        <f>+C84+C78+C69+C59+C22</f>
        <v>4801.5309276954249</v>
      </c>
      <c r="E88" s="99"/>
    </row>
    <row r="89" spans="1:5" ht="21" customHeight="1" x14ac:dyDescent="0.2">
      <c r="A89" s="255"/>
      <c r="B89" s="255"/>
      <c r="C89" s="254"/>
    </row>
    <row r="90" spans="1:5" ht="15" customHeight="1" x14ac:dyDescent="0.2">
      <c r="A90" s="101" t="s">
        <v>88</v>
      </c>
      <c r="B90" s="102">
        <v>0.05</v>
      </c>
      <c r="C90" s="61">
        <f>C88*B90</f>
        <v>240.07654638477126</v>
      </c>
    </row>
    <row r="91" spans="1:5" ht="15" customHeight="1" x14ac:dyDescent="0.2">
      <c r="A91" s="253" t="s">
        <v>89</v>
      </c>
      <c r="B91" s="253"/>
      <c r="C91" s="254">
        <f>C88+C90</f>
        <v>5041.607474080196</v>
      </c>
    </row>
    <row r="92" spans="1:5" ht="15" customHeight="1" x14ac:dyDescent="0.2">
      <c r="A92" s="253"/>
      <c r="B92" s="253"/>
      <c r="C92" s="254"/>
    </row>
    <row r="93" spans="1:5" ht="15" customHeight="1" x14ac:dyDescent="0.2">
      <c r="A93" s="101" t="s">
        <v>90</v>
      </c>
      <c r="B93" s="102">
        <v>0.1</v>
      </c>
      <c r="C93" s="61">
        <f>C91*B93</f>
        <v>504.16074740801963</v>
      </c>
    </row>
    <row r="94" spans="1:5" ht="15" customHeight="1" x14ac:dyDescent="0.2">
      <c r="A94" s="103" t="s">
        <v>91</v>
      </c>
      <c r="B94" s="104"/>
      <c r="C94" s="105"/>
    </row>
    <row r="95" spans="1:5" ht="15" customHeight="1" x14ac:dyDescent="0.2">
      <c r="A95" s="255" t="s">
        <v>92</v>
      </c>
      <c r="B95" s="255"/>
      <c r="C95" s="100">
        <f>+C93+C90+C88</f>
        <v>5545.7682214882161</v>
      </c>
    </row>
    <row r="96" spans="1:5" ht="25.5" customHeight="1" x14ac:dyDescent="0.2">
      <c r="A96" s="255" t="s">
        <v>93</v>
      </c>
      <c r="B96" s="255"/>
      <c r="C96" s="255"/>
    </row>
    <row r="97" spans="1:9" ht="15" customHeight="1" x14ac:dyDescent="0.2">
      <c r="A97" s="106" t="s">
        <v>94</v>
      </c>
      <c r="B97" s="256"/>
      <c r="C97" s="256"/>
      <c r="H97" s="107"/>
      <c r="I97" s="107"/>
    </row>
    <row r="98" spans="1:9" ht="15" customHeight="1" x14ac:dyDescent="0.2">
      <c r="A98" s="106" t="s">
        <v>95</v>
      </c>
      <c r="B98" s="102">
        <v>0.03</v>
      </c>
      <c r="C98" s="89">
        <f>(C95)*B98/(1-(B101))</f>
        <v>180.1548962042734</v>
      </c>
      <c r="E98" s="99"/>
      <c r="H98" s="108"/>
      <c r="I98" s="108"/>
    </row>
    <row r="99" spans="1:9" ht="15" customHeight="1" x14ac:dyDescent="0.2">
      <c r="A99" s="106" t="s">
        <v>96</v>
      </c>
      <c r="B99" s="102">
        <v>6.4999999999999997E-3</v>
      </c>
      <c r="C99" s="89">
        <f>(C95)*B99/(1-(B101))</f>
        <v>39.033560844259235</v>
      </c>
      <c r="H99" s="108"/>
      <c r="I99" s="108"/>
    </row>
    <row r="100" spans="1:9" ht="15" customHeight="1" x14ac:dyDescent="0.2">
      <c r="A100" s="106" t="s">
        <v>97</v>
      </c>
      <c r="B100" s="109">
        <v>0.04</v>
      </c>
      <c r="C100" s="89">
        <f>(C95)*B100/(1-(B101))</f>
        <v>240.20652827236455</v>
      </c>
      <c r="I100" s="108"/>
    </row>
    <row r="101" spans="1:9" ht="15" customHeight="1" x14ac:dyDescent="0.2">
      <c r="A101" s="110" t="s">
        <v>98</v>
      </c>
      <c r="B101" s="111">
        <f>SUM(B98:B100)</f>
        <v>7.6499999999999999E-2</v>
      </c>
      <c r="C101" s="112">
        <f>SUM(C98:C100)</f>
        <v>459.39498532089715</v>
      </c>
    </row>
    <row r="102" spans="1:9" ht="15" customHeight="1" x14ac:dyDescent="0.2">
      <c r="A102" s="249"/>
      <c r="B102" s="249"/>
      <c r="C102" s="249"/>
    </row>
    <row r="103" spans="1:9" ht="15" customHeight="1" x14ac:dyDescent="0.2">
      <c r="A103" s="88" t="s">
        <v>43</v>
      </c>
      <c r="B103" s="113"/>
      <c r="C103" s="89">
        <f>C90+C93+C101</f>
        <v>1203.6322791136881</v>
      </c>
    </row>
    <row r="104" spans="1:9" ht="15" customHeight="1" x14ac:dyDescent="0.2">
      <c r="A104" s="51"/>
      <c r="B104" s="114"/>
      <c r="C104" s="115"/>
    </row>
    <row r="105" spans="1:9" ht="24" customHeight="1" x14ac:dyDescent="0.2">
      <c r="A105" s="250" t="s">
        <v>99</v>
      </c>
      <c r="B105" s="250"/>
      <c r="C105" s="250"/>
    </row>
    <row r="106" spans="1:9" ht="5.25" customHeight="1" x14ac:dyDescent="0.2">
      <c r="A106" s="116"/>
      <c r="B106" s="49"/>
      <c r="C106" s="50"/>
    </row>
    <row r="107" spans="1:9" ht="15" customHeight="1" x14ac:dyDescent="0.2">
      <c r="A107" s="251" t="s">
        <v>100</v>
      </c>
      <c r="B107" s="251"/>
      <c r="C107" s="37" t="s">
        <v>101</v>
      </c>
    </row>
    <row r="108" spans="1:9" ht="15" customHeight="1" x14ac:dyDescent="0.2">
      <c r="A108" s="252" t="s">
        <v>102</v>
      </c>
      <c r="B108" s="252"/>
      <c r="C108" s="117">
        <f>C22</f>
        <v>2017.58</v>
      </c>
    </row>
    <row r="109" spans="1:9" ht="15" customHeight="1" x14ac:dyDescent="0.2">
      <c r="A109" s="246" t="s">
        <v>103</v>
      </c>
      <c r="B109" s="246"/>
      <c r="C109" s="117">
        <f>+C59</f>
        <v>2580.1895522240002</v>
      </c>
    </row>
    <row r="110" spans="1:9" ht="15" customHeight="1" x14ac:dyDescent="0.2">
      <c r="A110" s="246" t="s">
        <v>104</v>
      </c>
      <c r="B110" s="246"/>
      <c r="C110" s="117">
        <f>+C69</f>
        <v>89.979334507407415</v>
      </c>
    </row>
    <row r="111" spans="1:9" ht="15" customHeight="1" x14ac:dyDescent="0.2">
      <c r="A111" s="246" t="s">
        <v>105</v>
      </c>
      <c r="B111" s="246"/>
      <c r="C111" s="117">
        <f>+C78</f>
        <v>54.992040964017903</v>
      </c>
    </row>
    <row r="112" spans="1:9" ht="15" customHeight="1" x14ac:dyDescent="0.2">
      <c r="A112" s="246" t="s">
        <v>106</v>
      </c>
      <c r="B112" s="246"/>
      <c r="C112" s="117">
        <f>+C84</f>
        <v>58.79</v>
      </c>
    </row>
    <row r="113" spans="1:5" ht="15" customHeight="1" x14ac:dyDescent="0.2">
      <c r="A113" s="247" t="s">
        <v>107</v>
      </c>
      <c r="B113" s="247"/>
      <c r="C113" s="118">
        <f>SUM(C108:C112)</f>
        <v>4801.5309276954258</v>
      </c>
    </row>
    <row r="114" spans="1:5" ht="15" customHeight="1" x14ac:dyDescent="0.2">
      <c r="A114" s="248" t="s">
        <v>108</v>
      </c>
      <c r="B114" s="248"/>
      <c r="C114" s="119">
        <f>C103</f>
        <v>1203.6322791136881</v>
      </c>
    </row>
    <row r="115" spans="1:5" ht="18" customHeight="1" x14ac:dyDescent="0.2">
      <c r="A115" s="245" t="s">
        <v>109</v>
      </c>
      <c r="B115" s="245"/>
      <c r="C115" s="120">
        <f>TRUNC(C113+C114,2)</f>
        <v>6005.16</v>
      </c>
      <c r="E115" s="121"/>
    </row>
    <row r="116" spans="1:5" ht="9" customHeight="1" x14ac:dyDescent="0.2">
      <c r="A116" s="122"/>
      <c r="B116" s="123"/>
      <c r="C116" s="124"/>
    </row>
    <row r="117" spans="1:5" ht="21" customHeight="1" x14ac:dyDescent="0.2">
      <c r="A117" s="125" t="s">
        <v>110</v>
      </c>
      <c r="B117" s="126">
        <v>1</v>
      </c>
      <c r="C117" s="127">
        <f>SUM(C115*B117)</f>
        <v>6005.16</v>
      </c>
    </row>
    <row r="118" spans="1:5" ht="20.25" customHeight="1" x14ac:dyDescent="0.2">
      <c r="A118" s="128" t="s">
        <v>111</v>
      </c>
      <c r="B118" s="129" t="s">
        <v>112</v>
      </c>
      <c r="C118" s="130">
        <f>SUM(C117/'CUSTO MANUT. VEICULO'!C7)</f>
        <v>2.3034752589182967</v>
      </c>
    </row>
    <row r="119" spans="1:5" ht="15" customHeight="1" x14ac:dyDescent="0.2">
      <c r="C119" s="99">
        <f>SUM(C117/22/'TOTAL DO CONTRATO'!E12)</f>
        <v>2.3034752589182967</v>
      </c>
    </row>
    <row r="120" spans="1:5" ht="15" customHeight="1" x14ac:dyDescent="0.2"/>
    <row r="121" spans="1:5" ht="15" customHeight="1" x14ac:dyDescent="0.2"/>
    <row r="122" spans="1:5" ht="15" customHeight="1" x14ac:dyDescent="0.2"/>
    <row r="123" spans="1:5" ht="15" customHeight="1" x14ac:dyDescent="0.2"/>
    <row r="124" spans="1:5" ht="15" customHeight="1" x14ac:dyDescent="0.2">
      <c r="A124" s="131"/>
      <c r="B124" s="131"/>
    </row>
    <row r="125" spans="1:5" ht="15" customHeight="1" x14ac:dyDescent="0.2">
      <c r="A125" s="132"/>
      <c r="B125" s="52"/>
    </row>
    <row r="126" spans="1:5" ht="15" customHeight="1" x14ac:dyDescent="0.2">
      <c r="A126" s="132"/>
      <c r="B126" s="52"/>
    </row>
    <row r="127" spans="1:5" ht="15" customHeight="1" x14ac:dyDescent="0.2">
      <c r="A127" s="133"/>
      <c r="B127" s="52"/>
    </row>
    <row r="128" spans="1:5" x14ac:dyDescent="0.2">
      <c r="A128" s="133"/>
      <c r="B128" s="52"/>
    </row>
    <row r="129" spans="1:2" x14ac:dyDescent="0.2">
      <c r="A129" s="133"/>
      <c r="B129" s="52"/>
    </row>
    <row r="130" spans="1:2" x14ac:dyDescent="0.2">
      <c r="A130" s="133"/>
      <c r="B130" s="52"/>
    </row>
    <row r="131" spans="1:2" x14ac:dyDescent="0.2">
      <c r="A131" s="134"/>
      <c r="B131" s="52"/>
    </row>
    <row r="132" spans="1:2" x14ac:dyDescent="0.2">
      <c r="A132" s="133"/>
      <c r="B132" s="52"/>
    </row>
    <row r="133" spans="1:2" x14ac:dyDescent="0.2">
      <c r="A133" s="133"/>
      <c r="B133" s="52"/>
    </row>
    <row r="134" spans="1:2" x14ac:dyDescent="0.2">
      <c r="A134" s="133"/>
      <c r="B134" s="52"/>
    </row>
    <row r="135" spans="1:2" x14ac:dyDescent="0.2">
      <c r="A135" s="133"/>
      <c r="B135" s="52"/>
    </row>
    <row r="136" spans="1:2" x14ac:dyDescent="0.2">
      <c r="A136" s="133"/>
      <c r="B136" s="52"/>
    </row>
    <row r="137" spans="1:2" x14ac:dyDescent="0.2">
      <c r="A137" s="133"/>
      <c r="B137" s="52"/>
    </row>
    <row r="138" spans="1:2" x14ac:dyDescent="0.2">
      <c r="A138" s="133"/>
      <c r="B138" s="52"/>
    </row>
    <row r="139" spans="1:2" x14ac:dyDescent="0.2">
      <c r="A139" s="133"/>
      <c r="B139" s="52"/>
    </row>
    <row r="140" spans="1:2" x14ac:dyDescent="0.2">
      <c r="A140" s="133"/>
      <c r="B140" s="52"/>
    </row>
    <row r="141" spans="1:2" x14ac:dyDescent="0.2">
      <c r="A141" s="135"/>
      <c r="B141" s="49"/>
    </row>
    <row r="142" spans="1:2" x14ac:dyDescent="0.2">
      <c r="A142" s="136"/>
      <c r="B142" s="136"/>
    </row>
    <row r="143" spans="1:2" x14ac:dyDescent="0.2">
      <c r="A143" s="137"/>
      <c r="B143" s="136"/>
    </row>
    <row r="144" spans="1:2" x14ac:dyDescent="0.2">
      <c r="A144" s="137"/>
      <c r="B144" s="136"/>
    </row>
  </sheetData>
  <mergeCells count="31">
    <mergeCell ref="A1:C1"/>
    <mergeCell ref="A2:C2"/>
    <mergeCell ref="A3:C3"/>
    <mergeCell ref="A4:C4"/>
    <mergeCell ref="A5:C5"/>
    <mergeCell ref="B9:C9"/>
    <mergeCell ref="B10:C10"/>
    <mergeCell ref="B11:C11"/>
    <mergeCell ref="B12:C12"/>
    <mergeCell ref="B13:C13"/>
    <mergeCell ref="A15:C16"/>
    <mergeCell ref="A45:C45"/>
    <mergeCell ref="A72:C72"/>
    <mergeCell ref="A88:B89"/>
    <mergeCell ref="C88:C89"/>
    <mergeCell ref="A91:B92"/>
    <mergeCell ref="C91:C92"/>
    <mergeCell ref="A95:B95"/>
    <mergeCell ref="A96:C96"/>
    <mergeCell ref="B97:C97"/>
    <mergeCell ref="A102:C102"/>
    <mergeCell ref="A105:C105"/>
    <mergeCell ref="A107:B107"/>
    <mergeCell ref="A108:B108"/>
    <mergeCell ref="A109:B109"/>
    <mergeCell ref="A115:B115"/>
    <mergeCell ref="A110:B110"/>
    <mergeCell ref="A111:B111"/>
    <mergeCell ref="A112:B112"/>
    <mergeCell ref="A113:B113"/>
    <mergeCell ref="A114:B114"/>
  </mergeCells>
  <printOptions horizontalCentered="1"/>
  <pageMargins left="0.23611111111111099" right="0.23611111111111099" top="0.74861111111111101" bottom="0.74791666666666701" header="0.31527777777777799" footer="0.511811023622047"/>
  <pageSetup paperSize="9" scale="44" orientation="portrait" horizontalDpi="300" verticalDpi="300" r:id="rId1"/>
  <headerFooter>
    <oddHeader>&amp;RFls. ______ 
Visto:______</oddHeader>
  </headerFooter>
  <rowBreaks count="1" manualBreakCount="1">
    <brk id="60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119"/>
  <sheetViews>
    <sheetView topLeftCell="A4" zoomScaleNormal="100" workbookViewId="0">
      <selection activeCell="D20" sqref="D20"/>
    </sheetView>
  </sheetViews>
  <sheetFormatPr defaultColWidth="8.7109375" defaultRowHeight="12.75" x14ac:dyDescent="0.2"/>
  <cols>
    <col min="1" max="1" width="62.5703125" customWidth="1"/>
    <col min="2" max="2" width="12.140625" customWidth="1"/>
    <col min="3" max="3" width="19.5703125" customWidth="1"/>
  </cols>
  <sheetData>
    <row r="1" spans="1:3" ht="8.25" customHeight="1" x14ac:dyDescent="0.2"/>
    <row r="2" spans="1:3" ht="18" x14ac:dyDescent="0.2">
      <c r="A2" s="265" t="s">
        <v>18</v>
      </c>
      <c r="B2" s="265"/>
      <c r="C2" s="265"/>
    </row>
    <row r="3" spans="1:3" ht="15.75" x14ac:dyDescent="0.2">
      <c r="A3" s="266" t="s">
        <v>113</v>
      </c>
      <c r="B3" s="266"/>
      <c r="C3" s="266"/>
    </row>
    <row r="4" spans="1:3" ht="15.75" x14ac:dyDescent="0.2">
      <c r="A4" s="269" t="s">
        <v>114</v>
      </c>
      <c r="B4" s="269"/>
      <c r="C4" s="269"/>
    </row>
    <row r="5" spans="1:3" ht="15.75" x14ac:dyDescent="0.2">
      <c r="A5" s="268" t="s">
        <v>21</v>
      </c>
      <c r="B5" s="268"/>
      <c r="C5" s="268"/>
    </row>
    <row r="6" spans="1:3" ht="6" customHeight="1" x14ac:dyDescent="0.2">
      <c r="A6" s="26"/>
      <c r="B6" s="27"/>
      <c r="C6" s="27"/>
    </row>
    <row r="7" spans="1:3" x14ac:dyDescent="0.2">
      <c r="A7" s="28" t="s">
        <v>22</v>
      </c>
      <c r="B7" s="28"/>
      <c r="C7" s="28"/>
    </row>
    <row r="8" spans="1:3" ht="3.75" customHeight="1" x14ac:dyDescent="0.2">
      <c r="A8" s="28"/>
      <c r="B8" s="28"/>
      <c r="C8" s="28"/>
    </row>
    <row r="9" spans="1:3" x14ac:dyDescent="0.2">
      <c r="A9" s="29" t="s">
        <v>23</v>
      </c>
      <c r="B9" s="260"/>
      <c r="C9" s="260"/>
    </row>
    <row r="10" spans="1:3" x14ac:dyDescent="0.2">
      <c r="A10" s="29" t="s">
        <v>24</v>
      </c>
      <c r="B10" s="260" t="s">
        <v>25</v>
      </c>
      <c r="C10" s="260"/>
    </row>
    <row r="11" spans="1:3" x14ac:dyDescent="0.2">
      <c r="A11" s="29" t="s">
        <v>26</v>
      </c>
      <c r="B11" s="261" t="s">
        <v>181</v>
      </c>
      <c r="C11" s="261"/>
    </row>
    <row r="12" spans="1:3" ht="12.75" customHeight="1" x14ac:dyDescent="0.2">
      <c r="A12" s="29" t="s">
        <v>27</v>
      </c>
      <c r="B12" s="262" t="s">
        <v>115</v>
      </c>
      <c r="C12" s="262"/>
    </row>
    <row r="13" spans="1:3" x14ac:dyDescent="0.2">
      <c r="A13" s="29" t="s">
        <v>29</v>
      </c>
      <c r="B13" s="263">
        <v>200</v>
      </c>
      <c r="C13" s="263"/>
    </row>
    <row r="14" spans="1:3" ht="5.25" customHeight="1" x14ac:dyDescent="0.2">
      <c r="A14" s="30"/>
      <c r="B14" s="31"/>
      <c r="C14" s="31"/>
    </row>
    <row r="15" spans="1:3" ht="12.75" customHeight="1" x14ac:dyDescent="0.2">
      <c r="A15" s="257" t="s">
        <v>30</v>
      </c>
      <c r="B15" s="257"/>
      <c r="C15" s="257"/>
    </row>
    <row r="16" spans="1:3" ht="34.5" customHeight="1" x14ac:dyDescent="0.2">
      <c r="A16" s="257"/>
      <c r="B16" s="257"/>
      <c r="C16" s="257"/>
    </row>
    <row r="17" spans="1:3" ht="4.5" customHeight="1" x14ac:dyDescent="0.2">
      <c r="A17" s="32"/>
      <c r="B17" s="32"/>
      <c r="C17" s="32"/>
    </row>
    <row r="18" spans="1:3" ht="15.75" x14ac:dyDescent="0.2">
      <c r="A18" s="27" t="s">
        <v>31</v>
      </c>
      <c r="B18" s="27"/>
      <c r="C18" s="34"/>
    </row>
    <row r="19" spans="1:3" x14ac:dyDescent="0.2">
      <c r="A19" s="35" t="s">
        <v>32</v>
      </c>
      <c r="B19" s="36"/>
      <c r="C19" s="37"/>
    </row>
    <row r="20" spans="1:3" x14ac:dyDescent="0.2">
      <c r="A20" s="39" t="s">
        <v>184</v>
      </c>
      <c r="B20" s="40"/>
      <c r="C20" s="41">
        <v>1907.44</v>
      </c>
    </row>
    <row r="21" spans="1:3" x14ac:dyDescent="0.2">
      <c r="A21" s="39" t="s">
        <v>116</v>
      </c>
      <c r="B21" s="42"/>
      <c r="C21" s="41"/>
    </row>
    <row r="22" spans="1:3" x14ac:dyDescent="0.2">
      <c r="A22" s="44" t="s">
        <v>34</v>
      </c>
      <c r="B22" s="45"/>
      <c r="C22" s="46">
        <f>SUM(C20:C21)</f>
        <v>1907.44</v>
      </c>
    </row>
    <row r="23" spans="1:3" ht="3.75" customHeight="1" x14ac:dyDescent="0.2">
      <c r="A23" s="48"/>
      <c r="B23" s="49"/>
      <c r="C23" s="50"/>
    </row>
    <row r="24" spans="1:3" x14ac:dyDescent="0.2">
      <c r="A24" s="51" t="s">
        <v>35</v>
      </c>
      <c r="B24" s="52"/>
      <c r="C24" s="50"/>
    </row>
    <row r="25" spans="1:3" x14ac:dyDescent="0.2">
      <c r="A25" s="53" t="s">
        <v>36</v>
      </c>
      <c r="B25" s="53"/>
      <c r="C25" s="53"/>
    </row>
    <row r="26" spans="1:3" x14ac:dyDescent="0.2">
      <c r="A26" s="54" t="s">
        <v>37</v>
      </c>
      <c r="B26" s="55">
        <v>9.0899999999999995E-2</v>
      </c>
      <c r="C26" s="56">
        <f>$C$22*B26</f>
        <v>173.38629599999999</v>
      </c>
    </row>
    <row r="27" spans="1:3" x14ac:dyDescent="0.2">
      <c r="A27" s="54" t="s">
        <v>38</v>
      </c>
      <c r="B27" s="57">
        <v>9.0899999999999995E-2</v>
      </c>
      <c r="C27" s="56">
        <f>$C$22*B27</f>
        <v>173.38629599999999</v>
      </c>
    </row>
    <row r="28" spans="1:3" x14ac:dyDescent="0.2">
      <c r="A28" s="54" t="s">
        <v>39</v>
      </c>
      <c r="B28" s="57">
        <v>3.0300000000000001E-2</v>
      </c>
      <c r="C28" s="56">
        <f>$C$22*B28</f>
        <v>57.795432000000005</v>
      </c>
    </row>
    <row r="29" spans="1:3" x14ac:dyDescent="0.2">
      <c r="A29" s="59" t="s">
        <v>40</v>
      </c>
      <c r="B29" s="60">
        <f>SUM(B26:B28)</f>
        <v>0.21209999999999998</v>
      </c>
      <c r="C29" s="61">
        <f>SUM(C26:C28)</f>
        <v>404.56802399999998</v>
      </c>
    </row>
    <row r="30" spans="1:3" x14ac:dyDescent="0.2">
      <c r="A30" s="54" t="s">
        <v>41</v>
      </c>
      <c r="B30" s="55">
        <f>+B29*B43</f>
        <v>7.8052800000000006E-2</v>
      </c>
      <c r="C30" s="56">
        <f>$C$22*B30</f>
        <v>148.88103283200002</v>
      </c>
    </row>
    <row r="31" spans="1:3" x14ac:dyDescent="0.2">
      <c r="A31" s="54" t="s">
        <v>42</v>
      </c>
      <c r="B31" s="62">
        <v>3.4700000000000002E-2</v>
      </c>
      <c r="C31" s="56">
        <f>$C$22*B31</f>
        <v>66.188168000000005</v>
      </c>
    </row>
    <row r="32" spans="1:3" x14ac:dyDescent="0.2">
      <c r="A32" s="44" t="s">
        <v>43</v>
      </c>
      <c r="B32" s="60">
        <f>B30+B29+B31</f>
        <v>0.3248528</v>
      </c>
      <c r="C32" s="61">
        <f>C30+C29+C31</f>
        <v>619.63722483200002</v>
      </c>
    </row>
    <row r="33" spans="1:3" ht="4.5" customHeight="1" x14ac:dyDescent="0.2">
      <c r="A33" s="64"/>
      <c r="B33" s="64"/>
      <c r="C33" s="64"/>
    </row>
    <row r="34" spans="1:3" ht="25.5" x14ac:dyDescent="0.2">
      <c r="A34" s="35" t="s">
        <v>44</v>
      </c>
      <c r="B34" s="37" t="s">
        <v>45</v>
      </c>
      <c r="C34" s="37" t="s">
        <v>46</v>
      </c>
    </row>
    <row r="35" spans="1:3" x14ac:dyDescent="0.2">
      <c r="A35" s="65" t="s">
        <v>47</v>
      </c>
      <c r="B35" s="57">
        <v>0.2</v>
      </c>
      <c r="C35" s="66">
        <f t="shared" ref="C35:C42" si="0">$C$22*B35</f>
        <v>381.48800000000006</v>
      </c>
    </row>
    <row r="36" spans="1:3" x14ac:dyDescent="0.2">
      <c r="A36" s="65" t="s">
        <v>48</v>
      </c>
      <c r="B36" s="57">
        <v>2.5000000000000001E-2</v>
      </c>
      <c r="C36" s="66">
        <f t="shared" si="0"/>
        <v>47.686000000000007</v>
      </c>
    </row>
    <row r="37" spans="1:3" x14ac:dyDescent="0.2">
      <c r="A37" s="65" t="s">
        <v>49</v>
      </c>
      <c r="B37" s="57">
        <v>0.03</v>
      </c>
      <c r="C37" s="66">
        <f t="shared" si="0"/>
        <v>57.223199999999999</v>
      </c>
    </row>
    <row r="38" spans="1:3" x14ac:dyDescent="0.2">
      <c r="A38" s="65" t="s">
        <v>50</v>
      </c>
      <c r="B38" s="57">
        <v>1.4999999999999999E-2</v>
      </c>
      <c r="C38" s="66">
        <f t="shared" si="0"/>
        <v>28.611599999999999</v>
      </c>
    </row>
    <row r="39" spans="1:3" x14ac:dyDescent="0.2">
      <c r="A39" s="65" t="s">
        <v>51</v>
      </c>
      <c r="B39" s="57">
        <v>0.01</v>
      </c>
      <c r="C39" s="66">
        <f t="shared" si="0"/>
        <v>19.074400000000001</v>
      </c>
    </row>
    <row r="40" spans="1:3" x14ac:dyDescent="0.2">
      <c r="A40" s="65" t="s">
        <v>52</v>
      </c>
      <c r="B40" s="57">
        <v>6.0000000000000001E-3</v>
      </c>
      <c r="C40" s="66">
        <f t="shared" si="0"/>
        <v>11.44464</v>
      </c>
    </row>
    <row r="41" spans="1:3" x14ac:dyDescent="0.2">
      <c r="A41" s="65" t="s">
        <v>53</v>
      </c>
      <c r="B41" s="57">
        <v>2E-3</v>
      </c>
      <c r="C41" s="66">
        <f t="shared" si="0"/>
        <v>3.81488</v>
      </c>
    </row>
    <row r="42" spans="1:3" x14ac:dyDescent="0.2">
      <c r="A42" s="65" t="s">
        <v>54</v>
      </c>
      <c r="B42" s="57">
        <v>0.08</v>
      </c>
      <c r="C42" s="66">
        <f t="shared" si="0"/>
        <v>152.59520000000001</v>
      </c>
    </row>
    <row r="43" spans="1:3" x14ac:dyDescent="0.2">
      <c r="A43" s="44" t="s">
        <v>55</v>
      </c>
      <c r="B43" s="68">
        <f>SUM(B35:B42)</f>
        <v>0.36800000000000005</v>
      </c>
      <c r="C43" s="69">
        <f>SUM(C35:C42)</f>
        <v>701.93792000000008</v>
      </c>
    </row>
    <row r="44" spans="1:3" ht="4.5" customHeight="1" x14ac:dyDescent="0.2">
      <c r="A44" s="64"/>
      <c r="B44" s="64"/>
      <c r="C44" s="64"/>
    </row>
    <row r="45" spans="1:3" ht="12.75" customHeight="1" x14ac:dyDescent="0.2">
      <c r="A45" s="258" t="s">
        <v>56</v>
      </c>
      <c r="B45" s="258"/>
      <c r="C45" s="258"/>
    </row>
    <row r="46" spans="1:3" x14ac:dyDescent="0.2">
      <c r="A46" s="70" t="s">
        <v>57</v>
      </c>
      <c r="B46" s="69">
        <v>2.75</v>
      </c>
      <c r="C46" s="41">
        <f>(B46*22*2)-C20*0.06</f>
        <v>6.553600000000003</v>
      </c>
    </row>
    <row r="47" spans="1:3" x14ac:dyDescent="0.2">
      <c r="A47" s="70" t="s">
        <v>58</v>
      </c>
      <c r="B47" s="41">
        <v>478</v>
      </c>
      <c r="C47" s="41">
        <f>+B47*(1-10%)</f>
        <v>430.2</v>
      </c>
    </row>
    <row r="48" spans="1:3" x14ac:dyDescent="0.2">
      <c r="A48" s="70" t="s">
        <v>117</v>
      </c>
      <c r="B48" s="41">
        <v>478</v>
      </c>
      <c r="C48" s="41">
        <f>+B48/12*(1-10%)</f>
        <v>35.85</v>
      </c>
    </row>
    <row r="49" spans="1:3" x14ac:dyDescent="0.2">
      <c r="A49" s="72" t="s">
        <v>60</v>
      </c>
      <c r="B49" s="73"/>
      <c r="C49" s="69">
        <v>0</v>
      </c>
    </row>
    <row r="50" spans="1:3" x14ac:dyDescent="0.2">
      <c r="A50" s="74" t="s">
        <v>61</v>
      </c>
      <c r="B50" s="73"/>
      <c r="C50" s="69">
        <v>339.16</v>
      </c>
    </row>
    <row r="51" spans="1:3" x14ac:dyDescent="0.2">
      <c r="A51" s="74" t="s">
        <v>62</v>
      </c>
      <c r="B51" s="75">
        <f>SUM(C20*2%)</f>
        <v>38.148800000000001</v>
      </c>
      <c r="C51" s="69">
        <f>-B51</f>
        <v>-38.148800000000001</v>
      </c>
    </row>
    <row r="52" spans="1:3" x14ac:dyDescent="0.2">
      <c r="A52" s="70" t="s">
        <v>63</v>
      </c>
      <c r="B52" s="41">
        <v>3636</v>
      </c>
      <c r="C52" s="41">
        <f>SUM(B52/12)</f>
        <v>303</v>
      </c>
    </row>
    <row r="53" spans="1:3" x14ac:dyDescent="0.2">
      <c r="A53" s="44" t="s">
        <v>55</v>
      </c>
      <c r="B53" s="73"/>
      <c r="C53" s="69">
        <f>SUM(C46:C52)</f>
        <v>1076.6147999999998</v>
      </c>
    </row>
    <row r="54" spans="1:3" ht="4.5" customHeight="1" x14ac:dyDescent="0.2">
      <c r="A54" s="64"/>
      <c r="B54" s="64"/>
      <c r="C54" s="64"/>
    </row>
    <row r="55" spans="1:3" x14ac:dyDescent="0.2">
      <c r="A55" s="76" t="s">
        <v>64</v>
      </c>
      <c r="B55" s="77"/>
      <c r="C55" s="37" t="s">
        <v>46</v>
      </c>
    </row>
    <row r="56" spans="1:3" x14ac:dyDescent="0.2">
      <c r="A56" s="78" t="s">
        <v>36</v>
      </c>
      <c r="B56" s="79"/>
      <c r="C56" s="80">
        <f>+C32</f>
        <v>619.63722483200002</v>
      </c>
    </row>
    <row r="57" spans="1:3" x14ac:dyDescent="0.2">
      <c r="A57" s="74" t="s">
        <v>65</v>
      </c>
      <c r="B57" s="81"/>
      <c r="C57" s="82">
        <f>+C43</f>
        <v>701.93792000000008</v>
      </c>
    </row>
    <row r="58" spans="1:3" x14ac:dyDescent="0.2">
      <c r="A58" s="39" t="s">
        <v>56</v>
      </c>
      <c r="B58" s="79"/>
      <c r="C58" s="82">
        <f>+C53</f>
        <v>1076.6147999999998</v>
      </c>
    </row>
    <row r="59" spans="1:3" x14ac:dyDescent="0.2">
      <c r="A59" s="44" t="s">
        <v>55</v>
      </c>
      <c r="B59" s="84"/>
      <c r="C59" s="80">
        <f>SUM(C56:C58)</f>
        <v>2398.189944832</v>
      </c>
    </row>
    <row r="60" spans="1:3" ht="6" customHeight="1" x14ac:dyDescent="0.2">
      <c r="A60" s="85"/>
      <c r="B60" s="85"/>
      <c r="C60" s="85"/>
    </row>
    <row r="61" spans="1:3" x14ac:dyDescent="0.2">
      <c r="A61" s="85" t="s">
        <v>66</v>
      </c>
      <c r="B61" s="85"/>
      <c r="C61" s="85"/>
    </row>
    <row r="62" spans="1:3" x14ac:dyDescent="0.2">
      <c r="A62" s="86" t="s">
        <v>67</v>
      </c>
      <c r="B62" s="37" t="s">
        <v>45</v>
      </c>
      <c r="C62" s="37" t="s">
        <v>46</v>
      </c>
    </row>
    <row r="63" spans="1:3" x14ac:dyDescent="0.2">
      <c r="A63" s="65" t="s">
        <v>68</v>
      </c>
      <c r="B63" s="57">
        <f>(((1+1/12*1+(1/12*1+1/3*1/12*1))*0.05)/12)+(((1/30*3)*1)*0.95)/12</f>
        <v>1.2893518518518519E-2</v>
      </c>
      <c r="C63" s="66">
        <f>$C$22*B63</f>
        <v>24.593612962962965</v>
      </c>
    </row>
    <row r="64" spans="1:3" x14ac:dyDescent="0.2">
      <c r="A64" s="65" t="s">
        <v>69</v>
      </c>
      <c r="B64" s="57">
        <f>0.08*B63</f>
        <v>1.0314814814814815E-3</v>
      </c>
      <c r="C64" s="66">
        <f>$C$22*B64</f>
        <v>1.9674890370370373</v>
      </c>
    </row>
    <row r="65" spans="1:3" x14ac:dyDescent="0.2">
      <c r="A65" s="54" t="s">
        <v>70</v>
      </c>
      <c r="B65" s="57">
        <f>0.08*0.4*B63</f>
        <v>4.1259259259259265E-4</v>
      </c>
      <c r="C65" s="66">
        <f>$C$22*B65</f>
        <v>0.78699561481481495</v>
      </c>
    </row>
    <row r="66" spans="1:3" x14ac:dyDescent="0.2">
      <c r="A66" s="54" t="s">
        <v>71</v>
      </c>
      <c r="B66" s="57">
        <f>((7/30)/12)</f>
        <v>1.9444444444444445E-2</v>
      </c>
      <c r="C66" s="56">
        <f>($C$22+C49+C50)*B66</f>
        <v>43.683888888888887</v>
      </c>
    </row>
    <row r="67" spans="1:3" x14ac:dyDescent="0.2">
      <c r="A67" s="54" t="s">
        <v>72</v>
      </c>
      <c r="B67" s="57">
        <f>+B66*B43</f>
        <v>7.1555555555555565E-3</v>
      </c>
      <c r="C67" s="66">
        <f>$C$22*B67</f>
        <v>13.648792888888892</v>
      </c>
    </row>
    <row r="68" spans="1:3" x14ac:dyDescent="0.2">
      <c r="A68" s="54" t="s">
        <v>73</v>
      </c>
      <c r="B68" s="57">
        <f>0.08*0.4*B66</f>
        <v>6.2222222222222225E-4</v>
      </c>
      <c r="C68" s="56">
        <f>+B68*C22</f>
        <v>1.1868515555555557</v>
      </c>
    </row>
    <row r="69" spans="1:3" x14ac:dyDescent="0.2">
      <c r="A69" s="88" t="s">
        <v>43</v>
      </c>
      <c r="B69" s="60">
        <f>SUM(B63:B67)</f>
        <v>4.0937592592592595E-2</v>
      </c>
      <c r="C69" s="89">
        <f>SUM(C63:C68)</f>
        <v>85.867630948148147</v>
      </c>
    </row>
    <row r="70" spans="1:3" ht="6" customHeight="1" x14ac:dyDescent="0.2">
      <c r="A70" s="85"/>
      <c r="B70" s="85"/>
      <c r="C70" s="23"/>
    </row>
    <row r="71" spans="1:3" x14ac:dyDescent="0.2">
      <c r="A71" s="85" t="s">
        <v>74</v>
      </c>
      <c r="B71" s="85"/>
      <c r="C71" s="90">
        <f>+C22+C29+C43+C49+C69+C76+C82</f>
        <v>3165.0050142340738</v>
      </c>
    </row>
    <row r="72" spans="1:3" ht="12.75" customHeight="1" x14ac:dyDescent="0.2">
      <c r="A72" s="258" t="s">
        <v>75</v>
      </c>
      <c r="B72" s="258"/>
      <c r="C72" s="258"/>
    </row>
    <row r="73" spans="1:3" x14ac:dyDescent="0.2">
      <c r="A73" s="70" t="s">
        <v>76</v>
      </c>
      <c r="B73" s="57">
        <f>(5/30)/12</f>
        <v>1.3888888888888888E-2</v>
      </c>
      <c r="C73" s="41">
        <f>+B73*C71</f>
        <v>43.958402975473241</v>
      </c>
    </row>
    <row r="74" spans="1:3" x14ac:dyDescent="0.2">
      <c r="A74" s="70" t="s">
        <v>77</v>
      </c>
      <c r="B74" s="57">
        <f>((5/30)/12)*0.015</f>
        <v>2.0833333333333332E-4</v>
      </c>
      <c r="C74" s="41">
        <f>+B74*C71</f>
        <v>0.65937604463209865</v>
      </c>
    </row>
    <row r="75" spans="1:3" x14ac:dyDescent="0.2">
      <c r="A75" s="70" t="s">
        <v>78</v>
      </c>
      <c r="B75" s="57">
        <f>(15/30)/12*0.0078</f>
        <v>3.2499999999999999E-4</v>
      </c>
      <c r="C75" s="41">
        <f>+B75*C71</f>
        <v>1.028626629626074</v>
      </c>
    </row>
    <row r="76" spans="1:3" x14ac:dyDescent="0.2">
      <c r="A76" s="70" t="s">
        <v>79</v>
      </c>
      <c r="B76" s="57">
        <f>((1+0.333333333333333)*3.95/12*0.02)/12</f>
        <v>7.3148148148148139E-4</v>
      </c>
      <c r="C76" s="41">
        <f>B76*C22+((C49)*3.95*0.02)/12+(((3.95*C22+3.95/12*C22)*B43+(0)*0.08)*0.02)/12</f>
        <v>6.4014392859259264</v>
      </c>
    </row>
    <row r="77" spans="1:3" x14ac:dyDescent="0.2">
      <c r="A77" s="70" t="s">
        <v>80</v>
      </c>
      <c r="B77" s="57"/>
      <c r="C77" s="41">
        <f>+B77*$C$22</f>
        <v>0</v>
      </c>
    </row>
    <row r="78" spans="1:3" x14ac:dyDescent="0.2">
      <c r="A78" s="88" t="s">
        <v>43</v>
      </c>
      <c r="B78" s="57"/>
      <c r="C78" s="69">
        <f>SUM(C73:C77)</f>
        <v>52.047844935657338</v>
      </c>
    </row>
    <row r="79" spans="1:3" ht="3.75" customHeight="1" x14ac:dyDescent="0.2">
      <c r="A79" s="91"/>
      <c r="B79" s="85"/>
      <c r="C79" s="85"/>
    </row>
    <row r="80" spans="1:3" x14ac:dyDescent="0.2">
      <c r="A80" s="85" t="s">
        <v>81</v>
      </c>
      <c r="B80" s="92"/>
      <c r="C80" s="93"/>
    </row>
    <row r="81" spans="1:3" x14ac:dyDescent="0.2">
      <c r="A81" s="53" t="s">
        <v>82</v>
      </c>
      <c r="B81" s="77"/>
      <c r="C81" s="37" t="s">
        <v>46</v>
      </c>
    </row>
    <row r="82" spans="1:3" x14ac:dyDescent="0.2">
      <c r="A82" s="70" t="s">
        <v>83</v>
      </c>
      <c r="B82" s="79"/>
      <c r="C82" s="82">
        <f>Uniformes!G10</f>
        <v>58.79</v>
      </c>
    </row>
    <row r="83" spans="1:3" x14ac:dyDescent="0.2">
      <c r="A83" s="94" t="s">
        <v>84</v>
      </c>
      <c r="B83" s="57"/>
      <c r="C83" s="41">
        <v>0</v>
      </c>
    </row>
    <row r="84" spans="1:3" x14ac:dyDescent="0.2">
      <c r="A84" s="88" t="s">
        <v>43</v>
      </c>
      <c r="B84" s="57"/>
      <c r="C84" s="69">
        <f>SUM(C82:C83)</f>
        <v>58.79</v>
      </c>
    </row>
    <row r="85" spans="1:3" ht="3.75" customHeight="1" x14ac:dyDescent="0.2">
      <c r="A85" s="51"/>
      <c r="B85" s="92"/>
      <c r="C85" s="93"/>
    </row>
    <row r="86" spans="1:3" x14ac:dyDescent="0.2">
      <c r="A86" s="85" t="s">
        <v>118</v>
      </c>
      <c r="B86" s="95"/>
      <c r="C86" s="96"/>
    </row>
    <row r="87" spans="1:3" x14ac:dyDescent="0.2">
      <c r="A87" s="76" t="s">
        <v>86</v>
      </c>
      <c r="B87" s="97" t="s">
        <v>45</v>
      </c>
      <c r="C87" s="98" t="s">
        <v>46</v>
      </c>
    </row>
    <row r="88" spans="1:3" ht="12.75" customHeight="1" x14ac:dyDescent="0.2">
      <c r="A88" s="255" t="s">
        <v>87</v>
      </c>
      <c r="B88" s="255"/>
      <c r="C88" s="254">
        <f>+C84+C78+C69+C59+C22</f>
        <v>4502.3354207158054</v>
      </c>
    </row>
    <row r="89" spans="1:3" x14ac:dyDescent="0.2">
      <c r="A89" s="255"/>
      <c r="B89" s="255"/>
      <c r="C89" s="254"/>
    </row>
    <row r="90" spans="1:3" x14ac:dyDescent="0.2">
      <c r="A90" s="101" t="s">
        <v>119</v>
      </c>
      <c r="B90" s="102">
        <v>0.05</v>
      </c>
      <c r="C90" s="61">
        <f>C88*B90</f>
        <v>225.11677103579029</v>
      </c>
    </row>
    <row r="91" spans="1:3" ht="12.75" customHeight="1" x14ac:dyDescent="0.2">
      <c r="A91" s="253" t="s">
        <v>89</v>
      </c>
      <c r="B91" s="253"/>
      <c r="C91" s="254">
        <f>C88+C90</f>
        <v>4727.4521917515958</v>
      </c>
    </row>
    <row r="92" spans="1:3" x14ac:dyDescent="0.2">
      <c r="A92" s="253"/>
      <c r="B92" s="253"/>
      <c r="C92" s="254"/>
    </row>
    <row r="93" spans="1:3" x14ac:dyDescent="0.2">
      <c r="A93" s="101" t="s">
        <v>90</v>
      </c>
      <c r="B93" s="102">
        <v>0.1</v>
      </c>
      <c r="C93" s="61">
        <f>C91*B93</f>
        <v>472.7452191751596</v>
      </c>
    </row>
    <row r="94" spans="1:3" x14ac:dyDescent="0.2">
      <c r="A94" s="103" t="s">
        <v>91</v>
      </c>
      <c r="B94" s="104"/>
      <c r="C94" s="105"/>
    </row>
    <row r="95" spans="1:3" ht="12.75" customHeight="1" x14ac:dyDescent="0.2">
      <c r="A95" s="255" t="s">
        <v>92</v>
      </c>
      <c r="B95" s="255"/>
      <c r="C95" s="100">
        <f>+C93+C90+C88</f>
        <v>5200.1974109267558</v>
      </c>
    </row>
    <row r="96" spans="1:3" ht="12.75" customHeight="1" x14ac:dyDescent="0.2">
      <c r="A96" s="255" t="s">
        <v>93</v>
      </c>
      <c r="B96" s="255"/>
      <c r="C96" s="255"/>
    </row>
    <row r="97" spans="1:3" x14ac:dyDescent="0.2">
      <c r="A97" s="106" t="s">
        <v>94</v>
      </c>
      <c r="B97" s="256"/>
      <c r="C97" s="256"/>
    </row>
    <row r="98" spans="1:3" x14ac:dyDescent="0.2">
      <c r="A98" s="106" t="s">
        <v>95</v>
      </c>
      <c r="B98" s="102">
        <v>0.03</v>
      </c>
      <c r="C98" s="89">
        <f>(C95)*B98/(1-(B101))</f>
        <v>168.92899006800505</v>
      </c>
    </row>
    <row r="99" spans="1:3" x14ac:dyDescent="0.2">
      <c r="A99" s="106" t="s">
        <v>96</v>
      </c>
      <c r="B99" s="102">
        <v>6.4999999999999997E-3</v>
      </c>
      <c r="C99" s="89">
        <f>(C95)*B99/(1-(B101))</f>
        <v>36.601281181401099</v>
      </c>
    </row>
    <row r="100" spans="1:3" x14ac:dyDescent="0.2">
      <c r="A100" s="106" t="s">
        <v>97</v>
      </c>
      <c r="B100" s="109">
        <v>0.04</v>
      </c>
      <c r="C100" s="89">
        <f>(C95)*B100/(1-(B101))</f>
        <v>225.23865342400674</v>
      </c>
    </row>
    <row r="101" spans="1:3" x14ac:dyDescent="0.2">
      <c r="A101" s="110" t="s">
        <v>98</v>
      </c>
      <c r="B101" s="111">
        <f>SUM(B98:B100)</f>
        <v>7.6499999999999999E-2</v>
      </c>
      <c r="C101" s="112">
        <f>SUM(C98:C100)</f>
        <v>430.76892467341293</v>
      </c>
    </row>
    <row r="102" spans="1:3" x14ac:dyDescent="0.2">
      <c r="A102" s="249"/>
      <c r="B102" s="249"/>
      <c r="C102" s="249"/>
    </row>
    <row r="103" spans="1:3" x14ac:dyDescent="0.2">
      <c r="A103" s="88" t="s">
        <v>43</v>
      </c>
      <c r="B103" s="113"/>
      <c r="C103" s="89">
        <f>C90+C93+C101</f>
        <v>1128.6309148843629</v>
      </c>
    </row>
    <row r="104" spans="1:3" ht="8.25" customHeight="1" x14ac:dyDescent="0.2">
      <c r="A104" s="51"/>
      <c r="B104" s="114"/>
      <c r="C104" s="115"/>
    </row>
    <row r="105" spans="1:3" ht="16.5" customHeight="1" x14ac:dyDescent="0.2">
      <c r="A105" s="250" t="s">
        <v>99</v>
      </c>
      <c r="B105" s="250"/>
      <c r="C105" s="250"/>
    </row>
    <row r="106" spans="1:3" ht="4.5" customHeight="1" x14ac:dyDescent="0.2">
      <c r="A106" s="116"/>
      <c r="B106" s="49"/>
      <c r="C106" s="50"/>
    </row>
    <row r="107" spans="1:3" ht="12.75" customHeight="1" x14ac:dyDescent="0.2">
      <c r="A107" s="251" t="s">
        <v>100</v>
      </c>
      <c r="B107" s="251"/>
      <c r="C107" s="37" t="s">
        <v>101</v>
      </c>
    </row>
    <row r="108" spans="1:3" ht="12.75" customHeight="1" x14ac:dyDescent="0.2">
      <c r="A108" s="252" t="s">
        <v>102</v>
      </c>
      <c r="B108" s="252"/>
      <c r="C108" s="117">
        <f>C22</f>
        <v>1907.44</v>
      </c>
    </row>
    <row r="109" spans="1:3" ht="12.75" customHeight="1" x14ac:dyDescent="0.2">
      <c r="A109" s="246" t="s">
        <v>103</v>
      </c>
      <c r="B109" s="246"/>
      <c r="C109" s="117">
        <f>+C59</f>
        <v>2398.189944832</v>
      </c>
    </row>
    <row r="110" spans="1:3" ht="12.75" customHeight="1" x14ac:dyDescent="0.2">
      <c r="A110" s="246" t="s">
        <v>104</v>
      </c>
      <c r="B110" s="246"/>
      <c r="C110" s="117">
        <f>+C69</f>
        <v>85.867630948148147</v>
      </c>
    </row>
    <row r="111" spans="1:3" ht="12.75" customHeight="1" x14ac:dyDescent="0.2">
      <c r="A111" s="246" t="s">
        <v>105</v>
      </c>
      <c r="B111" s="246"/>
      <c r="C111" s="117">
        <f>+C78</f>
        <v>52.047844935657338</v>
      </c>
    </row>
    <row r="112" spans="1:3" ht="12.75" customHeight="1" x14ac:dyDescent="0.2">
      <c r="A112" s="246" t="s">
        <v>106</v>
      </c>
      <c r="B112" s="246"/>
      <c r="C112" s="117">
        <f>+C84</f>
        <v>58.79</v>
      </c>
    </row>
    <row r="113" spans="1:3" ht="12.75" customHeight="1" x14ac:dyDescent="0.2">
      <c r="A113" s="247" t="s">
        <v>107</v>
      </c>
      <c r="B113" s="247"/>
      <c r="C113" s="118">
        <f>SUM(C108:C112)</f>
        <v>4502.3354207158054</v>
      </c>
    </row>
    <row r="114" spans="1:3" ht="13.5" customHeight="1" x14ac:dyDescent="0.2">
      <c r="A114" s="248" t="s">
        <v>108</v>
      </c>
      <c r="B114" s="248"/>
      <c r="C114" s="119">
        <f>C103</f>
        <v>1128.6309148843629</v>
      </c>
    </row>
    <row r="115" spans="1:3" ht="16.5" customHeight="1" x14ac:dyDescent="0.2">
      <c r="A115" s="245" t="s">
        <v>109</v>
      </c>
      <c r="B115" s="245"/>
      <c r="C115" s="120">
        <f>TRUNC(C113+C114,2)</f>
        <v>5630.96</v>
      </c>
    </row>
    <row r="116" spans="1:3" ht="7.5" customHeight="1" x14ac:dyDescent="0.2">
      <c r="A116" s="122"/>
      <c r="B116" s="123"/>
      <c r="C116" s="124"/>
    </row>
    <row r="117" spans="1:3" ht="18" x14ac:dyDescent="0.2">
      <c r="A117" s="125" t="s">
        <v>120</v>
      </c>
      <c r="B117" s="126">
        <v>2</v>
      </c>
      <c r="C117" s="127">
        <f>SUM(C115*B117)</f>
        <v>11261.92</v>
      </c>
    </row>
    <row r="118" spans="1:3" ht="18" x14ac:dyDescent="0.2">
      <c r="A118" s="128" t="s">
        <v>111</v>
      </c>
      <c r="B118" s="129" t="s">
        <v>112</v>
      </c>
      <c r="C118" s="130">
        <f>SUM(C117/'CUSTO MANUT. VEICULO'!C7)</f>
        <v>4.3198772535481398</v>
      </c>
    </row>
    <row r="119" spans="1:3" x14ac:dyDescent="0.2">
      <c r="C119" s="138">
        <f>SUM(C117/22/'TOTAL DO CONTRATO'!E12)</f>
        <v>4.3198772535481398</v>
      </c>
    </row>
  </sheetData>
  <mergeCells count="30">
    <mergeCell ref="A2:C2"/>
    <mergeCell ref="A3:C3"/>
    <mergeCell ref="A4:C4"/>
    <mergeCell ref="A5:C5"/>
    <mergeCell ref="B9:C9"/>
    <mergeCell ref="B10:C10"/>
    <mergeCell ref="B11:C11"/>
    <mergeCell ref="B12:C12"/>
    <mergeCell ref="B13:C13"/>
    <mergeCell ref="A15:C16"/>
    <mergeCell ref="A45:C45"/>
    <mergeCell ref="A72:C72"/>
    <mergeCell ref="A88:B89"/>
    <mergeCell ref="C88:C89"/>
    <mergeCell ref="A91:B92"/>
    <mergeCell ref="C91:C92"/>
    <mergeCell ref="A95:B95"/>
    <mergeCell ref="A96:C96"/>
    <mergeCell ref="B97:C97"/>
    <mergeCell ref="A102:C102"/>
    <mergeCell ref="A105:C105"/>
    <mergeCell ref="A112:B112"/>
    <mergeCell ref="A113:B113"/>
    <mergeCell ref="A114:B114"/>
    <mergeCell ref="A115:B115"/>
    <mergeCell ref="A107:B107"/>
    <mergeCell ref="A108:B108"/>
    <mergeCell ref="A109:B109"/>
    <mergeCell ref="A110:B110"/>
    <mergeCell ref="A111:B111"/>
  </mergeCells>
  <printOptions horizontalCentered="1"/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B1:T39"/>
  <sheetViews>
    <sheetView topLeftCell="B12" zoomScaleNormal="100" zoomScalePageLayoutView="90" workbookViewId="0">
      <selection activeCell="D20" sqref="D20"/>
    </sheetView>
  </sheetViews>
  <sheetFormatPr defaultColWidth="9.140625" defaultRowHeight="12.75" x14ac:dyDescent="0.2"/>
  <cols>
    <col min="1" max="1" width="2.28515625" style="1" customWidth="1"/>
    <col min="2" max="2" width="27.140625" style="1" customWidth="1"/>
    <col min="3" max="3" width="24.5703125" style="1" customWidth="1"/>
    <col min="4" max="4" width="12.5703125" style="1" customWidth="1"/>
    <col min="5" max="5" width="10.42578125" style="1" customWidth="1"/>
    <col min="6" max="6" width="16.28515625" style="1" customWidth="1"/>
    <col min="7" max="7" width="20.7109375" style="1" customWidth="1"/>
    <col min="8" max="8" width="18.85546875" style="1" customWidth="1"/>
    <col min="9" max="9" width="17" style="1" customWidth="1"/>
    <col min="10" max="10" width="32.5703125" style="1" customWidth="1"/>
    <col min="11" max="11" width="6.85546875" style="1" customWidth="1"/>
    <col min="12" max="12" width="11.5703125" style="1" customWidth="1"/>
    <col min="13" max="18" width="9.140625" style="1"/>
    <col min="19" max="19" width="12.140625" style="1" customWidth="1"/>
    <col min="20" max="16384" width="9.140625" style="1"/>
  </cols>
  <sheetData>
    <row r="1" spans="2:7" ht="30" customHeight="1" x14ac:dyDescent="0.2"/>
    <row r="2" spans="2:7" ht="24" customHeight="1" x14ac:dyDescent="0.2">
      <c r="B2" s="275" t="s">
        <v>121</v>
      </c>
      <c r="C2" s="275"/>
      <c r="D2" s="275"/>
      <c r="E2" s="275"/>
      <c r="F2" s="275"/>
      <c r="G2" s="275"/>
    </row>
    <row r="3" spans="2:7" ht="6.75" customHeight="1" x14ac:dyDescent="0.2">
      <c r="B3" s="139"/>
      <c r="C3" s="139"/>
      <c r="D3" s="139"/>
      <c r="E3" s="139"/>
      <c r="F3" s="139"/>
      <c r="G3" s="139"/>
    </row>
    <row r="4" spans="2:7" ht="23.25" customHeight="1" x14ac:dyDescent="0.2">
      <c r="B4" s="276" t="str">
        <f>'TOTAL DO CONTRATO'!B9:G9</f>
        <v>Lote 5: Faxinal dos Ilhéus, Espigãozinho, Água Branca...</v>
      </c>
      <c r="C4" s="276"/>
      <c r="D4" s="276"/>
      <c r="E4" s="276"/>
      <c r="F4" s="276"/>
      <c r="G4" s="276"/>
    </row>
    <row r="5" spans="2:7" ht="6.75" customHeight="1" x14ac:dyDescent="0.2">
      <c r="B5" s="140"/>
      <c r="C5" s="140"/>
      <c r="D5" s="140"/>
      <c r="E5" s="140"/>
      <c r="F5" s="140"/>
      <c r="G5" s="140"/>
    </row>
    <row r="6" spans="2:7" ht="22.5" customHeight="1" x14ac:dyDescent="0.2">
      <c r="B6" s="141" t="s">
        <v>122</v>
      </c>
      <c r="C6" s="142">
        <f>'TOTAL DO CONTRATO'!E16</f>
        <v>118.5</v>
      </c>
      <c r="D6" s="277" t="s">
        <v>123</v>
      </c>
      <c r="E6" s="277"/>
      <c r="F6" s="277"/>
      <c r="G6" s="143">
        <f>SUM('TOTAL DO CONTRATO'!E12*'TOTAL DO CONTRATO'!F12)</f>
        <v>23700</v>
      </c>
    </row>
    <row r="7" spans="2:7" ht="24" customHeight="1" x14ac:dyDescent="0.2">
      <c r="B7" s="144" t="s">
        <v>124</v>
      </c>
      <c r="C7" s="145">
        <f>SUM(C6*22)</f>
        <v>2607</v>
      </c>
      <c r="D7" s="275" t="s">
        <v>125</v>
      </c>
      <c r="E7" s="275"/>
      <c r="F7" s="275"/>
      <c r="G7" s="146">
        <v>1</v>
      </c>
    </row>
    <row r="8" spans="2:7" ht="8.25" customHeight="1" x14ac:dyDescent="0.2">
      <c r="B8" s="278"/>
      <c r="C8" s="278"/>
      <c r="D8" s="278"/>
      <c r="E8" s="278"/>
      <c r="F8" s="278"/>
      <c r="G8" s="278"/>
    </row>
    <row r="9" spans="2:7" ht="32.25" customHeight="1" x14ac:dyDescent="0.2">
      <c r="B9" s="273" t="s">
        <v>126</v>
      </c>
      <c r="C9" s="273"/>
      <c r="D9" s="148" t="s">
        <v>127</v>
      </c>
      <c r="E9" s="148" t="s">
        <v>128</v>
      </c>
      <c r="F9" s="147" t="s">
        <v>129</v>
      </c>
      <c r="G9" s="147" t="s">
        <v>130</v>
      </c>
    </row>
    <row r="10" spans="2:7" ht="18" customHeight="1" x14ac:dyDescent="0.2">
      <c r="B10" s="274" t="s">
        <v>131</v>
      </c>
      <c r="C10" s="274"/>
      <c r="D10" s="149">
        <v>5.95</v>
      </c>
      <c r="E10" s="150">
        <v>6</v>
      </c>
      <c r="F10" s="151">
        <f t="shared" ref="F10:F24" si="0">SUM(D10/E10)</f>
        <v>0.9916666666666667</v>
      </c>
      <c r="G10" s="152">
        <f t="shared" ref="G10:G24" si="1">SUM(F10*$C$6)</f>
        <v>117.5125</v>
      </c>
    </row>
    <row r="11" spans="2:7" ht="18" customHeight="1" x14ac:dyDescent="0.2">
      <c r="B11" s="271" t="s">
        <v>132</v>
      </c>
      <c r="C11" s="271"/>
      <c r="D11" s="153">
        <v>504.41</v>
      </c>
      <c r="E11" s="154">
        <v>10000</v>
      </c>
      <c r="F11" s="155">
        <f t="shared" si="0"/>
        <v>5.0441E-2</v>
      </c>
      <c r="G11" s="156">
        <f t="shared" si="1"/>
        <v>5.9772584999999996</v>
      </c>
    </row>
    <row r="12" spans="2:7" ht="18" customHeight="1" x14ac:dyDescent="0.2">
      <c r="B12" s="271" t="s">
        <v>133</v>
      </c>
      <c r="C12" s="271"/>
      <c r="D12" s="153">
        <f>SUM(5*526.32)</f>
        <v>2631.6000000000004</v>
      </c>
      <c r="E12" s="154">
        <v>40000</v>
      </c>
      <c r="F12" s="155">
        <f t="shared" si="0"/>
        <v>6.5790000000000015E-2</v>
      </c>
      <c r="G12" s="156">
        <f t="shared" si="1"/>
        <v>7.7961150000000021</v>
      </c>
    </row>
    <row r="13" spans="2:7" ht="15.75" customHeight="1" x14ac:dyDescent="0.2">
      <c r="B13" s="271" t="s">
        <v>134</v>
      </c>
      <c r="C13" s="271"/>
      <c r="D13" s="153">
        <f>(129442*10%)/12</f>
        <v>1078.6833333333334</v>
      </c>
      <c r="E13" s="157">
        <f t="shared" ref="E13:E24" si="2">C$7</f>
        <v>2607</v>
      </c>
      <c r="F13" s="155">
        <f t="shared" si="0"/>
        <v>0.41376422452371819</v>
      </c>
      <c r="G13" s="156">
        <f t="shared" si="1"/>
        <v>49.031060606060606</v>
      </c>
    </row>
    <row r="14" spans="2:7" ht="15.75" customHeight="1" x14ac:dyDescent="0.2">
      <c r="B14" s="271" t="s">
        <v>135</v>
      </c>
      <c r="C14" s="271"/>
      <c r="D14" s="153">
        <f>SUM((129442-25888.4)*10%)/12</f>
        <v>862.94666666666672</v>
      </c>
      <c r="E14" s="157">
        <f t="shared" si="2"/>
        <v>2607</v>
      </c>
      <c r="F14" s="155">
        <f t="shared" si="0"/>
        <v>0.33101137961897459</v>
      </c>
      <c r="G14" s="156">
        <f t="shared" si="1"/>
        <v>39.224848484848486</v>
      </c>
    </row>
    <row r="15" spans="2:7" ht="15.75" customHeight="1" x14ac:dyDescent="0.2">
      <c r="B15" s="271" t="s">
        <v>136</v>
      </c>
      <c r="C15" s="271"/>
      <c r="D15" s="153">
        <f>150*4</f>
        <v>600</v>
      </c>
      <c r="E15" s="157">
        <f t="shared" si="2"/>
        <v>2607</v>
      </c>
      <c r="F15" s="155">
        <f t="shared" si="0"/>
        <v>0.23014959723820483</v>
      </c>
      <c r="G15" s="156">
        <f t="shared" si="1"/>
        <v>27.272727272727273</v>
      </c>
    </row>
    <row r="16" spans="2:7" ht="15.75" customHeight="1" x14ac:dyDescent="0.2">
      <c r="B16" s="271" t="s">
        <v>137</v>
      </c>
      <c r="C16" s="271"/>
      <c r="D16" s="153">
        <f>(42*1)/12</f>
        <v>3.5</v>
      </c>
      <c r="E16" s="157">
        <f t="shared" si="2"/>
        <v>2607</v>
      </c>
      <c r="F16" s="155">
        <f t="shared" si="0"/>
        <v>1.3425393172228615E-3</v>
      </c>
      <c r="G16" s="156">
        <f t="shared" si="1"/>
        <v>0.15909090909090909</v>
      </c>
    </row>
    <row r="17" spans="2:20" ht="15.75" x14ac:dyDescent="0.2">
      <c r="B17" s="158" t="s">
        <v>138</v>
      </c>
      <c r="C17" s="159"/>
      <c r="D17" s="153">
        <v>0</v>
      </c>
      <c r="E17" s="157">
        <f t="shared" si="2"/>
        <v>2607</v>
      </c>
      <c r="F17" s="155">
        <f t="shared" si="0"/>
        <v>0</v>
      </c>
      <c r="G17" s="156">
        <f t="shared" si="1"/>
        <v>0</v>
      </c>
    </row>
    <row r="18" spans="2:20" ht="18" customHeight="1" x14ac:dyDescent="0.2">
      <c r="B18" s="271" t="s">
        <v>139</v>
      </c>
      <c r="C18" s="271"/>
      <c r="D18" s="153">
        <f>SUM(129442*1%)/12</f>
        <v>107.86833333333334</v>
      </c>
      <c r="E18" s="157">
        <f t="shared" si="2"/>
        <v>2607</v>
      </c>
      <c r="F18" s="155">
        <f t="shared" si="0"/>
        <v>4.1376422452371824E-2</v>
      </c>
      <c r="G18" s="156">
        <f t="shared" si="1"/>
        <v>4.9031060606060608</v>
      </c>
    </row>
    <row r="19" spans="2:20" ht="18" customHeight="1" x14ac:dyDescent="0.2">
      <c r="B19" s="271" t="s">
        <v>140</v>
      </c>
      <c r="C19" s="271"/>
      <c r="D19" s="153">
        <f>700/12</f>
        <v>58.333333333333336</v>
      </c>
      <c r="E19" s="157">
        <f t="shared" si="2"/>
        <v>2607</v>
      </c>
      <c r="F19" s="155">
        <f t="shared" si="0"/>
        <v>2.2375655287047692E-2</v>
      </c>
      <c r="G19" s="156">
        <f t="shared" si="1"/>
        <v>2.6515151515151514</v>
      </c>
    </row>
    <row r="20" spans="2:20" ht="18" customHeight="1" x14ac:dyDescent="0.2">
      <c r="B20" s="271" t="s">
        <v>141</v>
      </c>
      <c r="C20" s="271"/>
      <c r="D20" s="153">
        <f>200/12</f>
        <v>16.666666666666668</v>
      </c>
      <c r="E20" s="157">
        <f t="shared" si="2"/>
        <v>2607</v>
      </c>
      <c r="F20" s="155">
        <f t="shared" si="0"/>
        <v>6.3930443677279129E-3</v>
      </c>
      <c r="G20" s="156">
        <f t="shared" si="1"/>
        <v>0.75757575757575768</v>
      </c>
    </row>
    <row r="21" spans="2:20" ht="18" customHeight="1" x14ac:dyDescent="0.2">
      <c r="B21" s="271" t="s">
        <v>142</v>
      </c>
      <c r="C21" s="271"/>
      <c r="D21" s="153">
        <f>90/12</f>
        <v>7.5</v>
      </c>
      <c r="E21" s="157">
        <f t="shared" si="2"/>
        <v>2607</v>
      </c>
      <c r="F21" s="155">
        <f t="shared" si="0"/>
        <v>2.8768699654775605E-3</v>
      </c>
      <c r="G21" s="156">
        <f t="shared" si="1"/>
        <v>0.34090909090909094</v>
      </c>
    </row>
    <row r="22" spans="2:20" ht="18" customHeight="1" x14ac:dyDescent="0.2">
      <c r="B22" s="271" t="s">
        <v>143</v>
      </c>
      <c r="C22" s="271"/>
      <c r="D22" s="153">
        <v>100</v>
      </c>
      <c r="E22" s="157">
        <f t="shared" si="2"/>
        <v>2607</v>
      </c>
      <c r="F22" s="155">
        <f t="shared" si="0"/>
        <v>3.8358266206367474E-2</v>
      </c>
      <c r="G22" s="156">
        <f t="shared" si="1"/>
        <v>4.5454545454545459</v>
      </c>
    </row>
    <row r="23" spans="2:20" ht="18" customHeight="1" x14ac:dyDescent="0.2">
      <c r="B23" s="271" t="s">
        <v>144</v>
      </c>
      <c r="C23" s="271"/>
      <c r="D23" s="160">
        <v>160</v>
      </c>
      <c r="E23" s="157">
        <f t="shared" si="2"/>
        <v>2607</v>
      </c>
      <c r="F23" s="155">
        <f t="shared" si="0"/>
        <v>6.1373225930187958E-2</v>
      </c>
      <c r="G23" s="156">
        <f t="shared" si="1"/>
        <v>7.2727272727272734</v>
      </c>
    </row>
    <row r="24" spans="2:20" ht="18" customHeight="1" x14ac:dyDescent="0.2">
      <c r="B24" s="272" t="s">
        <v>145</v>
      </c>
      <c r="C24" s="272"/>
      <c r="D24" s="160">
        <v>320.87</v>
      </c>
      <c r="E24" s="157">
        <f t="shared" si="2"/>
        <v>2607</v>
      </c>
      <c r="F24" s="155">
        <f t="shared" si="0"/>
        <v>0.1230801687763713</v>
      </c>
      <c r="G24" s="156">
        <f t="shared" si="1"/>
        <v>14.584999999999999</v>
      </c>
    </row>
    <row r="25" spans="2:20" ht="7.5" customHeight="1" x14ac:dyDescent="0.25">
      <c r="B25" s="161"/>
      <c r="C25" s="161"/>
      <c r="D25" s="161"/>
      <c r="E25" s="161"/>
      <c r="F25" s="162"/>
      <c r="G25" s="163"/>
      <c r="J25" s="164"/>
      <c r="K25" s="164"/>
      <c r="L25" s="164"/>
      <c r="M25" s="164"/>
      <c r="N25" s="164"/>
    </row>
    <row r="26" spans="2:20" ht="18" customHeight="1" x14ac:dyDescent="0.25">
      <c r="B26" s="165" t="s">
        <v>146</v>
      </c>
      <c r="C26" s="166"/>
      <c r="D26" s="166"/>
      <c r="E26" s="166"/>
      <c r="F26" s="167">
        <f>SUM(F10:F24)</f>
        <v>2.3799990603503391</v>
      </c>
      <c r="G26" s="167">
        <f>SUM(G10:G24)</f>
        <v>282.02988865151514</v>
      </c>
      <c r="J26" s="168"/>
      <c r="K26" s="169"/>
      <c r="L26" s="170"/>
      <c r="M26" s="164"/>
      <c r="N26" s="164"/>
      <c r="S26" s="171"/>
    </row>
    <row r="27" spans="2:20" ht="6.75" customHeight="1" x14ac:dyDescent="0.2">
      <c r="B27" s="161"/>
      <c r="C27" s="161"/>
      <c r="D27" s="161"/>
      <c r="E27" s="161"/>
      <c r="F27" s="161"/>
      <c r="G27" s="161"/>
      <c r="J27" s="172"/>
      <c r="K27" s="172"/>
      <c r="L27" s="172"/>
      <c r="M27" s="164"/>
      <c r="N27" s="164"/>
      <c r="S27" s="171"/>
    </row>
    <row r="28" spans="2:20" ht="18" customHeight="1" x14ac:dyDescent="0.2">
      <c r="B28" s="173" t="s">
        <v>147</v>
      </c>
      <c r="C28" s="174"/>
      <c r="D28" s="174"/>
      <c r="E28" s="174">
        <v>0.05</v>
      </c>
      <c r="F28" s="174"/>
      <c r="G28" s="175"/>
      <c r="I28" s="176"/>
      <c r="J28" s="177"/>
      <c r="K28" s="67"/>
      <c r="L28" s="177"/>
      <c r="M28" s="164"/>
      <c r="N28" s="164"/>
      <c r="S28" s="171"/>
    </row>
    <row r="29" spans="2:20" ht="18" customHeight="1" x14ac:dyDescent="0.2">
      <c r="B29" s="178" t="s">
        <v>148</v>
      </c>
      <c r="C29" s="179"/>
      <c r="D29" s="179"/>
      <c r="E29" s="179">
        <v>0.04</v>
      </c>
      <c r="F29" s="179"/>
      <c r="G29" s="180"/>
      <c r="I29" s="176"/>
      <c r="J29" s="177"/>
      <c r="K29" s="67"/>
      <c r="L29" s="177"/>
      <c r="M29" s="164"/>
      <c r="N29" s="164"/>
      <c r="T29" s="181"/>
    </row>
    <row r="30" spans="2:20" ht="18" customHeight="1" x14ac:dyDescent="0.2">
      <c r="B30" s="182" t="s">
        <v>149</v>
      </c>
      <c r="C30" s="179"/>
      <c r="D30" s="179"/>
      <c r="E30" s="179">
        <f>3%+0.65%</f>
        <v>3.6499999999999998E-2</v>
      </c>
      <c r="F30" s="179"/>
      <c r="G30" s="180"/>
      <c r="I30" s="176"/>
      <c r="J30" s="177"/>
      <c r="K30" s="67"/>
      <c r="L30" s="177"/>
      <c r="M30" s="164"/>
      <c r="N30" s="164"/>
    </row>
    <row r="31" spans="2:20" ht="8.25" customHeight="1" x14ac:dyDescent="0.2">
      <c r="B31" s="178"/>
      <c r="C31" s="179"/>
      <c r="D31" s="179"/>
      <c r="E31" s="179"/>
      <c r="F31" s="179"/>
      <c r="G31" s="180"/>
      <c r="J31" s="177"/>
      <c r="K31" s="67"/>
      <c r="L31" s="177"/>
      <c r="M31" s="164"/>
      <c r="N31" s="164"/>
    </row>
    <row r="32" spans="2:20" ht="18" customHeight="1" x14ac:dyDescent="0.2">
      <c r="B32" s="183" t="s">
        <v>150</v>
      </c>
      <c r="C32" s="184"/>
      <c r="D32" s="184"/>
      <c r="E32" s="184">
        <f>((1+E29)*(1+E28)/(1-E30))-1</f>
        <v>0.13336792942397513</v>
      </c>
      <c r="F32" s="185">
        <f>SUM(G32/C6)</f>
        <v>0.31738396624472576</v>
      </c>
      <c r="G32" s="186">
        <f>ROUND(G26*E32,2)</f>
        <v>37.61</v>
      </c>
      <c r="H32" s="187"/>
      <c r="I32" s="188"/>
      <c r="J32" s="168"/>
      <c r="K32" s="189"/>
      <c r="L32" s="190"/>
      <c r="M32" s="164"/>
      <c r="N32" s="164"/>
    </row>
    <row r="33" spans="2:14" ht="7.5" customHeight="1" x14ac:dyDescent="0.2">
      <c r="B33" s="191"/>
      <c r="C33" s="192"/>
      <c r="D33" s="192"/>
      <c r="E33" s="192"/>
      <c r="F33" s="192"/>
      <c r="G33" s="193"/>
      <c r="H33" s="194"/>
      <c r="I33" s="194"/>
      <c r="J33" s="168"/>
      <c r="K33" s="189"/>
      <c r="L33" s="190"/>
      <c r="M33" s="164"/>
      <c r="N33" s="164"/>
    </row>
    <row r="34" spans="2:14" ht="24.75" customHeight="1" x14ac:dyDescent="0.2">
      <c r="B34" s="270" t="s">
        <v>151</v>
      </c>
      <c r="C34" s="270"/>
      <c r="D34" s="270"/>
      <c r="E34" s="270"/>
      <c r="F34" s="195">
        <f>SUM(F26+F32)</f>
        <v>2.6973830265950651</v>
      </c>
      <c r="G34" s="196">
        <f>G32+G26</f>
        <v>319.63988865151515</v>
      </c>
      <c r="H34" s="187"/>
      <c r="I34" s="197"/>
      <c r="J34" s="198"/>
      <c r="K34" s="198"/>
      <c r="L34" s="199"/>
      <c r="M34" s="164"/>
      <c r="N34" s="164"/>
    </row>
    <row r="35" spans="2:14" ht="6.75" customHeight="1" x14ac:dyDescent="0.2">
      <c r="J35" s="164"/>
      <c r="K35" s="164"/>
      <c r="L35" s="164"/>
      <c r="M35" s="164"/>
      <c r="N35" s="164"/>
    </row>
    <row r="36" spans="2:14" ht="12.75" customHeight="1" x14ac:dyDescent="0.2">
      <c r="B36" s="200" t="s">
        <v>152</v>
      </c>
      <c r="H36" s="176"/>
      <c r="J36" s="164"/>
      <c r="K36" s="164"/>
      <c r="L36" s="164"/>
      <c r="M36" s="164"/>
      <c r="N36" s="164"/>
    </row>
    <row r="37" spans="2:14" ht="18" customHeight="1" x14ac:dyDescent="0.2">
      <c r="C37" s="201"/>
      <c r="J37" s="164"/>
      <c r="K37" s="164"/>
      <c r="L37" s="164"/>
      <c r="M37" s="164"/>
      <c r="N37" s="164"/>
    </row>
    <row r="38" spans="2:14" ht="18" customHeight="1" x14ac:dyDescent="0.2">
      <c r="G38" s="202"/>
    </row>
    <row r="39" spans="2:14" ht="18" customHeight="1" x14ac:dyDescent="0.2">
      <c r="B39" s="200"/>
      <c r="G39" s="202"/>
      <c r="H39" s="176"/>
      <c r="I39" s="176"/>
    </row>
  </sheetData>
  <mergeCells count="21">
    <mergeCell ref="B2:G2"/>
    <mergeCell ref="B4:G4"/>
    <mergeCell ref="D6:F6"/>
    <mergeCell ref="D7:F7"/>
    <mergeCell ref="B8:G8"/>
    <mergeCell ref="B9:C9"/>
    <mergeCell ref="B10:C10"/>
    <mergeCell ref="B11:C11"/>
    <mergeCell ref="B12:C12"/>
    <mergeCell ref="B13:C13"/>
    <mergeCell ref="B14:C14"/>
    <mergeCell ref="B15:C15"/>
    <mergeCell ref="B16:C16"/>
    <mergeCell ref="B18:C18"/>
    <mergeCell ref="B19:C19"/>
    <mergeCell ref="B34:E34"/>
    <mergeCell ref="B20:C20"/>
    <mergeCell ref="B21:C21"/>
    <mergeCell ref="B22:C22"/>
    <mergeCell ref="B23:C23"/>
    <mergeCell ref="B24:C24"/>
  </mergeCells>
  <printOptions horizontalCentered="1"/>
  <pageMargins left="0.39374999999999999" right="0.39374999999999999" top="0.78749999999999998" bottom="0.78749999999999998" header="0.51180555555555596" footer="0.511811023622047"/>
  <pageSetup paperSize="9" scale="85" orientation="portrait" horizontalDpi="300" verticalDpi="300" r:id="rId1"/>
  <headerFooter>
    <oddHeader>&amp;RFls.______
Visto:______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13"/>
  <sheetViews>
    <sheetView topLeftCell="C1" zoomScaleNormal="100" zoomScalePageLayoutView="90" workbookViewId="0">
      <selection activeCell="F8" sqref="F8"/>
    </sheetView>
  </sheetViews>
  <sheetFormatPr defaultColWidth="9.140625" defaultRowHeight="12.75" x14ac:dyDescent="0.2"/>
  <cols>
    <col min="1" max="1" width="4.42578125" style="203" customWidth="1"/>
    <col min="2" max="2" width="9.140625" style="203"/>
    <col min="3" max="3" width="83.42578125" style="203" customWidth="1"/>
    <col min="4" max="4" width="11.42578125" style="203" customWidth="1"/>
    <col min="5" max="5" width="17.42578125" style="203" customWidth="1"/>
    <col min="6" max="7" width="15.7109375" style="203" customWidth="1"/>
    <col min="8" max="8" width="4.5703125" style="203" customWidth="1"/>
    <col min="9" max="9" width="9.140625" style="203"/>
    <col min="10" max="10" width="18.7109375" style="203" customWidth="1"/>
    <col min="11" max="16384" width="9.140625" style="203"/>
  </cols>
  <sheetData>
    <row r="1" spans="2:7" x14ac:dyDescent="0.2">
      <c r="B1" s="279" t="s">
        <v>153</v>
      </c>
      <c r="C1" s="279"/>
      <c r="D1" s="279"/>
      <c r="E1" s="279"/>
      <c r="F1" s="279"/>
      <c r="G1" s="279"/>
    </row>
    <row r="2" spans="2:7" x14ac:dyDescent="0.2">
      <c r="B2" s="1"/>
      <c r="C2" s="1"/>
      <c r="D2" s="1"/>
      <c r="E2" s="1"/>
      <c r="F2" s="1"/>
      <c r="G2" s="1"/>
    </row>
    <row r="3" spans="2:7" x14ac:dyDescent="0.2">
      <c r="B3" s="280" t="s">
        <v>153</v>
      </c>
      <c r="C3" s="280"/>
      <c r="D3" s="280"/>
      <c r="E3" s="280"/>
      <c r="F3" s="280"/>
      <c r="G3" s="280"/>
    </row>
    <row r="4" spans="2:7" ht="38.25" x14ac:dyDescent="0.2">
      <c r="B4" s="204" t="s">
        <v>154</v>
      </c>
      <c r="C4" s="205" t="s">
        <v>155</v>
      </c>
      <c r="D4" s="205" t="s">
        <v>156</v>
      </c>
      <c r="E4" s="205" t="s">
        <v>157</v>
      </c>
      <c r="F4" s="205" t="s">
        <v>158</v>
      </c>
      <c r="G4" s="206" t="s">
        <v>159</v>
      </c>
    </row>
    <row r="5" spans="2:7" ht="14.25" x14ac:dyDescent="0.2">
      <c r="B5" s="207">
        <v>1</v>
      </c>
      <c r="C5" s="208" t="s">
        <v>160</v>
      </c>
      <c r="D5" s="209" t="s">
        <v>156</v>
      </c>
      <c r="E5" s="209">
        <v>2</v>
      </c>
      <c r="F5" s="40">
        <v>72.08</v>
      </c>
      <c r="G5" s="210">
        <f>E5*F5</f>
        <v>144.16</v>
      </c>
    </row>
    <row r="6" spans="2:7" ht="14.25" x14ac:dyDescent="0.2">
      <c r="B6" s="207">
        <v>2</v>
      </c>
      <c r="C6" s="208" t="s">
        <v>161</v>
      </c>
      <c r="D6" s="209" t="s">
        <v>156</v>
      </c>
      <c r="E6" s="209">
        <v>2</v>
      </c>
      <c r="F6" s="40">
        <v>88.57</v>
      </c>
      <c r="G6" s="210">
        <f>E6*F6</f>
        <v>177.14</v>
      </c>
    </row>
    <row r="7" spans="2:7" ht="14.25" x14ac:dyDescent="0.2">
      <c r="B7" s="207">
        <v>3</v>
      </c>
      <c r="C7" s="208" t="s">
        <v>162</v>
      </c>
      <c r="D7" s="209" t="s">
        <v>163</v>
      </c>
      <c r="E7" s="209">
        <v>2</v>
      </c>
      <c r="F7" s="40">
        <v>69.91</v>
      </c>
      <c r="G7" s="210">
        <f>E7*F7</f>
        <v>139.82</v>
      </c>
    </row>
    <row r="8" spans="2:7" ht="13.5" customHeight="1" x14ac:dyDescent="0.2">
      <c r="B8" s="207">
        <v>4</v>
      </c>
      <c r="C8" s="208" t="s">
        <v>164</v>
      </c>
      <c r="D8" s="209" t="s">
        <v>156</v>
      </c>
      <c r="E8" s="209">
        <v>1</v>
      </c>
      <c r="F8" s="40">
        <v>126.78</v>
      </c>
      <c r="G8" s="210">
        <f>E8*F8</f>
        <v>126.78</v>
      </c>
    </row>
    <row r="9" spans="2:7" ht="19.5" customHeight="1" x14ac:dyDescent="0.2">
      <c r="B9" s="281" t="s">
        <v>165</v>
      </c>
      <c r="C9" s="281"/>
      <c r="D9" s="281"/>
      <c r="E9" s="281"/>
      <c r="F9" s="281"/>
      <c r="G9" s="211">
        <f>SUM(G5:G8)</f>
        <v>587.9</v>
      </c>
    </row>
    <row r="10" spans="2:7" x14ac:dyDescent="0.2">
      <c r="B10" s="282" t="s">
        <v>166</v>
      </c>
      <c r="C10" s="282"/>
      <c r="D10" s="282"/>
      <c r="E10" s="282"/>
      <c r="F10" s="282"/>
      <c r="G10" s="212">
        <f>+G9/10</f>
        <v>58.79</v>
      </c>
    </row>
    <row r="11" spans="2:7" x14ac:dyDescent="0.2">
      <c r="B11" s="283"/>
      <c r="C11" s="283"/>
      <c r="D11" s="283"/>
      <c r="E11" s="283"/>
      <c r="F11" s="283"/>
      <c r="G11" s="283"/>
    </row>
    <row r="12" spans="2:7" x14ac:dyDescent="0.2">
      <c r="B12" s="213"/>
      <c r="C12" s="213"/>
      <c r="D12" s="213"/>
      <c r="E12" s="213"/>
      <c r="F12" s="213"/>
      <c r="G12" s="213"/>
    </row>
    <row r="13" spans="2:7" x14ac:dyDescent="0.2">
      <c r="B13" s="213"/>
      <c r="C13" s="213"/>
      <c r="D13" s="213"/>
      <c r="E13" s="213"/>
      <c r="F13" s="213"/>
      <c r="G13" s="213"/>
    </row>
  </sheetData>
  <mergeCells count="5">
    <mergeCell ref="B1:G1"/>
    <mergeCell ref="B3:G3"/>
    <mergeCell ref="B9:F9"/>
    <mergeCell ref="B10:F10"/>
    <mergeCell ref="B11:G11"/>
  </mergeCells>
  <printOptions horizontalCentered="1"/>
  <pageMargins left="0.25" right="0.25" top="0.75" bottom="0.75" header="0.511811023622047" footer="0.511811023622047"/>
  <pageSetup scale="66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5"/>
  <sheetViews>
    <sheetView zoomScaleNormal="100" workbookViewId="0">
      <selection activeCell="F8" sqref="F8"/>
    </sheetView>
  </sheetViews>
  <sheetFormatPr defaultColWidth="8.7109375" defaultRowHeight="12.75" x14ac:dyDescent="0.2"/>
  <cols>
    <col min="2" max="2" width="61" customWidth="1"/>
    <col min="3" max="4" width="10.7109375" customWidth="1"/>
  </cols>
  <sheetData>
    <row r="2" spans="2:11" x14ac:dyDescent="0.2">
      <c r="B2" s="279" t="s">
        <v>167</v>
      </c>
      <c r="C2" s="279"/>
      <c r="D2" s="279"/>
      <c r="E2" s="214"/>
    </row>
    <row r="3" spans="2:11" x14ac:dyDescent="0.2">
      <c r="B3" s="286" t="s">
        <v>168</v>
      </c>
      <c r="C3" s="286"/>
      <c r="D3" s="286"/>
      <c r="E3" s="1"/>
    </row>
    <row r="5" spans="2:11" ht="13.5" customHeight="1" x14ac:dyDescent="0.2">
      <c r="B5" s="215" t="s">
        <v>169</v>
      </c>
      <c r="C5" s="287" t="s">
        <v>170</v>
      </c>
      <c r="D5" s="287"/>
      <c r="E5" s="216"/>
    </row>
    <row r="6" spans="2:11" ht="19.5" customHeight="1" x14ac:dyDescent="0.2">
      <c r="B6" s="217" t="s">
        <v>171</v>
      </c>
      <c r="C6" s="284">
        <v>9.0899999999999995E-2</v>
      </c>
      <c r="D6" s="284"/>
      <c r="E6" s="216"/>
    </row>
    <row r="7" spans="2:11" ht="19.5" customHeight="1" x14ac:dyDescent="0.2">
      <c r="B7" s="217" t="s">
        <v>172</v>
      </c>
      <c r="C7" s="284">
        <f>(1/3)*C6</f>
        <v>3.0299999999999997E-2</v>
      </c>
      <c r="D7" s="284"/>
      <c r="E7" s="219"/>
    </row>
    <row r="8" spans="2:11" ht="19.5" customHeight="1" x14ac:dyDescent="0.2">
      <c r="B8" s="217" t="s">
        <v>173</v>
      </c>
      <c r="C8" s="284">
        <v>9.0899999999999995E-2</v>
      </c>
      <c r="D8" s="284"/>
    </row>
    <row r="9" spans="2:11" ht="19.5" customHeight="1" x14ac:dyDescent="0.2">
      <c r="B9" s="220" t="s">
        <v>40</v>
      </c>
      <c r="C9" s="285">
        <f>SUM(C6:D8)</f>
        <v>0.21209999999999998</v>
      </c>
      <c r="D9" s="285"/>
      <c r="G9" s="221"/>
      <c r="H9" s="221"/>
      <c r="I9" s="221"/>
      <c r="J9" s="221"/>
    </row>
    <row r="10" spans="2:11" ht="19.5" customHeight="1" x14ac:dyDescent="0.2">
      <c r="B10" s="217"/>
      <c r="C10" s="222" t="s">
        <v>174</v>
      </c>
      <c r="D10" s="223" t="s">
        <v>175</v>
      </c>
      <c r="G10" s="224"/>
      <c r="H10" s="221"/>
      <c r="I10" s="221"/>
      <c r="J10" s="221"/>
    </row>
    <row r="11" spans="2:11" ht="19.5" customHeight="1" x14ac:dyDescent="0.2">
      <c r="B11" s="217" t="s">
        <v>176</v>
      </c>
      <c r="C11" s="225">
        <v>0.34300000000000003</v>
      </c>
      <c r="D11" s="226">
        <v>0.39800000000000002</v>
      </c>
      <c r="G11" s="221"/>
      <c r="H11" s="221"/>
      <c r="I11" s="221"/>
      <c r="J11" s="221"/>
    </row>
    <row r="12" spans="2:11" ht="25.5" x14ac:dyDescent="0.2">
      <c r="B12" s="217" t="s">
        <v>177</v>
      </c>
      <c r="C12" s="225">
        <f>TRUNC(C9*C11,4)</f>
        <v>7.2700000000000001E-2</v>
      </c>
      <c r="D12" s="218">
        <f>C9*D11</f>
        <v>8.4415799999999999E-2</v>
      </c>
      <c r="G12" s="221"/>
      <c r="H12" s="221"/>
      <c r="I12" s="221"/>
      <c r="J12" s="221"/>
    </row>
    <row r="13" spans="2:11" ht="19.5" customHeight="1" x14ac:dyDescent="0.2">
      <c r="B13" s="217" t="s">
        <v>178</v>
      </c>
      <c r="C13" s="284">
        <v>3.4700000000000002E-2</v>
      </c>
      <c r="D13" s="284"/>
      <c r="E13" s="227"/>
      <c r="G13" s="228"/>
      <c r="H13" s="228"/>
      <c r="I13" s="228"/>
      <c r="J13" s="221"/>
      <c r="K13" s="221"/>
    </row>
    <row r="14" spans="2:11" ht="19.5" customHeight="1" x14ac:dyDescent="0.2">
      <c r="B14" s="229" t="s">
        <v>179</v>
      </c>
      <c r="C14" s="230">
        <f>C9+C12+C13</f>
        <v>0.31950000000000001</v>
      </c>
      <c r="D14" s="231">
        <f>C9+D12+C13+0.0001</f>
        <v>0.33131579999999999</v>
      </c>
      <c r="G14" s="221"/>
      <c r="H14" s="221"/>
      <c r="I14" s="221"/>
      <c r="J14" s="221"/>
    </row>
    <row r="15" spans="2:11" ht="19.5" customHeight="1" x14ac:dyDescent="0.2">
      <c r="B15" s="232" t="s">
        <v>180</v>
      </c>
      <c r="G15" s="221"/>
      <c r="H15" s="221"/>
    </row>
  </sheetData>
  <mergeCells count="8">
    <mergeCell ref="C8:D8"/>
    <mergeCell ref="C9:D9"/>
    <mergeCell ref="C13:D13"/>
    <mergeCell ref="B2:D2"/>
    <mergeCell ref="B3:D3"/>
    <mergeCell ref="C5:D5"/>
    <mergeCell ref="C6:D6"/>
    <mergeCell ref="C7:D7"/>
  </mergeCells>
  <printOptions horizontalCentered="1"/>
  <pageMargins left="0.23611111111111099" right="0.23611111111111099" top="0.74791666666666701" bottom="0.74791666666666701" header="0.511811023622047" footer="0.511811023622047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Normal="100" workbookViewId="0">
      <selection activeCell="N30" sqref="N30"/>
    </sheetView>
  </sheetViews>
  <sheetFormatPr defaultColWidth="8.7109375" defaultRowHeight="12.75" x14ac:dyDescent="0.2"/>
  <sheetData/>
  <pageMargins left="0.51180555555555596" right="0.51180555555555596" top="0.78749999999999998" bottom="0.78749999999999998" header="0.511811023622047" footer="0.511811023622047"/>
  <pageSetup paperSize="9" scale="98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TOTAL DO CONTRATO</vt:lpstr>
      <vt:lpstr>MOTORISTA</vt:lpstr>
      <vt:lpstr>Monitor</vt:lpstr>
      <vt:lpstr>CUSTO MANUT. VEICULO</vt:lpstr>
      <vt:lpstr>Uniformes</vt:lpstr>
      <vt:lpstr>CTG</vt:lpstr>
      <vt:lpstr>Memória</vt:lpstr>
      <vt:lpstr>CTG!Area_de_impressao</vt:lpstr>
      <vt:lpstr>'CUSTO MANUT. VEICULO'!Area_de_impressao</vt:lpstr>
      <vt:lpstr>MOTORISTA!Area_de_impressao</vt:lpstr>
      <vt:lpstr>Uniformes!Area_de_impressao</vt:lpstr>
    </vt:vector>
  </TitlesOfParts>
  <Company>Tribunal de Justiça do Paraná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rjb</dc:creator>
  <dc:description/>
  <cp:lastModifiedBy>Márcio Rodrigo Oliveira Filho</cp:lastModifiedBy>
  <cp:revision>1</cp:revision>
  <cp:lastPrinted>2024-04-24T18:53:54Z</cp:lastPrinted>
  <dcterms:created xsi:type="dcterms:W3CDTF">2011-05-27T16:59:43Z</dcterms:created>
  <dcterms:modified xsi:type="dcterms:W3CDTF">2024-04-24T18:54:42Z</dcterms:modified>
  <dc:language>pt-BR</dc:language>
</cp:coreProperties>
</file>