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uário\Desktop\NOVA LEI LICITAÇÕES\2026\LIMPEZA URBANA\"/>
    </mc:Choice>
  </mc:AlternateContent>
  <xr:revisionPtr revIDLastSave="0" documentId="8_{E9828675-E3E0-4735-B537-511973E25A97}" xr6:coauthVersionLast="47" xr6:coauthVersionMax="47" xr10:uidLastSave="{00000000-0000-0000-0000-000000000000}"/>
  <bookViews>
    <workbookView xWindow="-120" yWindow="-120" windowWidth="29040" windowHeight="15840" tabRatio="823" xr2:uid="{00000000-000D-0000-FFFF-FFFF00000000}"/>
  </bookViews>
  <sheets>
    <sheet name="ORCAMENTO" sheetId="11" r:id="rId1"/>
    <sheet name=" COMPOSICOES" sheetId="4" r:id="rId2"/>
    <sheet name="BDI " sheetId="7" r:id="rId3"/>
  </sheets>
  <definedNames>
    <definedName name="____xlnm.Print_Area_2">#REF!</definedName>
    <definedName name="____xlnm.Print_Area_3">#REF!</definedName>
    <definedName name="____xlnm.Print_Area_3_1">#REF!</definedName>
    <definedName name="____xlnm.Print_Titles_2">#REF!</definedName>
    <definedName name="____xlnm.Print_Titles_3">#REF!</definedName>
    <definedName name="___xlnm.Print_Area_2">#REF!</definedName>
    <definedName name="___xlnm.Print_Area_3">#REF!</definedName>
    <definedName name="___xlnm.Print_Area_3_1">#REF!</definedName>
    <definedName name="___xlnm.Print_Titles_2">#REF!</definedName>
    <definedName name="___xlnm.Print_Titles_3">#REF!</definedName>
    <definedName name="__Anonymous_Sheet_DB__0">#REF!</definedName>
    <definedName name="__xlnm.Print_Area_2">#REF!</definedName>
    <definedName name="__xlnm.Print_Area_3">#REF!</definedName>
    <definedName name="__xlnm.Print_Area_3_1">#REF!</definedName>
    <definedName name="__xlnm.Print_Titles_2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ORCAMENTO!$A$1:$J$29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ot">#REF!</definedName>
    <definedName name="COTAÇÃO">#REF!</definedName>
    <definedName name="crono">#REF!</definedName>
    <definedName name="CRONO_ADD">#REF!</definedName>
    <definedName name="CRONO_RES">#REF!</definedName>
    <definedName name="d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#REF!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g">#REF!</definedName>
    <definedName name="ini">#REF!</definedName>
    <definedName name="j">#REF!</definedName>
    <definedName name="k">"$#REF!.$A$1:$B$2408"</definedName>
    <definedName name="matriz">#REF!</definedName>
    <definedName name="MINUS">#REF!</definedName>
    <definedName name="Plan1">"$#REF!.$A$1:$B$2408"</definedName>
    <definedName name="PLUS">#REF!</definedName>
    <definedName name="po">#REF!</definedName>
    <definedName name="REF">#REF!</definedName>
    <definedName name="rere">#REF!</definedName>
    <definedName name="RODAPÉ">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1" l="1"/>
  <c r="J9" i="11" l="1"/>
  <c r="J10" i="11"/>
  <c r="H9" i="11"/>
  <c r="J28" i="11"/>
  <c r="J19" i="11"/>
  <c r="J18" i="11"/>
  <c r="J17" i="11"/>
  <c r="J16" i="11"/>
  <c r="J8" i="11"/>
  <c r="J6" i="11"/>
  <c r="I29" i="4"/>
  <c r="J29" i="4" s="1"/>
  <c r="I23" i="4"/>
  <c r="J23" i="4" s="1"/>
  <c r="H8" i="11"/>
  <c r="G27" i="11"/>
  <c r="J27" i="11" s="1"/>
  <c r="G26" i="11"/>
  <c r="J26" i="11" s="1"/>
  <c r="G25" i="11"/>
  <c r="J25" i="11" s="1"/>
  <c r="G7" i="11"/>
  <c r="J7" i="11" s="1"/>
  <c r="G10" i="4" l="1"/>
  <c r="G16" i="4"/>
  <c r="G22" i="4"/>
  <c r="G21" i="4"/>
  <c r="G9" i="4"/>
  <c r="G15" i="4"/>
  <c r="H77" i="4"/>
  <c r="H28" i="11" s="1"/>
  <c r="H31" i="4"/>
  <c r="H18" i="11" s="1"/>
  <c r="H58" i="4"/>
  <c r="H72" i="4"/>
  <c r="H27" i="11" s="1"/>
  <c r="H67" i="4"/>
  <c r="H26" i="11" s="1"/>
  <c r="H62" i="4"/>
  <c r="H25" i="11" s="1"/>
  <c r="H11" i="11" l="1"/>
  <c r="H20" i="11"/>
  <c r="H53" i="4"/>
  <c r="H39" i="4"/>
  <c r="H46" i="4"/>
  <c r="H36" i="4"/>
  <c r="H19" i="11" s="1"/>
  <c r="D20" i="7"/>
  <c r="F4" i="7" s="1"/>
  <c r="G14" i="4"/>
  <c r="H26" i="4" l="1"/>
  <c r="H17" i="11" s="1"/>
  <c r="H19" i="4"/>
  <c r="H16" i="11" s="1"/>
  <c r="H13" i="4"/>
  <c r="H7" i="11" s="1"/>
  <c r="J3" i="4"/>
  <c r="I54" i="4" s="1"/>
  <c r="H7" i="4"/>
  <c r="H6" i="11" s="1"/>
  <c r="I10" i="4" l="1"/>
  <c r="J10" i="4" s="1"/>
  <c r="I55" i="4"/>
  <c r="J55" i="4" s="1"/>
  <c r="I28" i="4"/>
  <c r="J28" i="4" s="1"/>
  <c r="I22" i="4"/>
  <c r="J22" i="4" s="1"/>
  <c r="I21" i="4"/>
  <c r="J21" i="4" s="1"/>
  <c r="I9" i="4"/>
  <c r="J9" i="4" s="1"/>
  <c r="I15" i="4"/>
  <c r="J15" i="4" s="1"/>
  <c r="I33" i="4"/>
  <c r="J33" i="4" s="1"/>
  <c r="I34" i="4"/>
  <c r="J34" i="4" s="1"/>
  <c r="I16" i="4"/>
  <c r="J16" i="4" s="1"/>
  <c r="I61" i="4"/>
  <c r="J61" i="4" s="1"/>
  <c r="I51" i="4"/>
  <c r="J51" i="4" s="1"/>
  <c r="I56" i="4"/>
  <c r="J56" i="4" s="1"/>
  <c r="I44" i="4"/>
  <c r="J44" i="4" s="1"/>
  <c r="I35" i="4"/>
  <c r="J35" i="4" s="1"/>
  <c r="I17" i="4"/>
  <c r="J17" i="4" s="1"/>
  <c r="I68" i="4"/>
  <c r="J68" i="4" s="1"/>
  <c r="I73" i="4"/>
  <c r="I76" i="4"/>
  <c r="J76" i="4" s="1"/>
  <c r="I74" i="4"/>
  <c r="J74" i="4" s="1"/>
  <c r="I75" i="4"/>
  <c r="J75" i="4" s="1"/>
  <c r="I66" i="4"/>
  <c r="J66" i="4" s="1"/>
  <c r="I71" i="4"/>
  <c r="J71" i="4" s="1"/>
  <c r="I69" i="4"/>
  <c r="J69" i="4" s="1"/>
  <c r="I70" i="4"/>
  <c r="J70" i="4" s="1"/>
  <c r="I30" i="4"/>
  <c r="J30" i="4" s="1"/>
  <c r="I65" i="4"/>
  <c r="J65" i="4" s="1"/>
  <c r="I64" i="4"/>
  <c r="J64" i="4" s="1"/>
  <c r="I79" i="4"/>
  <c r="J79" i="4" s="1"/>
  <c r="I63" i="4"/>
  <c r="I78" i="4"/>
  <c r="I25" i="4"/>
  <c r="J25" i="4" s="1"/>
  <c r="I24" i="4"/>
  <c r="J24" i="4" s="1"/>
  <c r="I57" i="4"/>
  <c r="J57" i="4" s="1"/>
  <c r="I52" i="4"/>
  <c r="J52" i="4" s="1"/>
  <c r="I50" i="4"/>
  <c r="J50" i="4" s="1"/>
  <c r="I47" i="4"/>
  <c r="I49" i="4"/>
  <c r="J49" i="4" s="1"/>
  <c r="I48" i="4"/>
  <c r="J48" i="4" s="1"/>
  <c r="I38" i="4"/>
  <c r="J38" i="4" s="1"/>
  <c r="I45" i="4"/>
  <c r="J45" i="4" s="1"/>
  <c r="I43" i="4"/>
  <c r="J43" i="4" s="1"/>
  <c r="I18" i="4"/>
  <c r="J18" i="4" s="1"/>
  <c r="I37" i="4"/>
  <c r="I42" i="4"/>
  <c r="J42" i="4" s="1"/>
  <c r="I41" i="4"/>
  <c r="J41" i="4" s="1"/>
  <c r="I40" i="4"/>
  <c r="I32" i="4"/>
  <c r="I8" i="4"/>
  <c r="J8" i="4" s="1"/>
  <c r="I27" i="4"/>
  <c r="I11" i="4"/>
  <c r="J11" i="4" s="1"/>
  <c r="I12" i="4"/>
  <c r="J12" i="4" s="1"/>
  <c r="I14" i="4"/>
  <c r="I59" i="4"/>
  <c r="I20" i="4"/>
  <c r="I60" i="4"/>
  <c r="J60" i="4" s="1"/>
  <c r="J7" i="4" l="1"/>
  <c r="J67" i="4"/>
  <c r="I31" i="4"/>
  <c r="I58" i="4"/>
  <c r="J73" i="4"/>
  <c r="J72" i="4" s="1"/>
  <c r="I72" i="4"/>
  <c r="I67" i="4"/>
  <c r="I62" i="4"/>
  <c r="J63" i="4"/>
  <c r="J62" i="4" s="1"/>
  <c r="I77" i="4"/>
  <c r="J78" i="4"/>
  <c r="J77" i="4" s="1"/>
  <c r="J27" i="4"/>
  <c r="J26" i="4" s="1"/>
  <c r="I26" i="4"/>
  <c r="I19" i="4"/>
  <c r="J20" i="4"/>
  <c r="J19" i="4" s="1"/>
  <c r="J47" i="4"/>
  <c r="J46" i="4" s="1"/>
  <c r="I46" i="4"/>
  <c r="J54" i="4"/>
  <c r="J53" i="4" s="1"/>
  <c r="I53" i="4"/>
  <c r="I39" i="4"/>
  <c r="J14" i="4"/>
  <c r="J13" i="4" s="1"/>
  <c r="I13" i="4"/>
  <c r="I36" i="4"/>
  <c r="J37" i="4"/>
  <c r="J36" i="4" s="1"/>
  <c r="J40" i="4"/>
  <c r="J39" i="4" s="1"/>
  <c r="J32" i="4"/>
  <c r="J31" i="4" s="1"/>
  <c r="J59" i="4"/>
  <c r="J58" i="4" s="1"/>
  <c r="I7" i="4"/>
  <c r="I11" i="11" l="1"/>
  <c r="J11" i="11" s="1"/>
  <c r="J12" i="11" s="1"/>
  <c r="I20" i="11"/>
  <c r="J20" i="11" l="1"/>
  <c r="J21" i="11" s="1"/>
  <c r="J29" i="11"/>
</calcChain>
</file>

<file path=xl/sharedStrings.xml><?xml version="1.0" encoding="utf-8"?>
<sst xmlns="http://schemas.openxmlformats.org/spreadsheetml/2006/main" count="429" uniqueCount="189">
  <si>
    <t>TOTAL</t>
  </si>
  <si>
    <t>M</t>
  </si>
  <si>
    <t>1.1</t>
  </si>
  <si>
    <t>UN</t>
  </si>
  <si>
    <t>SINAPI</t>
  </si>
  <si>
    <t>SERVENTE COM ENCARGOS COMPLEMENTARES</t>
  </si>
  <si>
    <t>H</t>
  </si>
  <si>
    <t xml:space="preserve">E9156
</t>
  </si>
  <si>
    <t>ha</t>
  </si>
  <si>
    <t>JARDINEIRO COM ENCARGOS COMPLEMENTARES</t>
  </si>
  <si>
    <t xml:space="preserve"> E9093 </t>
  </si>
  <si>
    <t>CÓDIGO</t>
  </si>
  <si>
    <t>DESCRIÇÃO</t>
  </si>
  <si>
    <t>BDI</t>
  </si>
  <si>
    <t>OBRA:</t>
  </si>
  <si>
    <t>DATA BASE:</t>
  </si>
  <si>
    <t>BDI:</t>
  </si>
  <si>
    <t>LOCALIZAÇÃO:</t>
  </si>
  <si>
    <t>CÁLCULO BENEFÍCIOS E DESEPESAS INDIRETAS (BDI)</t>
  </si>
  <si>
    <t>ITEM</t>
  </si>
  <si>
    <t>1 QUARTIL</t>
  </si>
  <si>
    <t>MÉDIO</t>
  </si>
  <si>
    <t>3 QUARTIL</t>
  </si>
  <si>
    <t>VALOR ADOTADO</t>
  </si>
  <si>
    <t>Taxa de Administração Central (AC)</t>
  </si>
  <si>
    <t>Taxa de Seguro, Risco e Garantia (S + R+ G)</t>
  </si>
  <si>
    <t>Taxa de Despesas Financeiras (DF)</t>
  </si>
  <si>
    <t>Taxa de Lucro/Remuneração (L)</t>
  </si>
  <si>
    <t>Taxa de Tributos (I)</t>
  </si>
  <si>
    <t>6.1</t>
  </si>
  <si>
    <t>PIS</t>
  </si>
  <si>
    <t>6.2</t>
  </si>
  <si>
    <t>COFINS</t>
  </si>
  <si>
    <t>6.3</t>
  </si>
  <si>
    <t>REFERÊNCIAS</t>
  </si>
  <si>
    <t>ISS</t>
  </si>
  <si>
    <t>CUSTO
TOTAL</t>
  </si>
  <si>
    <t>CUSTO 
UNITÁRIO</t>
  </si>
  <si>
    <t>QTD</t>
  </si>
  <si>
    <t>LOTE 3</t>
  </si>
  <si>
    <t>LOTE 2</t>
  </si>
  <si>
    <t>CUSTO 
BDI
UNITÁRIO</t>
  </si>
  <si>
    <t>LOTE 1</t>
  </si>
  <si>
    <t xml:space="preserve"> LIMPEZA, MANUTENÇÃO E CONSERVAÇÃO DE ESPAÇOS PÚBLICOS </t>
  </si>
  <si>
    <t>BALSA NOVA - PR</t>
  </si>
  <si>
    <t>SERVIÇO DE LIMPEZA URBANA</t>
  </si>
  <si>
    <t>1.2</t>
  </si>
  <si>
    <t>1.3</t>
  </si>
  <si>
    <t>1.4</t>
  </si>
  <si>
    <t>REFERÊNCIA</t>
  </si>
  <si>
    <t>COMP_01</t>
  </si>
  <si>
    <t>COMP_02</t>
  </si>
  <si>
    <t>COMP_03</t>
  </si>
  <si>
    <t>COMP_04</t>
  </si>
  <si>
    <t>COMP_05</t>
  </si>
  <si>
    <t>PINTURA DE MEIO-FIO COM TINTA BRANCA A BASE DE CAL</t>
  </si>
  <si>
    <t>COMP_06</t>
  </si>
  <si>
    <t>COMP_07</t>
  </si>
  <si>
    <t>COMPOSIÇÕES</t>
  </si>
  <si>
    <t>1.5</t>
  </si>
  <si>
    <t>E9585</t>
  </si>
  <si>
    <t>ENCARREGADO GERAL COM ENCARGOS COMPLEMENTARES</t>
  </si>
  <si>
    <t>MOTOSSERRA COM MOTOR A GASOLINA - 2,30 KW</t>
  </si>
  <si>
    <t>E9690</t>
  </si>
  <si>
    <t>CAMINHÃO GUINDAUTO COM CESTO AÉREO SIMPLES E CAPACIDADE DE ELEVAÇÃO DE 5,7 T E
CARROCERIA DE 8,5 T - 136 KW</t>
  </si>
  <si>
    <t>COMP_08</t>
  </si>
  <si>
    <t>CORTE/SUPRESSÃO E REMOÇÃO DE ÁRVORES COM TRONCOS DE DIVERSOS DIÂMETROS, COM ALTURA DE ATÉ 10 METROS, INCLUINDO CARREGAMENTO, TRANSPORTE E DESTINAÇÃO FINAL DOS RESÍDUOS</t>
  </si>
  <si>
    <t>PODA EM ALTURA DE ÁRVORES COM TRONCOS DE DIVERSOS DIÂMETROS, COM ALTURA DE ATÉ 10 METROS, INCLUINDO CARREGAMENTO, TRANSPORTE E DESTINAÇÃO FINAL DOS RESÍDUOS</t>
  </si>
  <si>
    <t>COMP_09</t>
  </si>
  <si>
    <t>SERVENTE COM ENCARGOS COMPLEMENTARES COM ENCARGOS COMPLEMENTARES</t>
  </si>
  <si>
    <t>E9262</t>
  </si>
  <si>
    <t>ESCOVA ROTATIVA COM CERDAS DE AÇO PARA TRATAMENTO DE SUPERFÍCIE - 0,91 KW</t>
  </si>
  <si>
    <t>COMP_10</t>
  </si>
  <si>
    <t>CARGA, MANOBRA E DESCARGA DE ENTULHO EM CAMINHÃO BASCULANTE 6 M³ - CARGA COM ESCAVADEIRA HIDRÁULICA (CAÇAMBA DE 0,80 M³ / 111 HP) E DESCARGA LIVRE (UNIDADE: M3)</t>
  </si>
  <si>
    <t>TRANSPORTE COM CAMINHÃO BASCULANTE DE 6 M³, EM VIA URBANA PAVIMENTADA, ADICIONAL PARA DMT
EXCEDENTE A 30 KM (UNIDADE: M3XKM)</t>
  </si>
  <si>
    <t>SCO-RIO</t>
  </si>
  <si>
    <t>TC 10.05.0702 (A)</t>
  </si>
  <si>
    <t>SERVICO DE DESTINACAO FINAL DE RESIDUOS DE CONSTRUCAO CIVIL (RCC - CLASSES A, B OU C) EM LOCAL ADEQUADO E LICENCIADO POR ORGAO AMBIENTAL COMPETENTE, CONFORME LEGISLACAO VIGENTE.</t>
  </si>
  <si>
    <t>CARREGAMENTO, TRANSPORTE E DESTINAÇÃO FINAL DOS RESÍDUOS</t>
  </si>
  <si>
    <t>T</t>
  </si>
  <si>
    <t>SERVICO DE DISPOSICAO FINAL DE MATERIAL INERTE, PROVENIENTE DE ESCAVACAO EM GERAL, EM LOCAL ADEQUADO E LICENCIADO POR ORGAO AMBIENTAL COMPETENTE, CONFORME LEGISLACAO VIGENTE.</t>
  </si>
  <si>
    <t>TC 10.05.0701</t>
  </si>
  <si>
    <t>TAXA DE DESTINAÇÃO DE RESÍDUO SÓLIDO EM ATERRO, TIPO INERTE</t>
  </si>
  <si>
    <t>CPOS</t>
  </si>
  <si>
    <t xml:space="preserve">	A.05.000.020299</t>
  </si>
  <si>
    <t>M³</t>
  </si>
  <si>
    <t>ROÇADA MECANIZADA COM ROÇADEIRA ARTICULADA</t>
  </si>
  <si>
    <t>SOPRADOR DE AR COSTAL - 2,6 KW</t>
  </si>
  <si>
    <t>TELA DE PROTEÇÃO PARA ROÇADA EM TUBO GALVANIZADO 4,0 X 1,5 M - CONFECÇÃO</t>
  </si>
  <si>
    <t>ROÇADA COM ROÇADEIRA COSTAL</t>
  </si>
  <si>
    <t>LIMPEZA DE SARJETA E MEIO-FIO</t>
  </si>
  <si>
    <t>VEÍCULO LEVE - 53 KW (SEM MOTORISTA) CONSIDERANDO  01 VEÍCULOS PARA DESLOCAMENTO 6 HORAS DIÁRIAS A CAMPO</t>
  </si>
  <si>
    <t>ROÇADA MECANIZADA C/ TRATOR E IMPLEMENTO PARA ROÇADEIRA ARTICULADA,  INCLUINDO CARREGAMENTO, TRANSPORTE E DESTINAÇÃO FINAL DOS RESÍDUOS</t>
  </si>
  <si>
    <t>ROÇADA MANUAL C/ ROÇADEIRAS MECÂNICAS TIPO "COSTAL",  INCLUINDO CARREGAMENTO, TRANSPORTE E DESTINAÇÃO FINAL DOS RESÍDUOS</t>
  </si>
  <si>
    <t>SERVIÇO DE CAPINA MANUAL E RASPAGEM EM PAVIMENTO DE PAVER, LAJOTA, PARALELEPÍPEDO, OU EM CALÇADAS,  INCLUINDO CARREGAMENTO, TRANSPORTE E DESTINAÇÃO FINAL DOS RESÍDUOS</t>
  </si>
  <si>
    <t>LIMPEZA DE CANALETAS, MEIA CANA, SARJETA, MEIO FIO E VALAS DE DRENAGEM,   INCLUINDO CARREGAMENTO, TRANSPORTE E DESTINAÇÃO FINAL DOS RESÍDUOS</t>
  </si>
  <si>
    <t>LIMPEZA E DESOBSTRUÇÃO DE CAIXAS COLETORAS E BUEIROS,  INCLUINDO CARREGAMENTO, TRANSPORTE E DESTINAÇÃO FINAL DOS RESÍDUOS</t>
  </si>
  <si>
    <t>RETIRADA DE RCC – RESÍDUOS DA CONSTRUÇÃO CIVIL,  INCLUINDO CARREGAMENTO, TRANSPORTE E DESTINAÇÃO FINAL DOS RESÍDUOS</t>
  </si>
  <si>
    <t>RETIRADA DE ENTULHOS INSERVÍVEIS E DE DESCARTE IRREGULAR DIVERSOS, INCLUINDO CARREGAMENTO, TRANSPORTE E DESTINAÇÃO FINAL DOS RESÍDUOS</t>
  </si>
  <si>
    <t>RETIRADA DE GALHADAS AVULSAS, RESTOS DE ROÇADA E RESÍDUOS VEGETAIS,  INCLUINDO CARREGAMENTO, TRANSPORTE E DESTINAÇÃO FINAL DOS RESÍDUOS</t>
  </si>
  <si>
    <t>COMP_11</t>
  </si>
  <si>
    <t>COMP_12</t>
  </si>
  <si>
    <t>COMP_13</t>
  </si>
  <si>
    <t>M²</t>
  </si>
  <si>
    <t>BANCO</t>
  </si>
  <si>
    <t>UNIDADE</t>
  </si>
  <si>
    <t>QUANTIDADE 
UNITÁRIA</t>
  </si>
  <si>
    <t>UNITÁRIO</t>
  </si>
  <si>
    <t>UNITÁRIO COM BDI</t>
  </si>
  <si>
    <t>PREÇO DE REFERÊNCIA MÁXIMO</t>
  </si>
  <si>
    <t>DESCRIÇÃO/ESPECIFICAÇÃO</t>
  </si>
  <si>
    <t>BDI ADOTADO:</t>
  </si>
  <si>
    <t>LIMPEZA E DESOBSTRUÇÃO MECANIZADA DE BUEIROS COM DIÂMETRO DE ATÉ 1,00 M</t>
  </si>
  <si>
    <t>TRANSPORTE DE DETRITOS COM CAMINHÃO DE HIDROJATEAMENTO DE ALTA PRESSÃO E VÁCUO DE 9 M³ - RODOVIA PAVIMENTADA</t>
  </si>
  <si>
    <t>TXKM</t>
  </si>
  <si>
    <t xml:space="preserve">	DISPOSIÇÃO FINAL DE SOLOS E RESÍDUOS, CLASSE II A - NÃO INERTES, EM ATERRO SANITÁRIO LICENCIADO</t>
  </si>
  <si>
    <t>SIURB</t>
  </si>
  <si>
    <t>DIÁRIA</t>
  </si>
  <si>
    <t>COMP_14</t>
  </si>
  <si>
    <t xml:space="preserve">MOBILIZAÇÃO E DESMOBILIZAÇÃO DIÁRIA DAS EQUIPES </t>
  </si>
  <si>
    <t xml:space="preserve">	2233</t>
  </si>
  <si>
    <t xml:space="preserve">	MOTORISTA DE VEÍCULO LEVE - KOMBI, PICK-UP OU SIMILAR (SGSP)</t>
  </si>
  <si>
    <t>2.1</t>
  </si>
  <si>
    <t>2.3</t>
  </si>
  <si>
    <t>2.4</t>
  </si>
  <si>
    <t>2.5</t>
  </si>
  <si>
    <t>3.1</t>
  </si>
  <si>
    <t>3.3</t>
  </si>
  <si>
    <t>3.4</t>
  </si>
  <si>
    <t>3.5</t>
  </si>
  <si>
    <t>4.1</t>
  </si>
  <si>
    <t>4.3</t>
  </si>
  <si>
    <t>4.4</t>
  </si>
  <si>
    <t>5.1</t>
  </si>
  <si>
    <t>5.2</t>
  </si>
  <si>
    <t>5.3</t>
  </si>
  <si>
    <t>5.4</t>
  </si>
  <si>
    <t>7.1</t>
  </si>
  <si>
    <t>7.2</t>
  </si>
  <si>
    <t>7.3</t>
  </si>
  <si>
    <t>7.4</t>
  </si>
  <si>
    <t>7.5</t>
  </si>
  <si>
    <t>7.6</t>
  </si>
  <si>
    <t>8.1</t>
  </si>
  <si>
    <t>8.2</t>
  </si>
  <si>
    <t>8.3</t>
  </si>
  <si>
    <t>8.4</t>
  </si>
  <si>
    <t>8.5</t>
  </si>
  <si>
    <t>8.6</t>
  </si>
  <si>
    <t>9.1</t>
  </si>
  <si>
    <t>9.2</t>
  </si>
  <si>
    <t>9.4</t>
  </si>
  <si>
    <t>10.1</t>
  </si>
  <si>
    <t>10.2</t>
  </si>
  <si>
    <t>10.3</t>
  </si>
  <si>
    <t>11.1</t>
  </si>
  <si>
    <t>11.2</t>
  </si>
  <si>
    <t>11.3</t>
  </si>
  <si>
    <t>11.4</t>
  </si>
  <si>
    <t>12.1</t>
  </si>
  <si>
    <t>12.2</t>
  </si>
  <si>
    <t>12.3</t>
  </si>
  <si>
    <t>12.4</t>
  </si>
  <si>
    <t>13.1</t>
  </si>
  <si>
    <t>13.2</t>
  </si>
  <si>
    <t>13.3</t>
  </si>
  <si>
    <t>13.4</t>
  </si>
  <si>
    <t>14.1</t>
  </si>
  <si>
    <t>14.2</t>
  </si>
  <si>
    <t>2.6</t>
  </si>
  <si>
    <t>TOTAL DO LOTE:</t>
  </si>
  <si>
    <t>E9156</t>
  </si>
  <si>
    <t>CAPINA MANUAL</t>
  </si>
  <si>
    <t>SICRO3</t>
  </si>
  <si>
    <t>TRATOR AGRÍCOLA SOBRE PNEUS COM ROÇADEIRA DE ARRASTE E CAPACIDADE DE 1,50 M - 77 KW</t>
  </si>
  <si>
    <t>E9745</t>
  </si>
  <si>
    <t>9.3</t>
  </si>
  <si>
    <t>LIMPEZA MECANIZADA VERTICAL DE CAMADA VEGETAL, VEGETAÇÃO E PEQUENAS ÁRVORES, COM TRATOR AGRÍCOLA SOBRE PNEUS COM ROÇADEIRA, INCLUINDO CARREGAMENTO, TRANSPORTE E DESTINAÇÃO FINAL DOS RESÍDUOS</t>
  </si>
  <si>
    <t>3.2</t>
  </si>
  <si>
    <t>3.6</t>
  </si>
  <si>
    <t>4.2</t>
  </si>
  <si>
    <t>PREFEITURA MUNICIPAL DE BALSA NOVA
SECRETARIA MUNICIPAL DE OBRAS
PLANILHA DE ORÇAMENTO</t>
  </si>
  <si>
    <r>
      <t xml:space="preserve">BANCOS:
</t>
    </r>
    <r>
      <rPr>
        <sz val="10"/>
        <rFont val="Calibri"/>
        <family val="2"/>
      </rPr>
      <t>SINAPI-PR - 03/2026
ORSE - 03/2026
SICRO3-PR - 01/2026
SCO-RIO - 04/2026
CPOS - 04/2026
SIURB - 01/2026</t>
    </r>
  </si>
  <si>
    <t>CATSER</t>
  </si>
  <si>
    <t xml:space="preserve"> Grupo 853</t>
  </si>
  <si>
    <t>Grupo 643</t>
  </si>
  <si>
    <t xml:space="preserve"> Grupo 542</t>
  </si>
  <si>
    <t xml:space="preserve"> Grupo 547</t>
  </si>
  <si>
    <t xml:space="preserve"> Grupo 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</si>
</sst>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&quot;-&quot;??_-;_-@"/>
    <numFmt numFmtId="165" formatCode="_-&quot;R$&quot;\ * #,##0.00_-;\-&quot;R$&quot;\ * #,##0.00_-;_-&quot;R$&quot;\ * &quot;-&quot;??_-;_-@"/>
    <numFmt numFmtId="166" formatCode="&quot;R$&quot;\ #,##0.00"/>
    <numFmt numFmtId="167" formatCode="_-* #,##0.000000_-;\-* #,##0.000000_-;_-* &quot;-&quot;??_-;_-@"/>
    <numFmt numFmtId="168" formatCode="_-* #,##0.0000_-;\-* #,##0.0000_-;_-* &quot;-&quot;??_-;_-@"/>
    <numFmt numFmtId="169" formatCode="&quot;R$&quot;\ #,##0.000"/>
  </numFmts>
  <fonts count="25">
    <font>
      <sz val="1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</font>
    <font>
      <b/>
      <sz val="10"/>
      <color rgb="FFFF0000"/>
      <name val="Calibri"/>
      <family val="2"/>
    </font>
    <font>
      <b/>
      <sz val="12"/>
      <name val="Calibri"/>
      <family val="2"/>
    </font>
    <font>
      <b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theme="9" tint="0.39997558519241921"/>
        <bgColor rgb="FFFEF2CB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D8D8D8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17"/>
  </cellStyleXfs>
  <cellXfs count="149">
    <xf numFmtId="0" fontId="0" fillId="0" borderId="0" xfId="0"/>
    <xf numFmtId="165" fontId="5" fillId="0" borderId="7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7" fontId="5" fillId="0" borderId="7" xfId="0" applyNumberFormat="1" applyFont="1" applyBorder="1" applyAlignment="1">
      <alignment horizontal="center" vertical="center"/>
    </xf>
    <xf numFmtId="0" fontId="2" fillId="0" borderId="17" xfId="1"/>
    <xf numFmtId="0" fontId="2" fillId="0" borderId="17" xfId="1" applyAlignment="1">
      <alignment horizontal="center"/>
    </xf>
    <xf numFmtId="0" fontId="2" fillId="0" borderId="17" xfId="1" applyAlignment="1">
      <alignment horizontal="center" vertical="center"/>
    </xf>
    <xf numFmtId="0" fontId="2" fillId="0" borderId="17" xfId="1" applyAlignment="1">
      <alignment vertical="center"/>
    </xf>
    <xf numFmtId="166" fontId="2" fillId="0" borderId="18" xfId="1" applyNumberFormat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9" fillId="0" borderId="18" xfId="1" applyFont="1" applyBorder="1" applyAlignment="1">
      <alignment horizontal="justify" vertical="center"/>
    </xf>
    <xf numFmtId="0" fontId="8" fillId="0" borderId="17" xfId="1" applyFont="1" applyAlignment="1">
      <alignment horizontal="center" vertical="center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/>
    </xf>
    <xf numFmtId="0" fontId="9" fillId="0" borderId="17" xfId="1" applyFont="1" applyAlignment="1">
      <alignment horizontal="justify" vertical="center"/>
    </xf>
    <xf numFmtId="0" fontId="10" fillId="0" borderId="0" xfId="0" applyFont="1"/>
    <xf numFmtId="0" fontId="10" fillId="0" borderId="19" xfId="0" applyFont="1" applyBorder="1"/>
    <xf numFmtId="0" fontId="10" fillId="0" borderId="17" xfId="0" applyFont="1" applyBorder="1"/>
    <xf numFmtId="0" fontId="5" fillId="0" borderId="12" xfId="0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/>
    </xf>
    <xf numFmtId="0" fontId="9" fillId="0" borderId="18" xfId="1" applyFont="1" applyBorder="1" applyAlignment="1">
      <alignment horizontal="justify" vertical="center" wrapText="1"/>
    </xf>
    <xf numFmtId="0" fontId="13" fillId="0" borderId="0" xfId="0" applyFont="1" applyAlignment="1">
      <alignment horizontal="center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10" fontId="6" fillId="4" borderId="7" xfId="0" applyNumberFormat="1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top" wrapText="1"/>
    </xf>
    <xf numFmtId="0" fontId="3" fillId="7" borderId="7" xfId="0" applyFont="1" applyFill="1" applyBorder="1" applyAlignment="1">
      <alignment horizontal="center" vertical="center"/>
    </xf>
    <xf numFmtId="3" fontId="12" fillId="8" borderId="7" xfId="0" applyNumberFormat="1" applyFont="1" applyFill="1" applyBorder="1" applyAlignment="1">
      <alignment horizontal="center" vertical="center"/>
    </xf>
    <xf numFmtId="164" fontId="12" fillId="8" borderId="7" xfId="0" applyNumberFormat="1" applyFont="1" applyFill="1" applyBorder="1" applyAlignment="1">
      <alignment horizontal="center" vertical="center"/>
    </xf>
    <xf numFmtId="165" fontId="12" fillId="8" borderId="7" xfId="0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3" fontId="3" fillId="8" borderId="7" xfId="0" applyNumberFormat="1" applyFont="1" applyFill="1" applyBorder="1" applyAlignment="1">
      <alignment horizontal="center" vertical="center"/>
    </xf>
    <xf numFmtId="164" fontId="3" fillId="8" borderId="7" xfId="0" applyNumberFormat="1" applyFont="1" applyFill="1" applyBorder="1" applyAlignment="1">
      <alignment horizontal="center" vertical="center"/>
    </xf>
    <xf numFmtId="165" fontId="3" fillId="8" borderId="7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9" fillId="0" borderId="17" xfId="1" applyFont="1" applyAlignment="1">
      <alignment vertical="center"/>
    </xf>
    <xf numFmtId="3" fontId="3" fillId="8" borderId="7" xfId="0" applyNumberFormat="1" applyFont="1" applyFill="1" applyBorder="1" applyAlignment="1">
      <alignment horizontal="center" vertical="center" wrapText="1"/>
    </xf>
    <xf numFmtId="0" fontId="1" fillId="0" borderId="18" xfId="1" applyFont="1" applyBorder="1" applyAlignment="1">
      <alignment horizontal="center" vertical="center"/>
    </xf>
    <xf numFmtId="0" fontId="13" fillId="0" borderId="19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/>
    </xf>
    <xf numFmtId="2" fontId="13" fillId="0" borderId="17" xfId="0" applyNumberFormat="1" applyFont="1" applyBorder="1" applyAlignment="1">
      <alignment horizontal="left" vertical="center"/>
    </xf>
    <xf numFmtId="17" fontId="10" fillId="0" borderId="17" xfId="0" applyNumberFormat="1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10" fontId="10" fillId="0" borderId="17" xfId="0" applyNumberFormat="1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2" fontId="10" fillId="0" borderId="21" xfId="0" applyNumberFormat="1" applyFont="1" applyBorder="1" applyAlignment="1">
      <alignment horizontal="left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2" fontId="13" fillId="2" borderId="15" xfId="0" applyNumberFormat="1" applyFont="1" applyFill="1" applyBorder="1" applyAlignment="1">
      <alignment horizontal="center" vertical="center" wrapText="1"/>
    </xf>
    <xf numFmtId="2" fontId="13" fillId="2" borderId="25" xfId="0" applyNumberFormat="1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7" xfId="0" applyFont="1" applyBorder="1"/>
    <xf numFmtId="10" fontId="10" fillId="0" borderId="7" xfId="0" applyNumberFormat="1" applyFont="1" applyBorder="1" applyAlignment="1">
      <alignment horizontal="center"/>
    </xf>
    <xf numFmtId="10" fontId="10" fillId="0" borderId="27" xfId="0" applyNumberFormat="1" applyFont="1" applyBorder="1" applyAlignment="1">
      <alignment horizontal="center"/>
    </xf>
    <xf numFmtId="0" fontId="20" fillId="0" borderId="26" xfId="0" applyFont="1" applyBorder="1" applyAlignment="1">
      <alignment horizontal="center" vertical="center"/>
    </xf>
    <xf numFmtId="0" fontId="20" fillId="0" borderId="7" xfId="0" applyFont="1" applyBorder="1"/>
    <xf numFmtId="10" fontId="20" fillId="0" borderId="7" xfId="0" applyNumberFormat="1" applyFont="1" applyBorder="1" applyAlignment="1">
      <alignment horizontal="center"/>
    </xf>
    <xf numFmtId="10" fontId="20" fillId="0" borderId="27" xfId="0" applyNumberFormat="1" applyFont="1" applyBorder="1" applyAlignment="1">
      <alignment horizontal="center"/>
    </xf>
    <xf numFmtId="0" fontId="20" fillId="0" borderId="7" xfId="0" applyFont="1" applyBorder="1" applyAlignment="1">
      <alignment wrapText="1"/>
    </xf>
    <xf numFmtId="0" fontId="10" fillId="0" borderId="19" xfId="0" applyFont="1" applyBorder="1" applyAlignment="1">
      <alignment horizontal="center" vertical="center"/>
    </xf>
    <xf numFmtId="2" fontId="10" fillId="0" borderId="17" xfId="0" applyNumberFormat="1" applyFont="1" applyBorder="1" applyAlignment="1">
      <alignment horizontal="center" vertical="center"/>
    </xf>
    <xf numFmtId="2" fontId="10" fillId="0" borderId="20" xfId="0" applyNumberFormat="1" applyFont="1" applyBorder="1" applyAlignment="1">
      <alignment horizontal="center" vertical="center"/>
    </xf>
    <xf numFmtId="0" fontId="13" fillId="0" borderId="17" xfId="0" applyFont="1" applyBorder="1" applyAlignment="1">
      <alignment horizontal="right" vertical="center"/>
    </xf>
    <xf numFmtId="10" fontId="13" fillId="0" borderId="17" xfId="0" applyNumberFormat="1" applyFont="1" applyBorder="1" applyAlignment="1">
      <alignment horizontal="center" vertical="center"/>
    </xf>
    <xf numFmtId="0" fontId="10" fillId="0" borderId="28" xfId="0" applyFont="1" applyBorder="1"/>
    <xf numFmtId="0" fontId="10" fillId="0" borderId="29" xfId="0" applyFont="1" applyBorder="1"/>
    <xf numFmtId="0" fontId="13" fillId="0" borderId="29" xfId="0" applyFont="1" applyBorder="1" applyAlignment="1">
      <alignment horizontal="left" wrapText="1"/>
    </xf>
    <xf numFmtId="0" fontId="10" fillId="0" borderId="29" xfId="0" applyFont="1" applyBorder="1" applyAlignment="1">
      <alignment horizontal="center"/>
    </xf>
    <xf numFmtId="2" fontId="10" fillId="0" borderId="30" xfId="0" applyNumberFormat="1" applyFont="1" applyBorder="1"/>
    <xf numFmtId="0" fontId="22" fillId="0" borderId="18" xfId="1" applyFont="1" applyBorder="1" applyAlignment="1">
      <alignment horizontal="justify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7" xfId="0" applyNumberFormat="1" applyFont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4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0" fontId="8" fillId="0" borderId="17" xfId="1" applyFont="1" applyAlignment="1">
      <alignment vertical="center"/>
    </xf>
    <xf numFmtId="0" fontId="8" fillId="0" borderId="37" xfId="1" applyFont="1" applyBorder="1" applyAlignment="1">
      <alignment horizontal="center" vertical="center" wrapText="1"/>
    </xf>
    <xf numFmtId="166" fontId="2" fillId="0" borderId="37" xfId="1" applyNumberFormat="1" applyBorder="1" applyAlignment="1">
      <alignment horizontal="center" vertical="center"/>
    </xf>
    <xf numFmtId="166" fontId="15" fillId="11" borderId="30" xfId="1" applyNumberFormat="1" applyFont="1" applyFill="1" applyBorder="1" applyAlignment="1">
      <alignment horizontal="center" vertical="center"/>
    </xf>
    <xf numFmtId="3" fontId="5" fillId="0" borderId="7" xfId="0" quotePrefix="1" applyNumberFormat="1" applyFont="1" applyBorder="1" applyAlignment="1">
      <alignment horizontal="center" vertical="center"/>
    </xf>
    <xf numFmtId="168" fontId="5" fillId="0" borderId="7" xfId="0" applyNumberFormat="1" applyFont="1" applyBorder="1" applyAlignment="1">
      <alignment horizontal="center" vertical="center"/>
    </xf>
    <xf numFmtId="43" fontId="0" fillId="0" borderId="18" xfId="0" applyNumberFormat="1" applyBorder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43" fontId="2" fillId="0" borderId="17" xfId="1" applyNumberFormat="1" applyAlignment="1">
      <alignment vertical="center"/>
    </xf>
    <xf numFmtId="166" fontId="8" fillId="0" borderId="17" xfId="1" applyNumberFormat="1" applyFont="1" applyAlignment="1">
      <alignment vertical="center"/>
    </xf>
    <xf numFmtId="166" fontId="2" fillId="0" borderId="17" xfId="1" applyNumberFormat="1" applyAlignment="1">
      <alignment vertical="center"/>
    </xf>
    <xf numFmtId="43" fontId="19" fillId="0" borderId="17" xfId="1" applyNumberFormat="1" applyFont="1" applyAlignment="1">
      <alignment vertical="center"/>
    </xf>
    <xf numFmtId="43" fontId="8" fillId="0" borderId="17" xfId="1" applyNumberFormat="1" applyFont="1" applyAlignment="1">
      <alignment horizontal="center" vertical="center"/>
    </xf>
    <xf numFmtId="166" fontId="8" fillId="0" borderId="17" xfId="1" applyNumberFormat="1" applyFont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9" fillId="0" borderId="41" xfId="1" applyFont="1" applyBorder="1" applyAlignment="1">
      <alignment horizontal="center" vertical="center"/>
    </xf>
    <xf numFmtId="0" fontId="8" fillId="0" borderId="42" xfId="1" applyFont="1" applyBorder="1" applyAlignment="1">
      <alignment horizontal="center" vertical="center"/>
    </xf>
    <xf numFmtId="0" fontId="9" fillId="0" borderId="42" xfId="1" applyFont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3" fontId="3" fillId="8" borderId="13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9" fontId="2" fillId="0" borderId="17" xfId="1" applyNumberFormat="1" applyAlignment="1">
      <alignment vertical="center"/>
    </xf>
    <xf numFmtId="0" fontId="8" fillId="0" borderId="29" xfId="1" applyFont="1" applyBorder="1" applyAlignment="1">
      <alignment horizontal="center" vertical="center" wrapText="1"/>
    </xf>
    <xf numFmtId="0" fontId="15" fillId="11" borderId="38" xfId="1" applyFont="1" applyFill="1" applyBorder="1" applyAlignment="1">
      <alignment horizontal="right" vertical="center"/>
    </xf>
    <xf numFmtId="0" fontId="15" fillId="11" borderId="39" xfId="1" applyFont="1" applyFill="1" applyBorder="1" applyAlignment="1">
      <alignment horizontal="right" vertical="center"/>
    </xf>
    <xf numFmtId="0" fontId="24" fillId="0" borderId="31" xfId="1" applyFont="1" applyBorder="1" applyAlignment="1">
      <alignment horizontal="center" vertical="center"/>
    </xf>
    <xf numFmtId="0" fontId="24" fillId="0" borderId="32" xfId="1" applyFont="1" applyBorder="1" applyAlignment="1">
      <alignment horizontal="center" vertical="center"/>
    </xf>
    <xf numFmtId="0" fontId="24" fillId="0" borderId="33" xfId="1" applyFont="1" applyBorder="1" applyAlignment="1">
      <alignment horizontal="center" vertical="center"/>
    </xf>
    <xf numFmtId="0" fontId="23" fillId="10" borderId="34" xfId="1" applyFont="1" applyFill="1" applyBorder="1" applyAlignment="1">
      <alignment horizontal="center" vertical="center"/>
    </xf>
    <xf numFmtId="0" fontId="23" fillId="10" borderId="40" xfId="1" applyFont="1" applyFill="1" applyBorder="1" applyAlignment="1">
      <alignment horizontal="center" vertical="center"/>
    </xf>
    <xf numFmtId="0" fontId="23" fillId="10" borderId="35" xfId="1" applyFont="1" applyFill="1" applyBorder="1" applyAlignment="1">
      <alignment horizontal="center" vertical="center"/>
    </xf>
    <xf numFmtId="0" fontId="23" fillId="10" borderId="36" xfId="1" applyFont="1" applyFill="1" applyBorder="1" applyAlignment="1">
      <alignment horizontal="center" vertical="center"/>
    </xf>
    <xf numFmtId="0" fontId="15" fillId="11" borderId="28" xfId="1" applyFont="1" applyFill="1" applyBorder="1" applyAlignment="1">
      <alignment horizontal="right" vertical="center"/>
    </xf>
    <xf numFmtId="0" fontId="15" fillId="11" borderId="29" xfId="1" applyFont="1" applyFill="1" applyBorder="1" applyAlignment="1">
      <alignment horizontal="right" vertical="center"/>
    </xf>
    <xf numFmtId="0" fontId="3" fillId="8" borderId="5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/>
    </xf>
    <xf numFmtId="0" fontId="12" fillId="8" borderId="42" xfId="0" applyFont="1" applyFill="1" applyBorder="1" applyAlignment="1">
      <alignment horizontal="center" vertical="center" wrapText="1"/>
    </xf>
    <xf numFmtId="0" fontId="12" fillId="8" borderId="44" xfId="0" applyFont="1" applyFill="1" applyBorder="1" applyAlignment="1">
      <alignment horizontal="center" vertical="center" wrapText="1"/>
    </xf>
    <xf numFmtId="0" fontId="12" fillId="8" borderId="12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/>
    </xf>
    <xf numFmtId="0" fontId="13" fillId="0" borderId="22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21" fillId="3" borderId="31" xfId="0" applyFont="1" applyFill="1" applyBorder="1" applyAlignment="1">
      <alignment horizontal="center" vertical="center" wrapText="1"/>
    </xf>
    <xf numFmtId="0" fontId="21" fillId="3" borderId="32" xfId="0" applyFont="1" applyFill="1" applyBorder="1" applyAlignment="1">
      <alignment horizontal="center" vertical="center" wrapText="1"/>
    </xf>
    <xf numFmtId="0" fontId="21" fillId="3" borderId="3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477462B-A80F-4F12-9935-C364BE79D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35524</xdr:colOff>
      <xdr:row>0</xdr:row>
      <xdr:rowOff>95250</xdr:rowOff>
    </xdr:from>
    <xdr:ext cx="1517052" cy="909753"/>
    <xdr:pic>
      <xdr:nvPicPr>
        <xdr:cNvPr id="2" name="Imagem 1">
          <a:extLst>
            <a:ext uri="{FF2B5EF4-FFF2-40B4-BE49-F238E27FC236}">
              <a16:creationId xmlns:a16="http://schemas.microsoft.com/office/drawing/2014/main" id="{727CE506-2AA4-4DC7-BB43-DB1A000419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492"/>
        <a:stretch>
          <a:fillRect/>
        </a:stretch>
      </xdr:blipFill>
      <xdr:spPr>
        <a:xfrm>
          <a:off x="130774" y="95250"/>
          <a:ext cx="1517052" cy="90975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17</xdr:row>
      <xdr:rowOff>152400</xdr:rowOff>
    </xdr:from>
    <xdr:ext cx="3971925" cy="257175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868680" y="3634740"/>
          <a:ext cx="3977640" cy="2590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r>
            <a:rPr lang="pt-BR" sz="1100" b="0" i="0">
              <a:latin typeface="Cambria Math" panose="02040503050406030204" pitchFamily="18" charset="0"/>
            </a:rPr>
            <a:t>𝐵𝐷𝐼=  ((1+𝐴𝐶+𝑆+𝑅+𝐺)</a:t>
          </a:r>
          <a:r>
            <a:rPr lang="pt-BR" sz="1100" b="0" i="0">
              <a:latin typeface="Cambria Math" panose="02040503050406030204" pitchFamily="18" charset="0"/>
              <a:ea typeface="Cambria Math" panose="02040503050406030204" pitchFamily="18" charset="0"/>
            </a:rPr>
            <a:t>×(1+𝐷𝐹)×(1+𝐿))/((</a:t>
          </a:r>
          <a:r>
            <a:rPr lang="pt-BR" sz="1100" b="0" i="0">
              <a:latin typeface="Cambria Math" panose="02040503050406030204" pitchFamily="18" charset="0"/>
            </a:rPr>
            <a:t>1−𝐼) )</a:t>
          </a:r>
          <a:r>
            <a:rPr lang="pt-BR" sz="1100" b="0" i="0">
              <a:latin typeface="Cambria Math" panose="02040503050406030204" pitchFamily="18" charset="0"/>
              <a:ea typeface="Cambria Math" panose="02040503050406030204" pitchFamily="18" charset="0"/>
            </a:rPr>
            <a:t>−1</a:t>
          </a:r>
          <a:endParaRPr lang="pt-BR"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DA22F-7F6C-44C5-81ED-B2FAB425D449}">
  <dimension ref="B1:N29"/>
  <sheetViews>
    <sheetView showGridLines="0" tabSelected="1" view="pageBreakPreview" topLeftCell="A2" zoomScaleNormal="100" zoomScaleSheetLayoutView="100" workbookViewId="0">
      <selection activeCell="B2" sqref="B2:J2"/>
    </sheetView>
  </sheetViews>
  <sheetFormatPr defaultRowHeight="15"/>
  <cols>
    <col min="1" max="1" width="1.42578125" style="8" customWidth="1"/>
    <col min="2" max="2" width="7.7109375" style="8" customWidth="1"/>
    <col min="3" max="3" width="12.85546875" style="8" customWidth="1"/>
    <col min="4" max="4" width="10.85546875" style="8" customWidth="1"/>
    <col min="5" max="5" width="56.140625" style="8" customWidth="1"/>
    <col min="6" max="6" width="7.140625" style="10" customWidth="1"/>
    <col min="7" max="7" width="13.5703125" style="9" customWidth="1"/>
    <col min="8" max="8" width="9.42578125" style="9" customWidth="1"/>
    <col min="9" max="9" width="9.85546875" style="9" bestFit="1" customWidth="1"/>
    <col min="10" max="10" width="16.7109375" style="9" customWidth="1"/>
    <col min="11" max="11" width="10.5703125" style="8" bestFit="1" customWidth="1"/>
    <col min="12" max="12" width="17.5703125" style="8" bestFit="1" customWidth="1"/>
    <col min="13" max="13" width="14.42578125" style="8" bestFit="1" customWidth="1"/>
    <col min="14" max="14" width="11.5703125" style="8" bestFit="1" customWidth="1"/>
    <col min="15" max="16384" width="9.140625" style="8"/>
  </cols>
  <sheetData>
    <row r="1" spans="2:14" ht="87.75" customHeight="1" thickBot="1">
      <c r="B1" s="108" t="s">
        <v>181</v>
      </c>
      <c r="C1" s="108"/>
      <c r="D1" s="108"/>
      <c r="E1" s="108"/>
      <c r="F1" s="108"/>
      <c r="G1" s="108"/>
      <c r="H1" s="108"/>
      <c r="I1" s="108"/>
      <c r="J1" s="108"/>
    </row>
    <row r="2" spans="2:14" s="11" customFormat="1" ht="24" customHeight="1" thickBot="1">
      <c r="B2" s="111" t="s">
        <v>43</v>
      </c>
      <c r="C2" s="112"/>
      <c r="D2" s="112"/>
      <c r="E2" s="112"/>
      <c r="F2" s="112"/>
      <c r="G2" s="112"/>
      <c r="H2" s="112"/>
      <c r="I2" s="112"/>
      <c r="J2" s="113"/>
    </row>
    <row r="3" spans="2:14" ht="15.75" thickBot="1"/>
    <row r="4" spans="2:14" s="11" customFormat="1" ht="15.75">
      <c r="B4" s="114" t="s">
        <v>42</v>
      </c>
      <c r="C4" s="115"/>
      <c r="D4" s="116"/>
      <c r="E4" s="116"/>
      <c r="F4" s="116"/>
      <c r="G4" s="116"/>
      <c r="H4" s="116"/>
      <c r="I4" s="116"/>
      <c r="J4" s="117"/>
    </row>
    <row r="5" spans="2:14" s="15" customFormat="1" ht="45">
      <c r="B5" s="102" t="s">
        <v>11</v>
      </c>
      <c r="C5" s="17" t="s">
        <v>49</v>
      </c>
      <c r="D5" s="17" t="s">
        <v>183</v>
      </c>
      <c r="E5" s="17" t="s">
        <v>12</v>
      </c>
      <c r="F5" s="17" t="s">
        <v>3</v>
      </c>
      <c r="G5" s="17" t="s">
        <v>38</v>
      </c>
      <c r="H5" s="16" t="s">
        <v>37</v>
      </c>
      <c r="I5" s="16" t="s">
        <v>41</v>
      </c>
      <c r="J5" s="86" t="s">
        <v>36</v>
      </c>
      <c r="L5" s="98"/>
    </row>
    <row r="6" spans="2:14" s="11" customFormat="1" ht="57">
      <c r="B6" s="103">
        <v>1</v>
      </c>
      <c r="C6" s="23" t="s">
        <v>50</v>
      </c>
      <c r="D6" s="23" t="s">
        <v>184</v>
      </c>
      <c r="E6" s="14" t="s">
        <v>92</v>
      </c>
      <c r="F6" s="41" t="s">
        <v>103</v>
      </c>
      <c r="G6" s="91">
        <v>953232</v>
      </c>
      <c r="H6" s="12">
        <f>' COMPOSICOES'!H7</f>
        <v>0.37040000000000001</v>
      </c>
      <c r="I6" s="12">
        <v>0.44</v>
      </c>
      <c r="J6" s="87">
        <f t="shared" ref="J6:J8" si="0">G6*I6</f>
        <v>419422.08</v>
      </c>
      <c r="K6" s="39"/>
      <c r="L6" s="96"/>
    </row>
    <row r="7" spans="2:14" s="11" customFormat="1" ht="42.75">
      <c r="B7" s="103">
        <v>2</v>
      </c>
      <c r="C7" s="23" t="s">
        <v>51</v>
      </c>
      <c r="D7" s="23" t="s">
        <v>184</v>
      </c>
      <c r="E7" s="14" t="s">
        <v>93</v>
      </c>
      <c r="F7" s="41" t="s">
        <v>103</v>
      </c>
      <c r="G7" s="91">
        <f>4766160*0.8</f>
        <v>3812928</v>
      </c>
      <c r="H7" s="12">
        <f>' COMPOSICOES'!H13</f>
        <v>0.38619999999999999</v>
      </c>
      <c r="I7" s="12">
        <v>0.47</v>
      </c>
      <c r="J7" s="87">
        <f t="shared" si="0"/>
        <v>1792076.16</v>
      </c>
      <c r="K7" s="39"/>
      <c r="L7" s="107"/>
      <c r="M7" s="96"/>
    </row>
    <row r="8" spans="2:14" s="11" customFormat="1" ht="71.25">
      <c r="B8" s="103">
        <v>9</v>
      </c>
      <c r="C8" s="23" t="s">
        <v>68</v>
      </c>
      <c r="D8" s="23" t="s">
        <v>184</v>
      </c>
      <c r="E8" s="76" t="s">
        <v>177</v>
      </c>
      <c r="F8" s="41" t="s">
        <v>103</v>
      </c>
      <c r="G8" s="91">
        <v>419120</v>
      </c>
      <c r="H8" s="12">
        <f>' COMPOSICOES'!H53</f>
        <v>0.39810000000000001</v>
      </c>
      <c r="I8" s="12">
        <v>0.49</v>
      </c>
      <c r="J8" s="87">
        <f t="shared" si="0"/>
        <v>205368.8</v>
      </c>
      <c r="K8" s="39"/>
      <c r="L8" s="94"/>
      <c r="M8" s="94"/>
      <c r="N8" s="94"/>
    </row>
    <row r="9" spans="2:14" s="11" customFormat="1" ht="71.25">
      <c r="B9" s="103">
        <v>7</v>
      </c>
      <c r="C9" s="23" t="s">
        <v>57</v>
      </c>
      <c r="D9" s="23" t="s">
        <v>188</v>
      </c>
      <c r="E9" s="24" t="s">
        <v>66</v>
      </c>
      <c r="F9" s="41" t="s">
        <v>3</v>
      </c>
      <c r="G9" s="13">
        <v>100</v>
      </c>
      <c r="H9" s="12">
        <f>' COMPOSICOES'!H39</f>
        <v>177.08080000000001</v>
      </c>
      <c r="I9" s="12">
        <v>215.84</v>
      </c>
      <c r="J9" s="87">
        <f>G9*I9</f>
        <v>21584</v>
      </c>
    </row>
    <row r="10" spans="2:14" s="11" customFormat="1" ht="57">
      <c r="B10" s="103">
        <v>8</v>
      </c>
      <c r="C10" s="23" t="s">
        <v>65</v>
      </c>
      <c r="D10" s="23" t="s">
        <v>188</v>
      </c>
      <c r="E10" s="24" t="s">
        <v>67</v>
      </c>
      <c r="F10" s="41" t="s">
        <v>3</v>
      </c>
      <c r="G10" s="13">
        <v>400</v>
      </c>
      <c r="H10" s="12">
        <f>' COMPOSICOES'!H46</f>
        <v>88.590299999999999</v>
      </c>
      <c r="I10" s="12">
        <v>107.98</v>
      </c>
      <c r="J10" s="87">
        <f>G10*I10</f>
        <v>43192</v>
      </c>
    </row>
    <row r="11" spans="2:14" s="11" customFormat="1" ht="28.5">
      <c r="B11" s="103">
        <v>14</v>
      </c>
      <c r="C11" s="23" t="s">
        <v>118</v>
      </c>
      <c r="D11" s="23" t="s">
        <v>185</v>
      </c>
      <c r="E11" s="76" t="s">
        <v>119</v>
      </c>
      <c r="F11" s="41" t="s">
        <v>117</v>
      </c>
      <c r="G11" s="13">
        <v>252</v>
      </c>
      <c r="H11" s="12">
        <f>' COMPOSICOES'!H77</f>
        <v>380.16</v>
      </c>
      <c r="I11" s="12">
        <f>' COMPOSICOES'!I77</f>
        <v>463.32</v>
      </c>
      <c r="J11" s="87">
        <f>G11*I11</f>
        <v>116756.64</v>
      </c>
    </row>
    <row r="12" spans="2:14" s="85" customFormat="1" ht="21" customHeight="1" thickBot="1">
      <c r="B12" s="118" t="s">
        <v>170</v>
      </c>
      <c r="C12" s="119"/>
      <c r="D12" s="119"/>
      <c r="E12" s="119"/>
      <c r="F12" s="119"/>
      <c r="G12" s="119"/>
      <c r="H12" s="119"/>
      <c r="I12" s="119"/>
      <c r="J12" s="88">
        <f>J6+J7+J8+J11+J9+J10</f>
        <v>2598399.6799999997</v>
      </c>
      <c r="L12" s="95"/>
    </row>
    <row r="13" spans="2:14" s="11" customFormat="1" ht="15.75" thickBot="1">
      <c r="F13" s="10"/>
      <c r="G13" s="10"/>
      <c r="H13" s="10"/>
      <c r="I13" s="10"/>
      <c r="J13" s="10"/>
    </row>
    <row r="14" spans="2:14" s="11" customFormat="1" ht="15.75">
      <c r="B14" s="114" t="s">
        <v>40</v>
      </c>
      <c r="C14" s="115"/>
      <c r="D14" s="116"/>
      <c r="E14" s="116"/>
      <c r="F14" s="116"/>
      <c r="G14" s="116"/>
      <c r="H14" s="116"/>
      <c r="I14" s="116"/>
      <c r="J14" s="117"/>
    </row>
    <row r="15" spans="2:14" s="15" customFormat="1" ht="45">
      <c r="B15" s="100" t="s">
        <v>11</v>
      </c>
      <c r="C15" s="17" t="s">
        <v>49</v>
      </c>
      <c r="D15" s="17" t="s">
        <v>183</v>
      </c>
      <c r="E15" s="17" t="s">
        <v>12</v>
      </c>
      <c r="F15" s="17" t="s">
        <v>3</v>
      </c>
      <c r="G15" s="17" t="s">
        <v>38</v>
      </c>
      <c r="H15" s="16" t="s">
        <v>37</v>
      </c>
      <c r="I15" s="16" t="s">
        <v>41</v>
      </c>
      <c r="J15" s="86" t="s">
        <v>36</v>
      </c>
      <c r="M15" s="99"/>
    </row>
    <row r="16" spans="2:14" s="11" customFormat="1" ht="57">
      <c r="B16" s="101">
        <v>3</v>
      </c>
      <c r="C16" s="23" t="s">
        <v>52</v>
      </c>
      <c r="D16" s="23" t="s">
        <v>184</v>
      </c>
      <c r="E16" s="14" t="s">
        <v>94</v>
      </c>
      <c r="F16" s="41" t="s">
        <v>103</v>
      </c>
      <c r="G16" s="91">
        <v>104580</v>
      </c>
      <c r="H16" s="12">
        <f>' COMPOSICOES'!H19</f>
        <v>2.4020999999999999</v>
      </c>
      <c r="I16" s="12">
        <v>2.92</v>
      </c>
      <c r="J16" s="87">
        <f t="shared" ref="J16:J20" si="1">G16*I16</f>
        <v>305373.59999999998</v>
      </c>
      <c r="K16" s="39"/>
      <c r="L16" s="94"/>
      <c r="M16" s="94"/>
    </row>
    <row r="17" spans="2:12" s="11" customFormat="1" ht="57">
      <c r="B17" s="101">
        <v>4</v>
      </c>
      <c r="C17" s="23" t="s">
        <v>53</v>
      </c>
      <c r="D17" s="23" t="s">
        <v>186</v>
      </c>
      <c r="E17" s="14" t="s">
        <v>95</v>
      </c>
      <c r="F17" s="41" t="s">
        <v>1</v>
      </c>
      <c r="G17" s="91">
        <v>192300</v>
      </c>
      <c r="H17" s="12">
        <f>' COMPOSICOES'!H26</f>
        <v>1.1814</v>
      </c>
      <c r="I17" s="12">
        <v>1.43</v>
      </c>
      <c r="J17" s="87">
        <f t="shared" si="1"/>
        <v>274989</v>
      </c>
      <c r="L17" s="94"/>
    </row>
    <row r="18" spans="2:12" s="11" customFormat="1" ht="57">
      <c r="B18" s="101">
        <v>5</v>
      </c>
      <c r="C18" s="23" t="s">
        <v>54</v>
      </c>
      <c r="D18" s="23" t="s">
        <v>186</v>
      </c>
      <c r="E18" s="14" t="s">
        <v>96</v>
      </c>
      <c r="F18" s="41" t="s">
        <v>3</v>
      </c>
      <c r="G18" s="13">
        <v>500</v>
      </c>
      <c r="H18" s="12">
        <f>' COMPOSICOES'!H31</f>
        <v>437.173</v>
      </c>
      <c r="I18" s="12">
        <v>532.83000000000004</v>
      </c>
      <c r="J18" s="87">
        <f t="shared" si="1"/>
        <v>266415</v>
      </c>
      <c r="L18" s="94"/>
    </row>
    <row r="19" spans="2:12" s="11" customFormat="1" ht="28.5">
      <c r="B19" s="101">
        <v>6</v>
      </c>
      <c r="C19" s="23" t="s">
        <v>56</v>
      </c>
      <c r="D19" s="23" t="s">
        <v>187</v>
      </c>
      <c r="E19" s="14" t="s">
        <v>55</v>
      </c>
      <c r="F19" s="41" t="s">
        <v>1</v>
      </c>
      <c r="G19" s="91">
        <v>54800</v>
      </c>
      <c r="H19" s="12">
        <f>' COMPOSICOES'!H36</f>
        <v>2.3866999999999998</v>
      </c>
      <c r="I19" s="12">
        <v>2.9</v>
      </c>
      <c r="J19" s="87">
        <f t="shared" si="1"/>
        <v>158920</v>
      </c>
      <c r="K19" s="97"/>
      <c r="L19" s="94"/>
    </row>
    <row r="20" spans="2:12" s="11" customFormat="1" ht="28.5">
      <c r="B20" s="101">
        <v>14</v>
      </c>
      <c r="C20" s="23" t="s">
        <v>118</v>
      </c>
      <c r="D20" s="23" t="s">
        <v>185</v>
      </c>
      <c r="E20" s="76" t="s">
        <v>119</v>
      </c>
      <c r="F20" s="41" t="s">
        <v>117</v>
      </c>
      <c r="G20" s="13">
        <v>252</v>
      </c>
      <c r="H20" s="12">
        <f>' COMPOSICOES'!H77</f>
        <v>380.16</v>
      </c>
      <c r="I20" s="12">
        <f>' COMPOSICOES'!I77</f>
        <v>463.32</v>
      </c>
      <c r="J20" s="87">
        <f t="shared" si="1"/>
        <v>116756.64</v>
      </c>
    </row>
    <row r="21" spans="2:12" s="85" customFormat="1" ht="21" customHeight="1" thickBot="1">
      <c r="B21" s="109" t="s">
        <v>170</v>
      </c>
      <c r="C21" s="110"/>
      <c r="D21" s="110"/>
      <c r="E21" s="110"/>
      <c r="F21" s="110"/>
      <c r="G21" s="110"/>
      <c r="H21" s="110"/>
      <c r="I21" s="110"/>
      <c r="J21" s="88">
        <f>J16+J17+J18+J19+J20</f>
        <v>1122454.24</v>
      </c>
      <c r="L21" s="95"/>
    </row>
    <row r="22" spans="2:12" s="11" customFormat="1" ht="15.75" thickBot="1">
      <c r="B22" s="18"/>
      <c r="C22" s="18"/>
      <c r="D22" s="18"/>
      <c r="E22" s="18"/>
      <c r="F22" s="10"/>
      <c r="G22" s="10"/>
      <c r="H22" s="10"/>
      <c r="I22" s="10"/>
      <c r="J22" s="10"/>
    </row>
    <row r="23" spans="2:12" s="11" customFormat="1" ht="15.75">
      <c r="B23" s="114" t="s">
        <v>39</v>
      </c>
      <c r="C23" s="115"/>
      <c r="D23" s="116"/>
      <c r="E23" s="116"/>
      <c r="F23" s="116"/>
      <c r="G23" s="116"/>
      <c r="H23" s="116"/>
      <c r="I23" s="116"/>
      <c r="J23" s="117"/>
    </row>
    <row r="24" spans="2:12" s="15" customFormat="1" ht="45">
      <c r="B24" s="100" t="s">
        <v>11</v>
      </c>
      <c r="C24" s="17" t="s">
        <v>49</v>
      </c>
      <c r="D24" s="17" t="s">
        <v>183</v>
      </c>
      <c r="E24" s="17" t="s">
        <v>12</v>
      </c>
      <c r="F24" s="17" t="s">
        <v>3</v>
      </c>
      <c r="G24" s="17" t="s">
        <v>38</v>
      </c>
      <c r="H24" s="16" t="s">
        <v>37</v>
      </c>
      <c r="I24" s="16" t="s">
        <v>41</v>
      </c>
      <c r="J24" s="86" t="s">
        <v>36</v>
      </c>
    </row>
    <row r="25" spans="2:12" s="11" customFormat="1" ht="42.75">
      <c r="B25" s="101">
        <v>11</v>
      </c>
      <c r="C25" s="23" t="s">
        <v>100</v>
      </c>
      <c r="D25" s="23" t="s">
        <v>184</v>
      </c>
      <c r="E25" s="14" t="s">
        <v>97</v>
      </c>
      <c r="F25" s="41" t="s">
        <v>85</v>
      </c>
      <c r="G25" s="13">
        <f>12*2*50</f>
        <v>1200</v>
      </c>
      <c r="H25" s="12">
        <f>' COMPOSICOES'!H62</f>
        <v>22.2058</v>
      </c>
      <c r="I25" s="12">
        <v>27.05</v>
      </c>
      <c r="J25" s="87">
        <f t="shared" ref="J25:J28" si="2">G25*I25</f>
        <v>32460</v>
      </c>
    </row>
    <row r="26" spans="2:12" s="11" customFormat="1" ht="57">
      <c r="B26" s="101">
        <v>12</v>
      </c>
      <c r="C26" s="23" t="s">
        <v>101</v>
      </c>
      <c r="D26" s="23" t="s">
        <v>184</v>
      </c>
      <c r="E26" s="14" t="s">
        <v>98</v>
      </c>
      <c r="F26" s="41" t="s">
        <v>85</v>
      </c>
      <c r="G26" s="13">
        <f>12*1*50</f>
        <v>600</v>
      </c>
      <c r="H26" s="12">
        <f>' COMPOSICOES'!H67</f>
        <v>60.265799999999999</v>
      </c>
      <c r="I26" s="12">
        <v>73.45</v>
      </c>
      <c r="J26" s="87">
        <f t="shared" si="2"/>
        <v>44070</v>
      </c>
    </row>
    <row r="27" spans="2:12" s="11" customFormat="1" ht="57">
      <c r="B27" s="101">
        <v>13</v>
      </c>
      <c r="C27" s="23" t="s">
        <v>102</v>
      </c>
      <c r="D27" s="23" t="s">
        <v>184</v>
      </c>
      <c r="E27" s="14" t="s">
        <v>99</v>
      </c>
      <c r="F27" s="41" t="s">
        <v>85</v>
      </c>
      <c r="G27" s="13">
        <f>12*2*50</f>
        <v>1200</v>
      </c>
      <c r="H27" s="12">
        <f>' COMPOSICOES'!H72</f>
        <v>20.9558</v>
      </c>
      <c r="I27" s="12">
        <v>25.53</v>
      </c>
      <c r="J27" s="87">
        <f t="shared" si="2"/>
        <v>30636</v>
      </c>
      <c r="L27" s="96"/>
    </row>
    <row r="28" spans="2:12" s="11" customFormat="1" ht="28.5">
      <c r="B28" s="101">
        <v>14</v>
      </c>
      <c r="C28" s="23" t="s">
        <v>118</v>
      </c>
      <c r="D28" s="23" t="s">
        <v>185</v>
      </c>
      <c r="E28" s="76" t="s">
        <v>119</v>
      </c>
      <c r="F28" s="41" t="s">
        <v>117</v>
      </c>
      <c r="G28" s="13">
        <v>252</v>
      </c>
      <c r="H28" s="12">
        <f>' COMPOSICOES'!H77</f>
        <v>380.16</v>
      </c>
      <c r="I28" s="12">
        <v>463.32</v>
      </c>
      <c r="J28" s="87">
        <f t="shared" si="2"/>
        <v>116756.64</v>
      </c>
    </row>
    <row r="29" spans="2:12" s="85" customFormat="1" ht="21" customHeight="1" thickBot="1">
      <c r="B29" s="109" t="s">
        <v>170</v>
      </c>
      <c r="C29" s="110"/>
      <c r="D29" s="110"/>
      <c r="E29" s="110"/>
      <c r="F29" s="110"/>
      <c r="G29" s="110"/>
      <c r="H29" s="110"/>
      <c r="I29" s="110"/>
      <c r="J29" s="88">
        <f>J25+J26+J27+J28</f>
        <v>223922.64</v>
      </c>
    </row>
  </sheetData>
  <mergeCells count="8">
    <mergeCell ref="B1:J1"/>
    <mergeCell ref="B29:I29"/>
    <mergeCell ref="B2:J2"/>
    <mergeCell ref="B4:J4"/>
    <mergeCell ref="B14:J14"/>
    <mergeCell ref="B23:J23"/>
    <mergeCell ref="B12:I12"/>
    <mergeCell ref="B21:I21"/>
  </mergeCells>
  <phoneticPr fontId="14" type="noConversion"/>
  <printOptions horizontalCentered="1"/>
  <pageMargins left="0.39370078740157483" right="0.39370078740157483" top="0.78740157480314965" bottom="0.78740157480314965" header="0" footer="0"/>
  <pageSetup paperSize="9" scale="81" orientation="landscape" r:id="rId1"/>
  <rowBreaks count="1" manualBreakCount="1">
    <brk id="13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86"/>
  <sheetViews>
    <sheetView showGridLines="0" view="pageBreakPreview" topLeftCell="A3" zoomScale="90" zoomScaleNormal="100" zoomScaleSheetLayoutView="90" workbookViewId="0">
      <pane xSplit="1" ySplit="4" topLeftCell="B46" activePane="bottomRight" state="frozen"/>
      <selection activeCell="B2" sqref="B2:J2"/>
      <selection pane="topRight" activeCell="B2" sqref="B2:J2"/>
      <selection pane="bottomLeft" activeCell="B2" sqref="B2:J2"/>
      <selection pane="bottomRight" activeCell="H46" sqref="H46"/>
    </sheetView>
  </sheetViews>
  <sheetFormatPr defaultColWidth="14.42578125" defaultRowHeight="15" customHeight="1"/>
  <cols>
    <col min="1" max="1" width="1.5703125" customWidth="1"/>
    <col min="2" max="2" width="8.85546875" style="83" customWidth="1"/>
    <col min="3" max="3" width="29.42578125" style="83" customWidth="1"/>
    <col min="4" max="4" width="9.140625" style="83" customWidth="1"/>
    <col min="5" max="5" width="58.28515625" style="83" customWidth="1"/>
    <col min="6" max="6" width="8.7109375" style="83" bestFit="1" customWidth="1"/>
    <col min="7" max="7" width="15.28515625" style="83" customWidth="1"/>
    <col min="8" max="8" width="17.85546875" style="83" customWidth="1"/>
    <col min="9" max="9" width="16.7109375" style="83" customWidth="1"/>
    <col min="10" max="10" width="16.85546875" style="83" customWidth="1"/>
    <col min="11" max="11" width="26.42578125" customWidth="1"/>
  </cols>
  <sheetData>
    <row r="1" spans="2:11" ht="12.75" customHeight="1">
      <c r="B1" s="77"/>
      <c r="C1" s="77"/>
      <c r="D1" s="77"/>
      <c r="E1" s="78"/>
      <c r="F1" s="78"/>
      <c r="G1" s="78"/>
      <c r="H1" s="78"/>
      <c r="I1" s="78"/>
      <c r="J1" s="78"/>
      <c r="K1" s="2"/>
    </row>
    <row r="2" spans="2:11" ht="14.25" customHeight="1">
      <c r="B2" s="127" t="s">
        <v>58</v>
      </c>
      <c r="C2" s="128"/>
      <c r="D2" s="128"/>
      <c r="E2" s="128"/>
      <c r="F2" s="128"/>
      <c r="G2" s="129"/>
      <c r="H2" s="133" t="s">
        <v>34</v>
      </c>
      <c r="I2" s="134"/>
      <c r="J2" s="29" t="s">
        <v>13</v>
      </c>
      <c r="K2" s="2"/>
    </row>
    <row r="3" spans="2:11" ht="99" customHeight="1">
      <c r="B3" s="130"/>
      <c r="C3" s="131"/>
      <c r="D3" s="131"/>
      <c r="E3" s="131"/>
      <c r="F3" s="131"/>
      <c r="G3" s="132"/>
      <c r="H3" s="135" t="s">
        <v>182</v>
      </c>
      <c r="I3" s="136"/>
      <c r="J3" s="28">
        <f>'BDI '!D20</f>
        <v>0.2189304931954521</v>
      </c>
      <c r="K3" s="2"/>
    </row>
    <row r="4" spans="2:11" ht="12.75" customHeight="1">
      <c r="B4" s="78"/>
      <c r="C4" s="78"/>
      <c r="D4" s="78"/>
      <c r="E4" s="78"/>
      <c r="F4" s="78"/>
      <c r="G4" s="78"/>
      <c r="H4" s="78"/>
      <c r="I4" s="78"/>
      <c r="J4" s="78"/>
      <c r="K4" s="2"/>
    </row>
    <row r="5" spans="2:11" ht="12.75" customHeight="1">
      <c r="B5" s="141" t="s">
        <v>19</v>
      </c>
      <c r="C5" s="141" t="s">
        <v>11</v>
      </c>
      <c r="D5" s="141" t="s">
        <v>104</v>
      </c>
      <c r="E5" s="141" t="s">
        <v>110</v>
      </c>
      <c r="F5" s="137" t="s">
        <v>105</v>
      </c>
      <c r="G5" s="137" t="s">
        <v>106</v>
      </c>
      <c r="H5" s="139" t="s">
        <v>109</v>
      </c>
      <c r="I5" s="140"/>
      <c r="J5" s="134"/>
      <c r="K5" s="2"/>
    </row>
    <row r="6" spans="2:11" ht="12.75" customHeight="1">
      <c r="B6" s="138"/>
      <c r="C6" s="142"/>
      <c r="D6" s="142"/>
      <c r="E6" s="138"/>
      <c r="F6" s="138"/>
      <c r="G6" s="138"/>
      <c r="H6" s="30" t="s">
        <v>107</v>
      </c>
      <c r="I6" s="30" t="s">
        <v>108</v>
      </c>
      <c r="J6" s="30" t="s">
        <v>0</v>
      </c>
      <c r="K6" s="2"/>
    </row>
    <row r="7" spans="2:11" s="25" customFormat="1" ht="78" customHeight="1">
      <c r="B7" s="104">
        <v>1</v>
      </c>
      <c r="C7" s="122" t="s">
        <v>50</v>
      </c>
      <c r="D7" s="123"/>
      <c r="E7" s="105" t="s">
        <v>92</v>
      </c>
      <c r="F7" s="31" t="s">
        <v>103</v>
      </c>
      <c r="G7" s="32">
        <v>1</v>
      </c>
      <c r="H7" s="32">
        <f>TRUNC(SUMPRODUCT(G8:G12,H8:H12),4)</f>
        <v>0.37040000000000001</v>
      </c>
      <c r="I7" s="32">
        <f>TRUNC(SUMPRODUCT(G8:G12,I8:I12),4)</f>
        <v>0.44440000000000002</v>
      </c>
      <c r="J7" s="33">
        <f>J8+J9+J10+J11+J12+0.01</f>
        <v>0.45340000000000003</v>
      </c>
      <c r="K7" s="38"/>
    </row>
    <row r="8" spans="2:11" ht="44.25" customHeight="1">
      <c r="B8" s="27" t="s">
        <v>2</v>
      </c>
      <c r="C8" s="106">
        <v>4915775</v>
      </c>
      <c r="D8" s="106" t="s">
        <v>173</v>
      </c>
      <c r="E8" s="79" t="s">
        <v>86</v>
      </c>
      <c r="F8" s="5" t="s">
        <v>103</v>
      </c>
      <c r="G8" s="6">
        <v>1</v>
      </c>
      <c r="H8" s="6">
        <v>9.6010999999999999E-2</v>
      </c>
      <c r="I8" s="1">
        <f>TRUNC(H8*(1+$J$3),2)</f>
        <v>0.11</v>
      </c>
      <c r="J8" s="1">
        <f>TRUNC(G8*I8,4)</f>
        <v>0.11</v>
      </c>
      <c r="K8" s="38"/>
    </row>
    <row r="9" spans="2:11" ht="25.5" customHeight="1">
      <c r="B9" s="27" t="s">
        <v>46</v>
      </c>
      <c r="C9" s="4" t="s">
        <v>7</v>
      </c>
      <c r="D9" s="4" t="s">
        <v>173</v>
      </c>
      <c r="E9" s="79" t="s">
        <v>87</v>
      </c>
      <c r="F9" s="5" t="s">
        <v>6</v>
      </c>
      <c r="G9" s="7">
        <f t="shared" ref="G9" si="0">1/1001.88*2*3</f>
        <v>5.9887411666067793E-3</v>
      </c>
      <c r="H9" s="6">
        <v>5.61</v>
      </c>
      <c r="I9" s="1">
        <f t="shared" ref="I9" si="1">TRUNC(H9*(1+$J$3),2)</f>
        <v>6.83</v>
      </c>
      <c r="J9" s="1">
        <f t="shared" ref="J9" si="2">TRUNC(G9*I9,2)</f>
        <v>0.04</v>
      </c>
      <c r="K9" s="38"/>
    </row>
    <row r="10" spans="2:11" ht="25.5" customHeight="1">
      <c r="B10" s="27" t="s">
        <v>47</v>
      </c>
      <c r="C10" s="4">
        <v>4919547</v>
      </c>
      <c r="D10" s="4" t="s">
        <v>173</v>
      </c>
      <c r="E10" s="79" t="s">
        <v>88</v>
      </c>
      <c r="F10" s="5" t="s">
        <v>1</v>
      </c>
      <c r="G10" s="7">
        <f>1/1001.88*0.01111*2</f>
        <v>2.2178304787000441E-5</v>
      </c>
      <c r="H10" s="6">
        <v>488.69</v>
      </c>
      <c r="I10" s="1">
        <f t="shared" ref="I10:I12" si="3">TRUNC(H10*(1+$J$3),2)</f>
        <v>595.66999999999996</v>
      </c>
      <c r="J10" s="1">
        <f t="shared" ref="J10:J12" si="4">TRUNC(G10*I10,4)</f>
        <v>1.32E-2</v>
      </c>
      <c r="K10" s="38"/>
    </row>
    <row r="11" spans="2:11">
      <c r="B11" s="27" t="s">
        <v>48</v>
      </c>
      <c r="C11" s="4">
        <v>10</v>
      </c>
      <c r="D11" s="4" t="s">
        <v>72</v>
      </c>
      <c r="E11" s="79" t="s">
        <v>78</v>
      </c>
      <c r="F11" s="5" t="s">
        <v>85</v>
      </c>
      <c r="G11" s="7">
        <v>0.01</v>
      </c>
      <c r="H11" s="6">
        <v>20.93</v>
      </c>
      <c r="I11" s="1">
        <f t="shared" si="3"/>
        <v>25.51</v>
      </c>
      <c r="J11" s="1">
        <f t="shared" si="4"/>
        <v>0.25509999999999999</v>
      </c>
      <c r="K11" s="38"/>
    </row>
    <row r="12" spans="2:11" ht="25.5" customHeight="1">
      <c r="B12" s="27" t="s">
        <v>59</v>
      </c>
      <c r="C12" s="4">
        <v>90776</v>
      </c>
      <c r="D12" s="4" t="s">
        <v>4</v>
      </c>
      <c r="E12" s="79" t="s">
        <v>61</v>
      </c>
      <c r="F12" s="5" t="s">
        <v>6</v>
      </c>
      <c r="G12" s="7">
        <v>4.0000000000000002E-4</v>
      </c>
      <c r="H12" s="6">
        <v>51.68</v>
      </c>
      <c r="I12" s="1">
        <f t="shared" si="3"/>
        <v>62.99</v>
      </c>
      <c r="J12" s="1">
        <f t="shared" si="4"/>
        <v>2.5100000000000001E-2</v>
      </c>
      <c r="K12" s="38"/>
    </row>
    <row r="13" spans="2:11" ht="78" customHeight="1">
      <c r="B13" s="34">
        <v>2</v>
      </c>
      <c r="C13" s="124" t="s">
        <v>51</v>
      </c>
      <c r="D13" s="125"/>
      <c r="E13" s="40" t="s">
        <v>93</v>
      </c>
      <c r="F13" s="35" t="s">
        <v>103</v>
      </c>
      <c r="G13" s="36">
        <v>1</v>
      </c>
      <c r="H13" s="32">
        <f>TRUNC(SUMPRODUCT(G14:G18,H14:H18),4)</f>
        <v>0.38619999999999999</v>
      </c>
      <c r="I13" s="32">
        <f>TRUNC(SUMPRODUCT(G14:G18,I14:I18),4)</f>
        <v>0.47070000000000001</v>
      </c>
      <c r="J13" s="33">
        <f>J14+J15+J16+J17+J18+0.01</f>
        <v>0.47970000000000002</v>
      </c>
      <c r="K13" s="38"/>
    </row>
    <row r="14" spans="2:11" ht="25.5" customHeight="1">
      <c r="B14" s="3" t="s">
        <v>122</v>
      </c>
      <c r="C14" s="4">
        <v>4915776</v>
      </c>
      <c r="D14" s="4" t="s">
        <v>173</v>
      </c>
      <c r="E14" s="79" t="s">
        <v>89</v>
      </c>
      <c r="F14" s="5" t="s">
        <v>8</v>
      </c>
      <c r="G14" s="7">
        <f>1/10000</f>
        <v>1E-4</v>
      </c>
      <c r="H14" s="6">
        <v>1015.49</v>
      </c>
      <c r="I14" s="1">
        <f>TRUNC(H14*(1+$J$3),2)</f>
        <v>1237.81</v>
      </c>
      <c r="J14" s="1">
        <f>TRUNC(G14*I14,4)</f>
        <v>0.1237</v>
      </c>
      <c r="K14" s="38"/>
    </row>
    <row r="15" spans="2:11" ht="25.5" customHeight="1">
      <c r="B15" s="3" t="s">
        <v>123</v>
      </c>
      <c r="C15" s="4" t="s">
        <v>7</v>
      </c>
      <c r="D15" s="4" t="s">
        <v>173</v>
      </c>
      <c r="E15" s="79" t="s">
        <v>87</v>
      </c>
      <c r="F15" s="5" t="s">
        <v>6</v>
      </c>
      <c r="G15" s="7">
        <f t="shared" ref="G15" si="5">1/1001.88*2*3</f>
        <v>5.9887411666067793E-3</v>
      </c>
      <c r="H15" s="6">
        <v>5.61</v>
      </c>
      <c r="I15" s="1">
        <f t="shared" ref="I15" si="6">TRUNC(H15*(1+$J$3),2)</f>
        <v>6.83</v>
      </c>
      <c r="J15" s="1">
        <f t="shared" ref="J15" si="7">TRUNC(G15*I15,2)</f>
        <v>0.04</v>
      </c>
      <c r="K15" s="38"/>
    </row>
    <row r="16" spans="2:11" ht="25.5" customHeight="1">
      <c r="B16" s="3" t="s">
        <v>124</v>
      </c>
      <c r="C16" s="4">
        <v>4919547</v>
      </c>
      <c r="D16" s="4" t="s">
        <v>173</v>
      </c>
      <c r="E16" s="79" t="s">
        <v>88</v>
      </c>
      <c r="F16" s="5" t="s">
        <v>1</v>
      </c>
      <c r="G16" s="7">
        <f>1/1001.88*0.01111*2</f>
        <v>2.2178304787000441E-5</v>
      </c>
      <c r="H16" s="6">
        <v>488.69</v>
      </c>
      <c r="I16" s="1">
        <f t="shared" ref="I16:I18" si="8">TRUNC(H16*(1+$J$3),2)</f>
        <v>595.66999999999996</v>
      </c>
      <c r="J16" s="1">
        <f t="shared" ref="J16:J18" si="9">TRUNC(G16*I16,4)</f>
        <v>1.32E-2</v>
      </c>
      <c r="K16" s="38"/>
    </row>
    <row r="17" spans="2:11">
      <c r="B17" s="3" t="s">
        <v>125</v>
      </c>
      <c r="C17" s="4">
        <v>10</v>
      </c>
      <c r="D17" s="4" t="s">
        <v>72</v>
      </c>
      <c r="E17" s="79" t="s">
        <v>78</v>
      </c>
      <c r="F17" s="5" t="s">
        <v>85</v>
      </c>
      <c r="G17" s="7">
        <v>0.01</v>
      </c>
      <c r="H17" s="6">
        <v>20.93</v>
      </c>
      <c r="I17" s="1">
        <f t="shared" si="8"/>
        <v>25.51</v>
      </c>
      <c r="J17" s="1">
        <f t="shared" si="9"/>
        <v>0.25509999999999999</v>
      </c>
      <c r="K17" s="38"/>
    </row>
    <row r="18" spans="2:11" ht="25.5" customHeight="1">
      <c r="B18" s="3" t="s">
        <v>169</v>
      </c>
      <c r="C18" s="4">
        <v>90776</v>
      </c>
      <c r="D18" s="4" t="s">
        <v>4</v>
      </c>
      <c r="E18" s="79" t="s">
        <v>61</v>
      </c>
      <c r="F18" s="5" t="s">
        <v>6</v>
      </c>
      <c r="G18" s="7">
        <v>5.9999999999999995E-4</v>
      </c>
      <c r="H18" s="6">
        <v>51.68</v>
      </c>
      <c r="I18" s="1">
        <f t="shared" si="8"/>
        <v>62.99</v>
      </c>
      <c r="J18" s="1">
        <f t="shared" si="9"/>
        <v>3.7699999999999997E-2</v>
      </c>
      <c r="K18" s="38"/>
    </row>
    <row r="19" spans="2:11" ht="78" customHeight="1">
      <c r="B19" s="34">
        <v>3</v>
      </c>
      <c r="C19" s="124" t="s">
        <v>52</v>
      </c>
      <c r="D19" s="125"/>
      <c r="E19" s="40" t="s">
        <v>94</v>
      </c>
      <c r="F19" s="35" t="s">
        <v>103</v>
      </c>
      <c r="G19" s="36">
        <v>1</v>
      </c>
      <c r="H19" s="36">
        <f>TRUNC(SUMPRODUCT(G20:G25,H20:H25),4)</f>
        <v>2.4020999999999999</v>
      </c>
      <c r="I19" s="36">
        <f>TRUNC(SUMPRODUCT(G20:G25,I20:I25),4)</f>
        <v>2.9201000000000001</v>
      </c>
      <c r="J19" s="37">
        <f>J20+J21+J22+J23+J24+J25+0.02</f>
        <v>2.9255</v>
      </c>
      <c r="K19" s="38"/>
    </row>
    <row r="20" spans="2:11" ht="25.5" customHeight="1">
      <c r="B20" s="3" t="s">
        <v>126</v>
      </c>
      <c r="C20" s="4">
        <v>4915744</v>
      </c>
      <c r="D20" s="4" t="s">
        <v>173</v>
      </c>
      <c r="E20" s="79" t="s">
        <v>172</v>
      </c>
      <c r="F20" s="5" t="s">
        <v>103</v>
      </c>
      <c r="G20" s="6">
        <v>1</v>
      </c>
      <c r="H20" s="6">
        <v>1.04</v>
      </c>
      <c r="I20" s="1">
        <f>TRUNC(H20*(1+$J$3),2)</f>
        <v>1.26</v>
      </c>
      <c r="J20" s="1">
        <f>TRUNC(G20*I20,2)</f>
        <v>1.26</v>
      </c>
      <c r="K20" s="38"/>
    </row>
    <row r="21" spans="2:11" ht="25.5" customHeight="1">
      <c r="B21" s="3" t="s">
        <v>178</v>
      </c>
      <c r="C21" s="4">
        <v>88316</v>
      </c>
      <c r="D21" s="4" t="s">
        <v>4</v>
      </c>
      <c r="E21" s="79" t="s">
        <v>69</v>
      </c>
      <c r="F21" s="5" t="s">
        <v>6</v>
      </c>
      <c r="G21" s="7">
        <f t="shared" ref="G21:G22" si="10">1/1001.88*2*3</f>
        <v>5.9887411666067793E-3</v>
      </c>
      <c r="H21" s="6">
        <v>31.41</v>
      </c>
      <c r="I21" s="1">
        <f t="shared" ref="I21:I22" si="11">TRUNC(H21*(1+$J$3),2)</f>
        <v>38.28</v>
      </c>
      <c r="J21" s="1">
        <f t="shared" ref="J21:J22" si="12">TRUNC(G21*I21,2)</f>
        <v>0.22</v>
      </c>
      <c r="K21" s="92"/>
    </row>
    <row r="22" spans="2:11" ht="25.5" customHeight="1">
      <c r="B22" s="3" t="s">
        <v>127</v>
      </c>
      <c r="C22" s="4" t="s">
        <v>7</v>
      </c>
      <c r="D22" s="4" t="s">
        <v>173</v>
      </c>
      <c r="E22" s="79" t="s">
        <v>87</v>
      </c>
      <c r="F22" s="5" t="s">
        <v>6</v>
      </c>
      <c r="G22" s="7">
        <f t="shared" si="10"/>
        <v>5.9887411666067793E-3</v>
      </c>
      <c r="H22" s="6">
        <v>5.61</v>
      </c>
      <c r="I22" s="1">
        <f t="shared" si="11"/>
        <v>6.83</v>
      </c>
      <c r="J22" s="1">
        <f t="shared" si="12"/>
        <v>0.04</v>
      </c>
      <c r="K22" s="38"/>
    </row>
    <row r="23" spans="2:11" ht="45.75" customHeight="1">
      <c r="B23" s="3" t="s">
        <v>128</v>
      </c>
      <c r="C23" s="4">
        <v>80032</v>
      </c>
      <c r="D23" s="4" t="s">
        <v>116</v>
      </c>
      <c r="E23" s="79" t="s">
        <v>115</v>
      </c>
      <c r="F23" s="5" t="s">
        <v>79</v>
      </c>
      <c r="G23" s="90">
        <v>1E-3</v>
      </c>
      <c r="H23" s="6">
        <v>183.49</v>
      </c>
      <c r="I23" s="1">
        <f>TRUNC(H23*(1+$J$3),2)</f>
        <v>223.66</v>
      </c>
      <c r="J23" s="1">
        <f>TRUNC(G23*I23,4)</f>
        <v>0.22359999999999999</v>
      </c>
      <c r="K23" s="38"/>
    </row>
    <row r="24" spans="2:11" ht="42" customHeight="1">
      <c r="B24" s="3" t="s">
        <v>129</v>
      </c>
      <c r="C24" s="22" t="s">
        <v>70</v>
      </c>
      <c r="D24" s="4" t="s">
        <v>173</v>
      </c>
      <c r="E24" s="79" t="s">
        <v>71</v>
      </c>
      <c r="F24" s="5" t="s">
        <v>6</v>
      </c>
      <c r="G24" s="7">
        <v>0.02</v>
      </c>
      <c r="H24" s="6">
        <v>37.51</v>
      </c>
      <c r="I24" s="1">
        <f t="shared" ref="I24:I25" si="13">TRUNC(H24*(1+$J$3),2)</f>
        <v>45.72</v>
      </c>
      <c r="J24" s="1">
        <f t="shared" ref="J24" si="14">TRUNC(G24*I24,2)</f>
        <v>0.91</v>
      </c>
      <c r="K24" s="38"/>
    </row>
    <row r="25" spans="2:11" ht="25.5" customHeight="1">
      <c r="B25" s="3" t="s">
        <v>179</v>
      </c>
      <c r="C25" s="4">
        <v>90776</v>
      </c>
      <c r="D25" s="4" t="s">
        <v>4</v>
      </c>
      <c r="E25" s="79" t="s">
        <v>61</v>
      </c>
      <c r="F25" s="5" t="s">
        <v>6</v>
      </c>
      <c r="G25" s="7">
        <v>4.0000000000000001E-3</v>
      </c>
      <c r="H25" s="6">
        <v>51.68</v>
      </c>
      <c r="I25" s="1">
        <f t="shared" si="13"/>
        <v>62.99</v>
      </c>
      <c r="J25" s="1">
        <f t="shared" ref="J25" si="15">TRUNC(G25*I25,4)</f>
        <v>0.25190000000000001</v>
      </c>
      <c r="K25" s="38"/>
    </row>
    <row r="26" spans="2:11" ht="78" customHeight="1">
      <c r="B26" s="34">
        <v>4</v>
      </c>
      <c r="C26" s="124" t="s">
        <v>53</v>
      </c>
      <c r="D26" s="125"/>
      <c r="E26" s="80" t="s">
        <v>95</v>
      </c>
      <c r="F26" s="35" t="s">
        <v>1</v>
      </c>
      <c r="G26" s="36">
        <v>1</v>
      </c>
      <c r="H26" s="36">
        <f>TRUNC(SUMPRODUCT(G27:G30,H27:H30),4)</f>
        <v>1.1814</v>
      </c>
      <c r="I26" s="36">
        <f>TRUNC(SUMPRODUCT(G27:G30,I27:I30),4)</f>
        <v>1.4322999999999999</v>
      </c>
      <c r="J26" s="37">
        <f>J27+J28+J29+J30</f>
        <v>1.4295</v>
      </c>
      <c r="K26" s="38"/>
    </row>
    <row r="27" spans="2:11" ht="12.75" customHeight="1">
      <c r="B27" s="3" t="s">
        <v>130</v>
      </c>
      <c r="C27" s="4">
        <v>4915708</v>
      </c>
      <c r="D27" s="4" t="s">
        <v>173</v>
      </c>
      <c r="E27" s="81" t="s">
        <v>90</v>
      </c>
      <c r="F27" s="5" t="s">
        <v>1</v>
      </c>
      <c r="G27" s="6">
        <v>1</v>
      </c>
      <c r="H27" s="6">
        <v>1.04</v>
      </c>
      <c r="I27" s="1">
        <f>TRUNC(H27*(1+$J$3),2)</f>
        <v>1.26</v>
      </c>
      <c r="J27" s="1">
        <f>TRUNC(G27*I27,4)</f>
        <v>1.26</v>
      </c>
      <c r="K27" s="38"/>
    </row>
    <row r="28" spans="2:11" ht="25.5" customHeight="1">
      <c r="B28" s="3" t="s">
        <v>180</v>
      </c>
      <c r="C28" s="4" t="s">
        <v>171</v>
      </c>
      <c r="D28" s="4" t="s">
        <v>173</v>
      </c>
      <c r="E28" s="79" t="s">
        <v>87</v>
      </c>
      <c r="F28" s="5" t="s">
        <v>6</v>
      </c>
      <c r="G28" s="7">
        <v>3.3333333333333335E-3</v>
      </c>
      <c r="H28" s="6">
        <v>5.61</v>
      </c>
      <c r="I28" s="1">
        <f t="shared" ref="I28" si="16">TRUNC(H28*(1+$J$3),2)</f>
        <v>6.83</v>
      </c>
      <c r="J28" s="1">
        <f t="shared" ref="J28" si="17">TRUNC(G28*I28,2)</f>
        <v>0.02</v>
      </c>
      <c r="K28" s="38"/>
    </row>
    <row r="29" spans="2:11" ht="45.75" customHeight="1">
      <c r="B29" s="3" t="s">
        <v>131</v>
      </c>
      <c r="C29" s="4">
        <v>80032</v>
      </c>
      <c r="D29" s="4" t="s">
        <v>116</v>
      </c>
      <c r="E29" s="79" t="s">
        <v>115</v>
      </c>
      <c r="F29" s="5" t="s">
        <v>79</v>
      </c>
      <c r="G29" s="90">
        <v>5.0000000000000001E-4</v>
      </c>
      <c r="H29" s="6">
        <v>183.49</v>
      </c>
      <c r="I29" s="1">
        <f>TRUNC(H29*(1+$J$3),2)</f>
        <v>223.66</v>
      </c>
      <c r="J29" s="1">
        <f>TRUNC(G29*I29,4)</f>
        <v>0.1118</v>
      </c>
      <c r="K29" s="38"/>
    </row>
    <row r="30" spans="2:11" ht="25.5" customHeight="1">
      <c r="B30" s="3" t="s">
        <v>132</v>
      </c>
      <c r="C30" s="4">
        <v>90776</v>
      </c>
      <c r="D30" s="4" t="s">
        <v>4</v>
      </c>
      <c r="E30" s="79" t="s">
        <v>61</v>
      </c>
      <c r="F30" s="5" t="s">
        <v>6</v>
      </c>
      <c r="G30" s="7">
        <v>5.9999999999999995E-4</v>
      </c>
      <c r="H30" s="6">
        <v>51.68</v>
      </c>
      <c r="I30" s="1">
        <f t="shared" ref="I30" si="18">TRUNC(H30*(1+$J$3),2)</f>
        <v>62.99</v>
      </c>
      <c r="J30" s="1">
        <f t="shared" ref="J30" si="19">TRUNC(G30*I30,4)</f>
        <v>3.7699999999999997E-2</v>
      </c>
      <c r="K30" s="38"/>
    </row>
    <row r="31" spans="2:11" ht="78" customHeight="1">
      <c r="B31" s="34">
        <v>5</v>
      </c>
      <c r="C31" s="124" t="s">
        <v>54</v>
      </c>
      <c r="D31" s="125"/>
      <c r="E31" s="80" t="s">
        <v>96</v>
      </c>
      <c r="F31" s="31" t="s">
        <v>3</v>
      </c>
      <c r="G31" s="36">
        <v>1</v>
      </c>
      <c r="H31" s="36">
        <f>TRUNC(SUMPRODUCT(G32:G35,H32:H35),4)</f>
        <v>437.173</v>
      </c>
      <c r="I31" s="36">
        <f>TRUNC(SUMPRODUCT(G32:G35,I32:I35),4)</f>
        <v>532.82569999999998</v>
      </c>
      <c r="J31" s="37">
        <f>J32+J33+J34+J35</f>
        <v>532.82569999999998</v>
      </c>
      <c r="K31" s="38"/>
    </row>
    <row r="32" spans="2:11" ht="25.5">
      <c r="B32" s="3" t="s">
        <v>133</v>
      </c>
      <c r="C32" s="4">
        <v>4915633</v>
      </c>
      <c r="D32" s="26" t="s">
        <v>173</v>
      </c>
      <c r="E32" s="81" t="s">
        <v>112</v>
      </c>
      <c r="F32" s="5" t="s">
        <v>1</v>
      </c>
      <c r="G32" s="6">
        <v>3</v>
      </c>
      <c r="H32" s="6">
        <v>24.46</v>
      </c>
      <c r="I32" s="1">
        <f>TRUNC(H32*(1+$J$3),2)</f>
        <v>29.81</v>
      </c>
      <c r="J32" s="1">
        <f>TRUNC(G32*I32,4)</f>
        <v>89.43</v>
      </c>
      <c r="K32" s="38"/>
    </row>
    <row r="33" spans="2:11" ht="25.5">
      <c r="B33" s="3" t="s">
        <v>134</v>
      </c>
      <c r="C33" s="4">
        <v>5914369</v>
      </c>
      <c r="D33" s="26" t="s">
        <v>173</v>
      </c>
      <c r="E33" s="81" t="s">
        <v>113</v>
      </c>
      <c r="F33" s="5" t="s">
        <v>114</v>
      </c>
      <c r="G33" s="6">
        <v>27</v>
      </c>
      <c r="H33" s="6">
        <v>1.24</v>
      </c>
      <c r="I33" s="1">
        <f>TRUNC(H33*(1+$J$3),2)</f>
        <v>1.51</v>
      </c>
      <c r="J33" s="1">
        <f>TRUNC(G33*I33,4)</f>
        <v>40.770000000000003</v>
      </c>
      <c r="K33" s="38"/>
    </row>
    <row r="34" spans="2:11" ht="45.75" customHeight="1">
      <c r="B34" s="3" t="s">
        <v>135</v>
      </c>
      <c r="C34" s="4">
        <v>80032</v>
      </c>
      <c r="D34" s="4" t="s">
        <v>116</v>
      </c>
      <c r="E34" s="79" t="s">
        <v>115</v>
      </c>
      <c r="F34" s="5" t="s">
        <v>79</v>
      </c>
      <c r="G34" s="6">
        <v>1.8</v>
      </c>
      <c r="H34" s="6">
        <v>183.49</v>
      </c>
      <c r="I34" s="1">
        <f>TRUNC(H34*(1+$J$3),2)</f>
        <v>223.66</v>
      </c>
      <c r="J34" s="1">
        <f>TRUNC(G34*I34,4)</f>
        <v>402.58800000000002</v>
      </c>
      <c r="K34" s="38"/>
    </row>
    <row r="35" spans="2:11" ht="25.5" customHeight="1">
      <c r="B35" s="3" t="s">
        <v>136</v>
      </c>
      <c r="C35" s="4">
        <v>90776</v>
      </c>
      <c r="D35" s="4" t="s">
        <v>4</v>
      </c>
      <c r="E35" s="79" t="s">
        <v>61</v>
      </c>
      <c r="F35" s="5" t="s">
        <v>6</v>
      </c>
      <c r="G35" s="7">
        <v>5.9999999999999995E-4</v>
      </c>
      <c r="H35" s="6">
        <v>51.68</v>
      </c>
      <c r="I35" s="1">
        <f t="shared" ref="I35" si="20">TRUNC(H35*(1+$J$3),2)</f>
        <v>62.99</v>
      </c>
      <c r="J35" s="1">
        <f t="shared" ref="J35" si="21">TRUNC(G35*I35,4)</f>
        <v>3.7699999999999997E-2</v>
      </c>
      <c r="K35" s="38"/>
    </row>
    <row r="36" spans="2:11">
      <c r="B36" s="34">
        <v>6</v>
      </c>
      <c r="C36" s="126" t="s">
        <v>56</v>
      </c>
      <c r="D36" s="125"/>
      <c r="E36" s="80" t="s">
        <v>55</v>
      </c>
      <c r="F36" s="35" t="s">
        <v>1</v>
      </c>
      <c r="G36" s="36">
        <v>1</v>
      </c>
      <c r="H36" s="36">
        <f>TRUNC(SUMPRODUCT(G37:G38,H37:H38),4)</f>
        <v>2.3866999999999998</v>
      </c>
      <c r="I36" s="36">
        <f>TRUNC(SUMPRODUCT(G37:G38,I37:I38),4)</f>
        <v>2.9018999999999999</v>
      </c>
      <c r="J36" s="37">
        <f>J37+J38</f>
        <v>2.9018999999999999</v>
      </c>
      <c r="K36" s="38"/>
    </row>
    <row r="37" spans="2:11">
      <c r="B37" s="3" t="s">
        <v>29</v>
      </c>
      <c r="C37" s="4">
        <v>102498</v>
      </c>
      <c r="D37" s="4" t="s">
        <v>4</v>
      </c>
      <c r="E37" s="81" t="s">
        <v>55</v>
      </c>
      <c r="F37" s="5" t="s">
        <v>1</v>
      </c>
      <c r="G37" s="6">
        <v>1</v>
      </c>
      <c r="H37" s="6">
        <v>2.1800000000000002</v>
      </c>
      <c r="I37" s="1">
        <f>TRUNC(H37*(1+$J$3),2)</f>
        <v>2.65</v>
      </c>
      <c r="J37" s="1">
        <f>TRUNC(G37*I37,4)</f>
        <v>2.65</v>
      </c>
      <c r="K37" s="38"/>
    </row>
    <row r="38" spans="2:11" ht="25.5" customHeight="1">
      <c r="B38" s="3" t="s">
        <v>31</v>
      </c>
      <c r="C38" s="4">
        <v>90776</v>
      </c>
      <c r="D38" s="4" t="s">
        <v>4</v>
      </c>
      <c r="E38" s="79" t="s">
        <v>61</v>
      </c>
      <c r="F38" s="5" t="s">
        <v>6</v>
      </c>
      <c r="G38" s="7">
        <v>4.0000000000000001E-3</v>
      </c>
      <c r="H38" s="6">
        <v>51.68</v>
      </c>
      <c r="I38" s="1">
        <f t="shared" ref="I38" si="22">TRUNC(H38*(1+$J$3),2)</f>
        <v>62.99</v>
      </c>
      <c r="J38" s="1">
        <f t="shared" ref="J38" si="23">TRUNC(G38*I38,4)</f>
        <v>0.25190000000000001</v>
      </c>
      <c r="K38" s="38"/>
    </row>
    <row r="39" spans="2:11" ht="52.5" customHeight="1">
      <c r="B39" s="34">
        <v>7</v>
      </c>
      <c r="C39" s="126" t="s">
        <v>57</v>
      </c>
      <c r="D39" s="125"/>
      <c r="E39" s="80" t="s">
        <v>66</v>
      </c>
      <c r="F39" s="31" t="s">
        <v>3</v>
      </c>
      <c r="G39" s="36">
        <v>1</v>
      </c>
      <c r="H39" s="36">
        <f>TRUNC(SUMPRODUCT(G40:G45,H40:H45),4)</f>
        <v>177.08080000000001</v>
      </c>
      <c r="I39" s="36">
        <f>TRUNC(SUMPRODUCT(G40:G45,I40:I45),4)</f>
        <v>215.83699999999999</v>
      </c>
      <c r="J39" s="37">
        <f>SUM(J40:J45)</f>
        <v>215.83700000000002</v>
      </c>
      <c r="K39" s="38"/>
    </row>
    <row r="40" spans="2:11" ht="33.75" customHeight="1">
      <c r="B40" s="3" t="s">
        <v>137</v>
      </c>
      <c r="C40" s="26" t="s">
        <v>60</v>
      </c>
      <c r="D40" s="26" t="s">
        <v>173</v>
      </c>
      <c r="E40" s="26" t="s">
        <v>62</v>
      </c>
      <c r="F40" s="5" t="s">
        <v>6</v>
      </c>
      <c r="G40" s="6">
        <v>0.75</v>
      </c>
      <c r="H40" s="6">
        <v>38.747799999999998</v>
      </c>
      <c r="I40" s="1">
        <f t="shared" ref="I40:I44" si="24">TRUNC(H40*(1+$J$3),2)</f>
        <v>47.23</v>
      </c>
      <c r="J40" s="1">
        <f t="shared" ref="J40" si="25">TRUNC(G40*I40,4)</f>
        <v>35.422499999999999</v>
      </c>
      <c r="K40" s="38"/>
    </row>
    <row r="41" spans="2:11" ht="33.75" customHeight="1">
      <c r="B41" s="3" t="s">
        <v>138</v>
      </c>
      <c r="C41" s="4">
        <v>88441</v>
      </c>
      <c r="D41" s="4" t="s">
        <v>4</v>
      </c>
      <c r="E41" s="26" t="s">
        <v>9</v>
      </c>
      <c r="F41" s="5" t="s">
        <v>6</v>
      </c>
      <c r="G41" s="6">
        <v>0.75</v>
      </c>
      <c r="H41" s="6">
        <v>32.67</v>
      </c>
      <c r="I41" s="1">
        <f t="shared" si="24"/>
        <v>39.82</v>
      </c>
      <c r="J41" s="1">
        <f t="shared" ref="J41:J45" si="26">TRUNC(G41*I41,4)</f>
        <v>29.864999999999998</v>
      </c>
      <c r="K41" s="38"/>
    </row>
    <row r="42" spans="2:11" ht="33.75" customHeight="1">
      <c r="B42" s="3" t="s">
        <v>139</v>
      </c>
      <c r="C42" s="4">
        <v>88316</v>
      </c>
      <c r="D42" s="4" t="s">
        <v>4</v>
      </c>
      <c r="E42" s="26" t="s">
        <v>5</v>
      </c>
      <c r="F42" s="5" t="s">
        <v>6</v>
      </c>
      <c r="G42" s="6">
        <v>0.75</v>
      </c>
      <c r="H42" s="6">
        <v>31.41</v>
      </c>
      <c r="I42" s="1">
        <f t="shared" si="24"/>
        <v>38.28</v>
      </c>
      <c r="J42" s="1">
        <f t="shared" si="26"/>
        <v>28.71</v>
      </c>
      <c r="K42" s="38"/>
    </row>
    <row r="43" spans="2:11" ht="42" customHeight="1">
      <c r="B43" s="3" t="s">
        <v>140</v>
      </c>
      <c r="C43" s="4" t="s">
        <v>63</v>
      </c>
      <c r="D43" s="26" t="s">
        <v>173</v>
      </c>
      <c r="E43" s="4" t="s">
        <v>64</v>
      </c>
      <c r="F43" s="5" t="s">
        <v>6</v>
      </c>
      <c r="G43" s="6">
        <v>0.2</v>
      </c>
      <c r="H43" s="6">
        <v>304.06490000000002</v>
      </c>
      <c r="I43" s="1">
        <f t="shared" si="24"/>
        <v>370.63</v>
      </c>
      <c r="J43" s="1">
        <f t="shared" si="26"/>
        <v>74.126000000000005</v>
      </c>
      <c r="K43" s="38"/>
    </row>
    <row r="44" spans="2:11">
      <c r="B44" s="3" t="s">
        <v>141</v>
      </c>
      <c r="C44" s="4">
        <v>10</v>
      </c>
      <c r="D44" s="4" t="s">
        <v>72</v>
      </c>
      <c r="E44" s="79" t="s">
        <v>78</v>
      </c>
      <c r="F44" s="5" t="s">
        <v>85</v>
      </c>
      <c r="G44" s="7">
        <v>1.5</v>
      </c>
      <c r="H44" s="6">
        <v>20.93</v>
      </c>
      <c r="I44" s="1">
        <f t="shared" si="24"/>
        <v>25.51</v>
      </c>
      <c r="J44" s="1">
        <f t="shared" si="26"/>
        <v>38.265000000000001</v>
      </c>
      <c r="K44" s="38"/>
    </row>
    <row r="45" spans="2:11" ht="25.5" customHeight="1">
      <c r="B45" s="3" t="s">
        <v>142</v>
      </c>
      <c r="C45" s="4">
        <v>90776</v>
      </c>
      <c r="D45" s="4" t="s">
        <v>4</v>
      </c>
      <c r="E45" s="79" t="s">
        <v>61</v>
      </c>
      <c r="F45" s="5" t="s">
        <v>6</v>
      </c>
      <c r="G45" s="7">
        <v>0.15</v>
      </c>
      <c r="H45" s="6">
        <v>51.68</v>
      </c>
      <c r="I45" s="1">
        <f t="shared" ref="I45" si="27">TRUNC(H45*(1+$J$3),2)</f>
        <v>62.99</v>
      </c>
      <c r="J45" s="1">
        <f t="shared" si="26"/>
        <v>9.4484999999999992</v>
      </c>
      <c r="K45" s="38"/>
    </row>
    <row r="46" spans="2:11" ht="52.5" customHeight="1">
      <c r="B46" s="34">
        <v>8</v>
      </c>
      <c r="C46" s="126" t="s">
        <v>65</v>
      </c>
      <c r="D46" s="125"/>
      <c r="E46" s="80" t="s">
        <v>67</v>
      </c>
      <c r="F46" s="31" t="s">
        <v>3</v>
      </c>
      <c r="G46" s="36">
        <v>1</v>
      </c>
      <c r="H46" s="36">
        <f>TRUNC(SUMPRODUCT(G47:G52,H47:H52),4)</f>
        <v>88.590299999999999</v>
      </c>
      <c r="I46" s="36">
        <f>TRUNC(SUMPRODUCT(G47:G52,I47:I52),4)</f>
        <v>107.9795</v>
      </c>
      <c r="J46" s="37">
        <f>SUM(J47:J52)</f>
        <v>107.97950000000002</v>
      </c>
      <c r="K46" s="38"/>
    </row>
    <row r="47" spans="2:11" ht="33.75" customHeight="1">
      <c r="B47" s="3" t="s">
        <v>143</v>
      </c>
      <c r="C47" s="26" t="s">
        <v>60</v>
      </c>
      <c r="D47" s="26" t="s">
        <v>173</v>
      </c>
      <c r="E47" s="26" t="s">
        <v>62</v>
      </c>
      <c r="F47" s="89" t="s">
        <v>6</v>
      </c>
      <c r="G47" s="6">
        <v>0.5</v>
      </c>
      <c r="H47" s="6">
        <v>38.747799999999998</v>
      </c>
      <c r="I47" s="1">
        <f t="shared" ref="I47:I54" si="28">TRUNC(H47*(1+$J$3),2)</f>
        <v>47.23</v>
      </c>
      <c r="J47" s="1">
        <f t="shared" ref="J47:J52" si="29">TRUNC(G47*I47,4)</f>
        <v>23.614999999999998</v>
      </c>
      <c r="K47" s="38"/>
    </row>
    <row r="48" spans="2:11" ht="33.75" customHeight="1">
      <c r="B48" s="3" t="s">
        <v>144</v>
      </c>
      <c r="C48" s="4">
        <v>88441</v>
      </c>
      <c r="D48" s="4" t="s">
        <v>4</v>
      </c>
      <c r="E48" s="26" t="s">
        <v>9</v>
      </c>
      <c r="F48" s="5" t="s">
        <v>6</v>
      </c>
      <c r="G48" s="6">
        <v>0.5</v>
      </c>
      <c r="H48" s="6">
        <v>32.67</v>
      </c>
      <c r="I48" s="1">
        <f t="shared" si="28"/>
        <v>39.82</v>
      </c>
      <c r="J48" s="1">
        <f t="shared" si="29"/>
        <v>19.91</v>
      </c>
      <c r="K48" s="38"/>
    </row>
    <row r="49" spans="2:11" ht="33.75" customHeight="1">
      <c r="B49" s="3" t="s">
        <v>145</v>
      </c>
      <c r="C49" s="4">
        <v>88316</v>
      </c>
      <c r="D49" s="4" t="s">
        <v>4</v>
      </c>
      <c r="E49" s="26" t="s">
        <v>5</v>
      </c>
      <c r="F49" s="5" t="s">
        <v>6</v>
      </c>
      <c r="G49" s="6">
        <v>0.5</v>
      </c>
      <c r="H49" s="6">
        <v>31.41</v>
      </c>
      <c r="I49" s="1">
        <f t="shared" si="28"/>
        <v>38.28</v>
      </c>
      <c r="J49" s="1">
        <f t="shared" si="29"/>
        <v>19.14</v>
      </c>
      <c r="K49" s="38"/>
    </row>
    <row r="50" spans="2:11" ht="42" customHeight="1">
      <c r="B50" s="3" t="s">
        <v>146</v>
      </c>
      <c r="C50" s="4" t="s">
        <v>63</v>
      </c>
      <c r="D50" s="26" t="s">
        <v>173</v>
      </c>
      <c r="E50" s="4" t="s">
        <v>64</v>
      </c>
      <c r="F50" s="5" t="s">
        <v>6</v>
      </c>
      <c r="G50" s="6">
        <v>0.1</v>
      </c>
      <c r="H50" s="6">
        <v>304.06490000000002</v>
      </c>
      <c r="I50" s="1">
        <f t="shared" si="28"/>
        <v>370.63</v>
      </c>
      <c r="J50" s="1">
        <f t="shared" si="29"/>
        <v>37.063000000000002</v>
      </c>
      <c r="K50" s="38"/>
    </row>
    <row r="51" spans="2:11">
      <c r="B51" s="3" t="s">
        <v>147</v>
      </c>
      <c r="C51" s="4">
        <v>10</v>
      </c>
      <c r="D51" s="4" t="s">
        <v>72</v>
      </c>
      <c r="E51" s="79" t="s">
        <v>78</v>
      </c>
      <c r="F51" s="5" t="s">
        <v>85</v>
      </c>
      <c r="G51" s="6">
        <v>0.2</v>
      </c>
      <c r="H51" s="6">
        <v>20.93</v>
      </c>
      <c r="I51" s="1">
        <f t="shared" si="28"/>
        <v>25.51</v>
      </c>
      <c r="J51" s="1">
        <f t="shared" si="29"/>
        <v>5.1020000000000003</v>
      </c>
      <c r="K51" s="38"/>
    </row>
    <row r="52" spans="2:11" ht="25.5" customHeight="1">
      <c r="B52" s="3" t="s">
        <v>148</v>
      </c>
      <c r="C52" s="4">
        <v>90776</v>
      </c>
      <c r="D52" s="4" t="s">
        <v>4</v>
      </c>
      <c r="E52" s="79" t="s">
        <v>61</v>
      </c>
      <c r="F52" s="5" t="s">
        <v>6</v>
      </c>
      <c r="G52" s="6">
        <v>0.05</v>
      </c>
      <c r="H52" s="6">
        <v>51.68</v>
      </c>
      <c r="I52" s="1">
        <f t="shared" si="28"/>
        <v>62.99</v>
      </c>
      <c r="J52" s="1">
        <f t="shared" si="29"/>
        <v>3.1495000000000002</v>
      </c>
      <c r="K52" s="38"/>
    </row>
    <row r="53" spans="2:11" ht="52.5" customHeight="1">
      <c r="B53" s="34">
        <v>9</v>
      </c>
      <c r="C53" s="126" t="s">
        <v>68</v>
      </c>
      <c r="D53" s="125"/>
      <c r="E53" s="80" t="s">
        <v>177</v>
      </c>
      <c r="F53" s="35" t="s">
        <v>103</v>
      </c>
      <c r="G53" s="36">
        <v>1</v>
      </c>
      <c r="H53" s="36">
        <f>TRUNC(SUMPRODUCT(G54:G57,H54:H57),4)</f>
        <v>0.39810000000000001</v>
      </c>
      <c r="I53" s="36">
        <f>TRUNC(SUMPRODUCT(G54:G57,I54:I57),4)</f>
        <v>0.48520000000000002</v>
      </c>
      <c r="J53" s="37">
        <f>SUM(J54:J57)</f>
        <v>0.48499999999999999</v>
      </c>
      <c r="K53" s="38"/>
    </row>
    <row r="54" spans="2:11" ht="39.75" customHeight="1">
      <c r="B54" s="3" t="s">
        <v>149</v>
      </c>
      <c r="C54" s="4" t="s">
        <v>175</v>
      </c>
      <c r="D54" s="26" t="s">
        <v>173</v>
      </c>
      <c r="E54" s="4" t="s">
        <v>174</v>
      </c>
      <c r="F54" s="5" t="s">
        <v>6</v>
      </c>
      <c r="G54" s="7">
        <v>1E-4</v>
      </c>
      <c r="H54" s="6">
        <v>185.11</v>
      </c>
      <c r="I54" s="1">
        <f t="shared" si="28"/>
        <v>225.63</v>
      </c>
      <c r="J54" s="1">
        <f t="shared" ref="J54:J57" si="30">TRUNC(G54*I54,4)</f>
        <v>2.2499999999999999E-2</v>
      </c>
      <c r="K54" s="38"/>
    </row>
    <row r="55" spans="2:11" ht="33.75" customHeight="1">
      <c r="B55" s="3" t="s">
        <v>150</v>
      </c>
      <c r="C55" s="4">
        <v>88316</v>
      </c>
      <c r="D55" s="4" t="s">
        <v>4</v>
      </c>
      <c r="E55" s="26" t="s">
        <v>5</v>
      </c>
      <c r="F55" s="5" t="s">
        <v>6</v>
      </c>
      <c r="G55" s="90">
        <v>4.5999999999999999E-3</v>
      </c>
      <c r="H55" s="6">
        <v>31.41</v>
      </c>
      <c r="I55" s="1">
        <f t="shared" ref="I55:I57" si="31">TRUNC(H55*(1+$J$3),2)</f>
        <v>38.28</v>
      </c>
      <c r="J55" s="1">
        <f t="shared" si="30"/>
        <v>0.17599999999999999</v>
      </c>
      <c r="K55" s="38"/>
    </row>
    <row r="56" spans="2:11">
      <c r="B56" s="3" t="s">
        <v>176</v>
      </c>
      <c r="C56" s="4">
        <v>10</v>
      </c>
      <c r="D56" s="4" t="s">
        <v>72</v>
      </c>
      <c r="E56" s="79" t="s">
        <v>78</v>
      </c>
      <c r="F56" s="5" t="s">
        <v>85</v>
      </c>
      <c r="G56" s="7">
        <v>0.01</v>
      </c>
      <c r="H56" s="6">
        <v>20.93</v>
      </c>
      <c r="I56" s="1">
        <f t="shared" ref="I56" si="32">TRUNC(H56*(1+$J$3),2)</f>
        <v>25.51</v>
      </c>
      <c r="J56" s="1">
        <f t="shared" ref="J56" si="33">TRUNC(G56*I56,4)</f>
        <v>0.25509999999999999</v>
      </c>
      <c r="K56" s="38"/>
    </row>
    <row r="57" spans="2:11" ht="25.5" customHeight="1">
      <c r="B57" s="3" t="s">
        <v>151</v>
      </c>
      <c r="C57" s="4">
        <v>90776</v>
      </c>
      <c r="D57" s="4" t="s">
        <v>4</v>
      </c>
      <c r="E57" s="79" t="s">
        <v>61</v>
      </c>
      <c r="F57" s="5" t="s">
        <v>6</v>
      </c>
      <c r="G57" s="7">
        <v>5.0000000000000001E-4</v>
      </c>
      <c r="H57" s="6">
        <v>51.68</v>
      </c>
      <c r="I57" s="1">
        <f t="shared" si="31"/>
        <v>62.99</v>
      </c>
      <c r="J57" s="1">
        <f t="shared" si="30"/>
        <v>3.1399999999999997E-2</v>
      </c>
      <c r="K57" s="38"/>
    </row>
    <row r="58" spans="2:11" ht="27.75" customHeight="1">
      <c r="B58" s="34">
        <v>10</v>
      </c>
      <c r="C58" s="120" t="s">
        <v>72</v>
      </c>
      <c r="D58" s="121"/>
      <c r="E58" s="80" t="s">
        <v>78</v>
      </c>
      <c r="F58" s="35" t="s">
        <v>85</v>
      </c>
      <c r="G58" s="36">
        <v>1</v>
      </c>
      <c r="H58" s="36">
        <f>TRUNC(SUMPRODUCT(G59:G61,H59:H61),4)</f>
        <v>20.93</v>
      </c>
      <c r="I58" s="36">
        <f>TRUNC(SUMPRODUCT(G59:G61,I59:I61),4)+0.01</f>
        <v>25.51</v>
      </c>
      <c r="J58" s="37">
        <f>J59+J60+J61+0.01</f>
        <v>25.51</v>
      </c>
      <c r="K58" s="38"/>
    </row>
    <row r="59" spans="2:11" ht="61.5" customHeight="1">
      <c r="B59" s="3" t="s">
        <v>152</v>
      </c>
      <c r="C59" s="4">
        <v>97915</v>
      </c>
      <c r="D59" s="4" t="s">
        <v>4</v>
      </c>
      <c r="E59" s="79" t="s">
        <v>73</v>
      </c>
      <c r="F59" s="5" t="s">
        <v>85</v>
      </c>
      <c r="G59" s="6">
        <v>1</v>
      </c>
      <c r="H59" s="6">
        <v>10.8</v>
      </c>
      <c r="I59" s="1">
        <f t="shared" ref="I59:I61" si="34">TRUNC(H59*(1+$J$3),2)</f>
        <v>13.16</v>
      </c>
      <c r="J59" s="1">
        <f t="shared" ref="J59:J61" si="35">TRUNC(G59*I59,4)</f>
        <v>13.16</v>
      </c>
      <c r="K59" s="38"/>
    </row>
    <row r="60" spans="2:11" ht="38.25">
      <c r="B60" s="3" t="s">
        <v>153</v>
      </c>
      <c r="C60" s="4">
        <v>97919</v>
      </c>
      <c r="D60" s="4" t="s">
        <v>4</v>
      </c>
      <c r="E60" s="4" t="s">
        <v>74</v>
      </c>
      <c r="F60" s="5" t="s">
        <v>85</v>
      </c>
      <c r="G60" s="6">
        <v>1</v>
      </c>
      <c r="H60" s="6">
        <v>1.38</v>
      </c>
      <c r="I60" s="1">
        <f t="shared" si="34"/>
        <v>1.68</v>
      </c>
      <c r="J60" s="1">
        <f t="shared" si="35"/>
        <v>1.68</v>
      </c>
      <c r="K60" s="38"/>
    </row>
    <row r="61" spans="2:11" ht="61.5" customHeight="1">
      <c r="B61" s="3" t="s">
        <v>154</v>
      </c>
      <c r="C61" s="4" t="s">
        <v>81</v>
      </c>
      <c r="D61" s="4" t="s">
        <v>75</v>
      </c>
      <c r="E61" s="79" t="s">
        <v>80</v>
      </c>
      <c r="F61" s="5" t="s">
        <v>79</v>
      </c>
      <c r="G61" s="6">
        <v>1</v>
      </c>
      <c r="H61" s="6">
        <v>8.75</v>
      </c>
      <c r="I61" s="1">
        <f t="shared" si="34"/>
        <v>10.66</v>
      </c>
      <c r="J61" s="1">
        <f t="shared" si="35"/>
        <v>10.66</v>
      </c>
      <c r="K61" s="38"/>
    </row>
    <row r="62" spans="2:11" ht="25.5">
      <c r="B62" s="34">
        <v>11</v>
      </c>
      <c r="C62" s="120" t="s">
        <v>100</v>
      </c>
      <c r="D62" s="121"/>
      <c r="E62" s="80" t="s">
        <v>97</v>
      </c>
      <c r="F62" s="35" t="s">
        <v>85</v>
      </c>
      <c r="G62" s="36">
        <v>1</v>
      </c>
      <c r="H62" s="36">
        <f>TRUNC(SUMPRODUCT(G63:G66,H63:H66),4)</f>
        <v>22.2058</v>
      </c>
      <c r="I62" s="36">
        <f>TRUNC(SUMPRODUCT(G63:G66,I63:I66),4)</f>
        <v>27.051400000000001</v>
      </c>
      <c r="J62" s="37">
        <f>J63+J64+J65+J66</f>
        <v>27.051400000000001</v>
      </c>
      <c r="K62" s="38"/>
    </row>
    <row r="63" spans="2:11" ht="61.5" customHeight="1">
      <c r="B63" s="3" t="s">
        <v>155</v>
      </c>
      <c r="C63" s="4" t="s">
        <v>76</v>
      </c>
      <c r="D63" s="4" t="s">
        <v>75</v>
      </c>
      <c r="E63" s="79" t="s">
        <v>77</v>
      </c>
      <c r="F63" s="5" t="s">
        <v>79</v>
      </c>
      <c r="G63" s="6">
        <v>1</v>
      </c>
      <c r="H63" s="6">
        <v>10</v>
      </c>
      <c r="I63" s="1">
        <f t="shared" ref="I63:I66" si="36">TRUNC(H63*(1+$J$3),2)</f>
        <v>12.18</v>
      </c>
      <c r="J63" s="1">
        <f t="shared" ref="J63:J66" si="37">TRUNC(G63*I63,4)</f>
        <v>12.18</v>
      </c>
      <c r="K63" s="38"/>
    </row>
    <row r="64" spans="2:11" ht="38.25">
      <c r="B64" s="3" t="s">
        <v>156</v>
      </c>
      <c r="C64" s="4">
        <v>97919</v>
      </c>
      <c r="D64" s="4" t="s">
        <v>4</v>
      </c>
      <c r="E64" s="79" t="s">
        <v>73</v>
      </c>
      <c r="F64" s="5" t="s">
        <v>85</v>
      </c>
      <c r="G64" s="6">
        <v>1</v>
      </c>
      <c r="H64" s="6">
        <v>10.8</v>
      </c>
      <c r="I64" s="1">
        <f t="shared" si="36"/>
        <v>13.16</v>
      </c>
      <c r="J64" s="1">
        <f t="shared" si="37"/>
        <v>13.16</v>
      </c>
      <c r="K64" s="38"/>
    </row>
    <row r="65" spans="2:11" ht="38.25">
      <c r="B65" s="3" t="s">
        <v>157</v>
      </c>
      <c r="C65" s="4">
        <v>97915</v>
      </c>
      <c r="D65" s="4" t="s">
        <v>4</v>
      </c>
      <c r="E65" s="4" t="s">
        <v>74</v>
      </c>
      <c r="F65" s="5" t="s">
        <v>85</v>
      </c>
      <c r="G65" s="6">
        <v>1</v>
      </c>
      <c r="H65" s="6">
        <v>1.38</v>
      </c>
      <c r="I65" s="1">
        <f t="shared" si="36"/>
        <v>1.68</v>
      </c>
      <c r="J65" s="1">
        <f t="shared" si="37"/>
        <v>1.68</v>
      </c>
      <c r="K65" s="38"/>
    </row>
    <row r="66" spans="2:11" ht="25.5" customHeight="1">
      <c r="B66" s="3" t="s">
        <v>158</v>
      </c>
      <c r="C66" s="4">
        <v>90776</v>
      </c>
      <c r="D66" s="4" t="s">
        <v>4</v>
      </c>
      <c r="E66" s="79" t="s">
        <v>61</v>
      </c>
      <c r="F66" s="5" t="s">
        <v>6</v>
      </c>
      <c r="G66" s="7">
        <v>5.0000000000000001E-4</v>
      </c>
      <c r="H66" s="6">
        <v>51.68</v>
      </c>
      <c r="I66" s="1">
        <f t="shared" si="36"/>
        <v>62.99</v>
      </c>
      <c r="J66" s="1">
        <f t="shared" si="37"/>
        <v>3.1399999999999997E-2</v>
      </c>
      <c r="K66" s="38"/>
    </row>
    <row r="67" spans="2:11" ht="38.25">
      <c r="B67" s="34">
        <v>12</v>
      </c>
      <c r="C67" s="120" t="s">
        <v>101</v>
      </c>
      <c r="D67" s="121"/>
      <c r="E67" s="80" t="s">
        <v>98</v>
      </c>
      <c r="F67" s="35" t="s">
        <v>85</v>
      </c>
      <c r="G67" s="36">
        <v>1</v>
      </c>
      <c r="H67" s="36">
        <f>TRUNC(SUMPRODUCT(G68:G71,H68:H71),4)</f>
        <v>60.265799999999999</v>
      </c>
      <c r="I67" s="36">
        <f>TRUNC(SUMPRODUCT(G68:G71,I68:I71),4)</f>
        <v>73.451400000000007</v>
      </c>
      <c r="J67" s="37">
        <f>J68+J69+J70+J71</f>
        <v>73.451400000000007</v>
      </c>
      <c r="K67" s="38"/>
    </row>
    <row r="68" spans="2:11">
      <c r="B68" s="3" t="s">
        <v>159</v>
      </c>
      <c r="C68" s="4" t="s">
        <v>84</v>
      </c>
      <c r="D68" s="4" t="s">
        <v>83</v>
      </c>
      <c r="E68" s="79" t="s">
        <v>82</v>
      </c>
      <c r="F68" s="5" t="s">
        <v>79</v>
      </c>
      <c r="G68" s="6">
        <v>1</v>
      </c>
      <c r="H68" s="6">
        <v>48.06</v>
      </c>
      <c r="I68" s="1">
        <f t="shared" ref="I68" si="38">TRUNC(H68*(1+$J$3),2)</f>
        <v>58.58</v>
      </c>
      <c r="J68" s="1">
        <f t="shared" ref="J68" si="39">TRUNC(G68*I68,4)</f>
        <v>58.58</v>
      </c>
      <c r="K68" s="38"/>
    </row>
    <row r="69" spans="2:11" ht="38.25">
      <c r="B69" s="3" t="s">
        <v>160</v>
      </c>
      <c r="C69" s="4">
        <v>97919</v>
      </c>
      <c r="D69" s="4" t="s">
        <v>4</v>
      </c>
      <c r="E69" s="79" t="s">
        <v>73</v>
      </c>
      <c r="F69" s="5" t="s">
        <v>85</v>
      </c>
      <c r="G69" s="6">
        <v>1</v>
      </c>
      <c r="H69" s="6">
        <v>10.8</v>
      </c>
      <c r="I69" s="1">
        <f t="shared" ref="I69:I71" si="40">TRUNC(H69*(1+$J$3),2)</f>
        <v>13.16</v>
      </c>
      <c r="J69" s="1">
        <f t="shared" ref="J69:J71" si="41">TRUNC(G69*I69,4)</f>
        <v>13.16</v>
      </c>
      <c r="K69" s="38"/>
    </row>
    <row r="70" spans="2:11" ht="38.25">
      <c r="B70" s="3" t="s">
        <v>161</v>
      </c>
      <c r="C70" s="4">
        <v>97915</v>
      </c>
      <c r="D70" s="4" t="s">
        <v>4</v>
      </c>
      <c r="E70" s="4" t="s">
        <v>74</v>
      </c>
      <c r="F70" s="5" t="s">
        <v>85</v>
      </c>
      <c r="G70" s="6">
        <v>1</v>
      </c>
      <c r="H70" s="6">
        <v>1.38</v>
      </c>
      <c r="I70" s="1">
        <f t="shared" si="40"/>
        <v>1.68</v>
      </c>
      <c r="J70" s="1">
        <f t="shared" si="41"/>
        <v>1.68</v>
      </c>
      <c r="K70" s="38"/>
    </row>
    <row r="71" spans="2:11" ht="25.5" customHeight="1">
      <c r="B71" s="3" t="s">
        <v>162</v>
      </c>
      <c r="C71" s="4">
        <v>90776</v>
      </c>
      <c r="D71" s="4" t="s">
        <v>4</v>
      </c>
      <c r="E71" s="79" t="s">
        <v>61</v>
      </c>
      <c r="F71" s="5" t="s">
        <v>6</v>
      </c>
      <c r="G71" s="7">
        <v>5.0000000000000001E-4</v>
      </c>
      <c r="H71" s="6">
        <v>51.68</v>
      </c>
      <c r="I71" s="1">
        <f t="shared" si="40"/>
        <v>62.99</v>
      </c>
      <c r="J71" s="1">
        <f t="shared" si="41"/>
        <v>3.1399999999999997E-2</v>
      </c>
      <c r="K71" s="38"/>
    </row>
    <row r="72" spans="2:11" ht="38.25">
      <c r="B72" s="34">
        <v>13</v>
      </c>
      <c r="C72" s="120" t="s">
        <v>102</v>
      </c>
      <c r="D72" s="121"/>
      <c r="E72" s="80" t="s">
        <v>99</v>
      </c>
      <c r="F72" s="35" t="s">
        <v>85</v>
      </c>
      <c r="G72" s="36">
        <v>1</v>
      </c>
      <c r="H72" s="36">
        <f>TRUNC(SUMPRODUCT(G73:G76,H73:H76),4)</f>
        <v>20.9558</v>
      </c>
      <c r="I72" s="36">
        <f>TRUNC(SUMPRODUCT(G73:G76,I73:I76),4)</f>
        <v>25.531400000000001</v>
      </c>
      <c r="J72" s="37">
        <f>J73+J74+J75++J76</f>
        <v>25.531400000000001</v>
      </c>
      <c r="K72" s="38"/>
    </row>
    <row r="73" spans="2:11" ht="61.5" customHeight="1">
      <c r="B73" s="3" t="s">
        <v>163</v>
      </c>
      <c r="C73" s="4" t="s">
        <v>81</v>
      </c>
      <c r="D73" s="4" t="s">
        <v>75</v>
      </c>
      <c r="E73" s="79" t="s">
        <v>80</v>
      </c>
      <c r="F73" s="5" t="s">
        <v>79</v>
      </c>
      <c r="G73" s="6">
        <v>1</v>
      </c>
      <c r="H73" s="6">
        <v>8.75</v>
      </c>
      <c r="I73" s="1">
        <f t="shared" ref="I73:I76" si="42">TRUNC(H73*(1+$J$3),2)</f>
        <v>10.66</v>
      </c>
      <c r="J73" s="1">
        <f t="shared" ref="J73:J76" si="43">TRUNC(G73*I73,4)</f>
        <v>10.66</v>
      </c>
      <c r="K73" s="38"/>
    </row>
    <row r="74" spans="2:11" ht="38.25">
      <c r="B74" s="3" t="s">
        <v>164</v>
      </c>
      <c r="C74" s="4">
        <v>97919</v>
      </c>
      <c r="D74" s="4" t="s">
        <v>4</v>
      </c>
      <c r="E74" s="79" t="s">
        <v>73</v>
      </c>
      <c r="F74" s="5" t="s">
        <v>85</v>
      </c>
      <c r="G74" s="6">
        <v>1</v>
      </c>
      <c r="H74" s="6">
        <v>10.8</v>
      </c>
      <c r="I74" s="1">
        <f t="shared" si="42"/>
        <v>13.16</v>
      </c>
      <c r="J74" s="1">
        <f t="shared" si="43"/>
        <v>13.16</v>
      </c>
      <c r="K74" s="38"/>
    </row>
    <row r="75" spans="2:11" ht="38.25">
      <c r="B75" s="3" t="s">
        <v>165</v>
      </c>
      <c r="C75" s="4">
        <v>97915</v>
      </c>
      <c r="D75" s="4" t="s">
        <v>4</v>
      </c>
      <c r="E75" s="4" t="s">
        <v>74</v>
      </c>
      <c r="F75" s="5" t="s">
        <v>85</v>
      </c>
      <c r="G75" s="6">
        <v>1</v>
      </c>
      <c r="H75" s="6">
        <v>1.38</v>
      </c>
      <c r="I75" s="1">
        <f t="shared" si="42"/>
        <v>1.68</v>
      </c>
      <c r="J75" s="1">
        <f t="shared" si="43"/>
        <v>1.68</v>
      </c>
      <c r="K75" s="38"/>
    </row>
    <row r="76" spans="2:11" ht="25.5" customHeight="1">
      <c r="B76" s="3" t="s">
        <v>166</v>
      </c>
      <c r="C76" s="4">
        <v>90776</v>
      </c>
      <c r="D76" s="4" t="s">
        <v>4</v>
      </c>
      <c r="E76" s="79" t="s">
        <v>61</v>
      </c>
      <c r="F76" s="5" t="s">
        <v>6</v>
      </c>
      <c r="G76" s="7">
        <v>5.0000000000000001E-4</v>
      </c>
      <c r="H76" s="6">
        <v>51.68</v>
      </c>
      <c r="I76" s="1">
        <f t="shared" si="42"/>
        <v>62.99</v>
      </c>
      <c r="J76" s="1">
        <f t="shared" si="43"/>
        <v>3.1399999999999997E-2</v>
      </c>
      <c r="K76" s="38"/>
    </row>
    <row r="77" spans="2:11" ht="27.75" customHeight="1">
      <c r="B77" s="34">
        <v>14</v>
      </c>
      <c r="C77" s="120" t="s">
        <v>118</v>
      </c>
      <c r="D77" s="121"/>
      <c r="E77" s="80" t="s">
        <v>119</v>
      </c>
      <c r="F77" s="35" t="s">
        <v>117</v>
      </c>
      <c r="G77" s="36">
        <v>1</v>
      </c>
      <c r="H77" s="36">
        <f>TRUNC(SUMPRODUCT(G78:G79,H78:H79),4)</f>
        <v>380.16</v>
      </c>
      <c r="I77" s="36">
        <f>TRUNC(SUMPRODUCT(G78:G79,I78:I79),4)</f>
        <v>463.32</v>
      </c>
      <c r="J77" s="37">
        <f>SUM(J78:J79)</f>
        <v>463.32000000000005</v>
      </c>
      <c r="K77" s="38"/>
    </row>
    <row r="78" spans="2:11" ht="42" customHeight="1">
      <c r="B78" s="3" t="s">
        <v>167</v>
      </c>
      <c r="C78" s="4" t="s">
        <v>10</v>
      </c>
      <c r="D78" s="4" t="s">
        <v>173</v>
      </c>
      <c r="E78" s="79" t="s">
        <v>91</v>
      </c>
      <c r="F78" s="5" t="s">
        <v>6</v>
      </c>
      <c r="G78" s="6">
        <v>6</v>
      </c>
      <c r="H78" s="6">
        <v>36.58</v>
      </c>
      <c r="I78" s="1">
        <f t="shared" ref="I78:I79" si="44">TRUNC(H78*(1+$J$3),2)</f>
        <v>44.58</v>
      </c>
      <c r="J78" s="1">
        <f t="shared" ref="J78:J79" si="45">TRUNC(G78*I78,4)</f>
        <v>267.48</v>
      </c>
      <c r="K78" s="38"/>
    </row>
    <row r="79" spans="2:11" ht="29.25" customHeight="1">
      <c r="B79" s="3" t="s">
        <v>168</v>
      </c>
      <c r="C79" s="4" t="s">
        <v>116</v>
      </c>
      <c r="D79" s="4" t="s">
        <v>120</v>
      </c>
      <c r="E79" s="79" t="s">
        <v>121</v>
      </c>
      <c r="F79" s="5" t="s">
        <v>6</v>
      </c>
      <c r="G79" s="6">
        <v>6</v>
      </c>
      <c r="H79" s="6">
        <v>26.78</v>
      </c>
      <c r="I79" s="1">
        <f t="shared" si="44"/>
        <v>32.64</v>
      </c>
      <c r="J79" s="1">
        <f t="shared" si="45"/>
        <v>195.84</v>
      </c>
      <c r="K79" s="38"/>
    </row>
    <row r="80" spans="2:11" ht="12.75" customHeight="1">
      <c r="B80" s="78"/>
      <c r="C80" s="78"/>
      <c r="D80" s="78"/>
      <c r="E80" s="78"/>
      <c r="F80" s="78"/>
      <c r="G80" s="78"/>
      <c r="H80" s="78"/>
      <c r="I80" s="78"/>
      <c r="J80" s="82"/>
      <c r="K80" s="2"/>
    </row>
    <row r="81" spans="2:11" ht="12.75" customHeight="1">
      <c r="B81" s="78"/>
      <c r="C81" s="78"/>
      <c r="D81" s="78"/>
      <c r="E81" s="78"/>
      <c r="F81" s="78"/>
      <c r="G81" s="78"/>
      <c r="H81" s="78"/>
      <c r="I81" s="78"/>
      <c r="J81" s="78"/>
      <c r="K81" s="2"/>
    </row>
    <row r="82" spans="2:11" ht="12.75" customHeight="1">
      <c r="B82" s="78"/>
      <c r="C82" s="78"/>
      <c r="D82" s="78"/>
      <c r="E82" s="78"/>
      <c r="F82" s="78"/>
      <c r="G82" s="78"/>
      <c r="H82" s="82"/>
      <c r="I82" s="78"/>
      <c r="J82" s="82"/>
      <c r="K82" s="2"/>
    </row>
    <row r="83" spans="2:11" ht="12.75" customHeight="1">
      <c r="B83" s="78"/>
      <c r="C83" s="78"/>
      <c r="D83" s="78"/>
      <c r="E83" s="78"/>
      <c r="F83" s="78"/>
      <c r="G83" s="78"/>
      <c r="H83" s="78"/>
      <c r="I83" s="78"/>
      <c r="J83" s="78"/>
      <c r="K83" s="2"/>
    </row>
    <row r="84" spans="2:11" ht="15" customHeight="1">
      <c r="H84" s="84"/>
    </row>
    <row r="85" spans="2:11" ht="15" customHeight="1">
      <c r="H85" s="84"/>
      <c r="I85" s="84"/>
    </row>
    <row r="86" spans="2:11" ht="15" customHeight="1">
      <c r="J86" s="84"/>
    </row>
  </sheetData>
  <mergeCells count="24">
    <mergeCell ref="B2:G3"/>
    <mergeCell ref="H2:I2"/>
    <mergeCell ref="H3:I3"/>
    <mergeCell ref="G5:G6"/>
    <mergeCell ref="H5:J5"/>
    <mergeCell ref="B5:B6"/>
    <mergeCell ref="C5:C6"/>
    <mergeCell ref="D5:D6"/>
    <mergeCell ref="E5:E6"/>
    <mergeCell ref="F5:F6"/>
    <mergeCell ref="C77:D77"/>
    <mergeCell ref="C62:D62"/>
    <mergeCell ref="C67:D67"/>
    <mergeCell ref="C72:D72"/>
    <mergeCell ref="C7:D7"/>
    <mergeCell ref="C31:D31"/>
    <mergeCell ref="C46:D46"/>
    <mergeCell ref="C58:D58"/>
    <mergeCell ref="C26:D26"/>
    <mergeCell ref="C13:D13"/>
    <mergeCell ref="C19:D19"/>
    <mergeCell ref="C39:D39"/>
    <mergeCell ref="C36:D36"/>
    <mergeCell ref="C53:D53"/>
  </mergeCells>
  <phoneticPr fontId="11" type="noConversion"/>
  <printOptions horizontalCentered="1"/>
  <pageMargins left="0.51181102362204722" right="0.51181102362204722" top="0.78740157480314965" bottom="0.78740157480314965" header="0" footer="0"/>
  <pageSetup scale="6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91"/>
  <sheetViews>
    <sheetView showGridLines="0" view="pageBreakPreview" zoomScale="90" zoomScaleNormal="110" zoomScaleSheetLayoutView="90" workbookViewId="0">
      <selection activeCell="C9" sqref="C9"/>
    </sheetView>
  </sheetViews>
  <sheetFormatPr defaultColWidth="14.42578125" defaultRowHeight="15" customHeight="1"/>
  <cols>
    <col min="1" max="1" width="1.42578125" style="19" customWidth="1"/>
    <col min="2" max="2" width="17.28515625" style="19" customWidth="1"/>
    <col min="3" max="3" width="38.85546875" style="19" customWidth="1"/>
    <col min="4" max="4" width="11" style="19" customWidth="1"/>
    <col min="5" max="5" width="12.5703125" style="19" customWidth="1"/>
    <col min="6" max="6" width="10.140625" style="19" bestFit="1" customWidth="1"/>
    <col min="7" max="7" width="13.140625" style="19" customWidth="1"/>
    <col min="8" max="12" width="8.7109375" style="19" customWidth="1"/>
    <col min="13" max="16384" width="14.42578125" style="19"/>
  </cols>
  <sheetData>
    <row r="1" spans="2:7" ht="6" customHeight="1" thickBot="1"/>
    <row r="2" spans="2:7" ht="18" customHeight="1" thickBot="1">
      <c r="B2" s="146" t="s">
        <v>13</v>
      </c>
      <c r="C2" s="147"/>
      <c r="D2" s="147"/>
      <c r="E2" s="147"/>
      <c r="F2" s="147"/>
      <c r="G2" s="148"/>
    </row>
    <row r="3" spans="2:7" ht="49.5" customHeight="1">
      <c r="B3" s="42" t="s">
        <v>14</v>
      </c>
      <c r="C3" s="43" t="s">
        <v>45</v>
      </c>
      <c r="D3" s="44"/>
      <c r="E3" s="45" t="s">
        <v>15</v>
      </c>
      <c r="F3" s="46">
        <v>46143</v>
      </c>
      <c r="G3" s="47"/>
    </row>
    <row r="4" spans="2:7">
      <c r="B4" s="42" t="s">
        <v>17</v>
      </c>
      <c r="C4" s="44" t="s">
        <v>44</v>
      </c>
      <c r="D4" s="44"/>
      <c r="E4" s="45" t="s">
        <v>16</v>
      </c>
      <c r="F4" s="48">
        <f>D20</f>
        <v>0.2189304931954521</v>
      </c>
      <c r="G4" s="47"/>
    </row>
    <row r="5" spans="2:7">
      <c r="B5" s="42"/>
      <c r="C5" s="44"/>
      <c r="D5" s="44"/>
      <c r="E5" s="45"/>
      <c r="F5" s="48"/>
      <c r="G5" s="47"/>
    </row>
    <row r="6" spans="2:7">
      <c r="B6" s="20"/>
      <c r="C6" s="21"/>
      <c r="D6" s="44"/>
      <c r="E6" s="49"/>
      <c r="F6" s="45"/>
      <c r="G6" s="50"/>
    </row>
    <row r="7" spans="2:7" ht="15.75" thickBot="1">
      <c r="B7" s="51"/>
      <c r="C7" s="44"/>
      <c r="D7" s="44"/>
      <c r="E7" s="44"/>
      <c r="F7" s="44"/>
      <c r="G7" s="52"/>
    </row>
    <row r="8" spans="2:7" s="93" customFormat="1" ht="19.5" customHeight="1" thickBot="1">
      <c r="B8" s="143" t="s">
        <v>18</v>
      </c>
      <c r="C8" s="144"/>
      <c r="D8" s="144"/>
      <c r="E8" s="144"/>
      <c r="F8" s="144"/>
      <c r="G8" s="145"/>
    </row>
    <row r="9" spans="2:7" ht="30">
      <c r="B9" s="53" t="s">
        <v>19</v>
      </c>
      <c r="C9" s="54" t="s">
        <v>12</v>
      </c>
      <c r="D9" s="55" t="s">
        <v>20</v>
      </c>
      <c r="E9" s="55" t="s">
        <v>21</v>
      </c>
      <c r="F9" s="55" t="s">
        <v>22</v>
      </c>
      <c r="G9" s="56" t="s">
        <v>23</v>
      </c>
    </row>
    <row r="10" spans="2:7">
      <c r="B10" s="57">
        <v>1</v>
      </c>
      <c r="C10" s="58" t="s">
        <v>24</v>
      </c>
      <c r="D10" s="59">
        <v>2.9700000000000001E-2</v>
      </c>
      <c r="E10" s="59">
        <v>5.0799999999999998E-2</v>
      </c>
      <c r="F10" s="59">
        <v>6.2700000000000006E-2</v>
      </c>
      <c r="G10" s="60">
        <v>2.9700000000000001E-2</v>
      </c>
    </row>
    <row r="11" spans="2:7">
      <c r="B11" s="57">
        <v>2</v>
      </c>
      <c r="C11" s="58" t="s">
        <v>25</v>
      </c>
      <c r="D11" s="59">
        <v>8.6E-3</v>
      </c>
      <c r="E11" s="59">
        <v>1.3299999999999999E-2</v>
      </c>
      <c r="F11" s="59">
        <v>1.7100000000000001E-2</v>
      </c>
      <c r="G11" s="60">
        <v>8.6E-3</v>
      </c>
    </row>
    <row r="12" spans="2:7">
      <c r="B12" s="57">
        <v>4</v>
      </c>
      <c r="C12" s="58" t="s">
        <v>26</v>
      </c>
      <c r="D12" s="59">
        <v>5.8999999999999999E-3</v>
      </c>
      <c r="E12" s="59">
        <v>1.23E-2</v>
      </c>
      <c r="F12" s="59">
        <v>1.3899999999999999E-2</v>
      </c>
      <c r="G12" s="60">
        <v>5.8999999999999999E-3</v>
      </c>
    </row>
    <row r="13" spans="2:7">
      <c r="B13" s="57">
        <v>5</v>
      </c>
      <c r="C13" s="58" t="s">
        <v>27</v>
      </c>
      <c r="D13" s="59">
        <v>7.7799999999999994E-2</v>
      </c>
      <c r="E13" s="59">
        <v>0.1085</v>
      </c>
      <c r="F13" s="59">
        <v>0.13550000000000001</v>
      </c>
      <c r="G13" s="60">
        <v>7.7799999999999994E-2</v>
      </c>
    </row>
    <row r="14" spans="2:7">
      <c r="B14" s="57">
        <v>6</v>
      </c>
      <c r="C14" s="58" t="s">
        <v>28</v>
      </c>
      <c r="D14" s="59">
        <v>7.6499999999999999E-2</v>
      </c>
      <c r="E14" s="59">
        <v>7.6499999999999999E-2</v>
      </c>
      <c r="F14" s="59">
        <v>7.6499999999999999E-2</v>
      </c>
      <c r="G14" s="60">
        <v>7.6499999999999999E-2</v>
      </c>
    </row>
    <row r="15" spans="2:7">
      <c r="B15" s="61" t="s">
        <v>29</v>
      </c>
      <c r="C15" s="62" t="s">
        <v>30</v>
      </c>
      <c r="D15" s="63">
        <v>6.5000000000000006E-3</v>
      </c>
      <c r="E15" s="63">
        <v>6.5000000000000006E-3</v>
      </c>
      <c r="F15" s="63">
        <v>6.5000000000000006E-3</v>
      </c>
      <c r="G15" s="64">
        <v>6.5000000000000006E-3</v>
      </c>
    </row>
    <row r="16" spans="2:7">
      <c r="B16" s="61" t="s">
        <v>31</v>
      </c>
      <c r="C16" s="62" t="s">
        <v>32</v>
      </c>
      <c r="D16" s="63">
        <v>0.03</v>
      </c>
      <c r="E16" s="63">
        <v>0.03</v>
      </c>
      <c r="F16" s="63">
        <v>0.03</v>
      </c>
      <c r="G16" s="64">
        <v>0.03</v>
      </c>
    </row>
    <row r="17" spans="2:7">
      <c r="B17" s="61" t="s">
        <v>33</v>
      </c>
      <c r="C17" s="65" t="s">
        <v>35</v>
      </c>
      <c r="D17" s="63">
        <v>0.04</v>
      </c>
      <c r="E17" s="63">
        <v>0.04</v>
      </c>
      <c r="F17" s="63">
        <v>0.04</v>
      </c>
      <c r="G17" s="64">
        <v>0.04</v>
      </c>
    </row>
    <row r="18" spans="2:7">
      <c r="B18" s="66"/>
      <c r="C18" s="44"/>
      <c r="D18" s="67"/>
      <c r="E18" s="67"/>
      <c r="F18" s="67"/>
      <c r="G18" s="68"/>
    </row>
    <row r="19" spans="2:7">
      <c r="B19" s="66"/>
      <c r="C19" s="44"/>
      <c r="D19" s="67"/>
      <c r="E19" s="67"/>
      <c r="F19" s="67"/>
      <c r="G19" s="68"/>
    </row>
    <row r="20" spans="2:7" ht="15.75" customHeight="1">
      <c r="B20" s="66"/>
      <c r="C20" s="69" t="s">
        <v>111</v>
      </c>
      <c r="D20" s="70">
        <f>((1+G10+G11)*(1+G12)*(1+G13))/((1-G14))-1</f>
        <v>0.2189304931954521</v>
      </c>
      <c r="E20" s="67"/>
      <c r="F20" s="67"/>
      <c r="G20" s="68"/>
    </row>
    <row r="21" spans="2:7" ht="15.75" customHeight="1" thickBot="1">
      <c r="B21" s="71"/>
      <c r="C21" s="72"/>
      <c r="D21" s="73"/>
      <c r="E21" s="73"/>
      <c r="F21" s="74"/>
      <c r="G21" s="75"/>
    </row>
    <row r="22" spans="2:7" ht="15.75" customHeight="1"/>
    <row r="23" spans="2:7" ht="15.75" customHeight="1"/>
    <row r="24" spans="2:7" ht="15.75" customHeight="1"/>
    <row r="25" spans="2:7" ht="15.75" customHeight="1"/>
    <row r="26" spans="2:7" ht="15.75" customHeight="1"/>
    <row r="27" spans="2:7" ht="15.75" customHeight="1"/>
    <row r="28" spans="2:7" ht="15.75" customHeight="1"/>
    <row r="29" spans="2:7" ht="15.75" customHeight="1"/>
    <row r="30" spans="2:7" ht="15.75" customHeight="1"/>
    <row r="31" spans="2:7" ht="15.75" customHeight="1"/>
    <row r="32" spans="2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</sheetData>
  <mergeCells count="2">
    <mergeCell ref="B8:G8"/>
    <mergeCell ref="B2:G2"/>
  </mergeCells>
  <printOptions horizontalCentered="1"/>
  <pageMargins left="0.51181102362204722" right="0.51181102362204722" top="0.78740157480314965" bottom="0.7874015748031496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ORCAMENTO</vt:lpstr>
      <vt:lpstr> COMPOSICOES</vt:lpstr>
      <vt:lpstr>BDI </vt:lpstr>
      <vt:lpstr>ORCAMENTO!Area_de_impressao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Usuário</cp:lastModifiedBy>
  <cp:lastPrinted>2026-06-29T12:19:38Z</cp:lastPrinted>
  <dcterms:created xsi:type="dcterms:W3CDTF">2025-05-12T18:15:13Z</dcterms:created>
  <dcterms:modified xsi:type="dcterms:W3CDTF">2026-06-29T12:19:54Z</dcterms:modified>
</cp:coreProperties>
</file>