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Área de Trabalho\PROGRAMA MAIS ENGENHARIA\CAMPO PORTO NOVO\ORCAMENTO\"/>
    </mc:Choice>
  </mc:AlternateContent>
  <bookViews>
    <workbookView xWindow="0" yWindow="0" windowWidth="28800" windowHeight="12915" tabRatio="409"/>
  </bookViews>
  <sheets>
    <sheet name="Orçamento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5" l="1"/>
  <c r="I65" i="5" l="1"/>
  <c r="F21" i="5"/>
  <c r="F32" i="5"/>
  <c r="F42" i="5"/>
  <c r="F41" i="5"/>
  <c r="F40" i="5"/>
  <c r="F29" i="5"/>
  <c r="F28" i="5"/>
  <c r="F72" i="5"/>
  <c r="F74" i="5"/>
  <c r="F51" i="5"/>
  <c r="F50" i="5"/>
  <c r="F49" i="5"/>
  <c r="F71" i="5" l="1"/>
  <c r="H119" i="5"/>
  <c r="G119" i="5"/>
  <c r="G120" i="5"/>
  <c r="F120" i="5"/>
  <c r="F119" i="5" s="1"/>
  <c r="I57" i="5"/>
  <c r="I56" i="5" s="1"/>
  <c r="I55" i="5" s="1"/>
  <c r="F44" i="5"/>
  <c r="F47" i="5"/>
  <c r="F46" i="5" s="1"/>
  <c r="F39" i="5"/>
  <c r="F38" i="5"/>
  <c r="F37" i="5"/>
  <c r="F25" i="5"/>
  <c r="F26" i="5"/>
  <c r="F24" i="5"/>
  <c r="F20" i="5"/>
  <c r="F18" i="5"/>
  <c r="F13" i="5"/>
  <c r="F15" i="5"/>
  <c r="G6" i="5"/>
  <c r="G5" i="5" s="1"/>
  <c r="F48" i="5"/>
  <c r="F53" i="5"/>
  <c r="F56" i="5"/>
  <c r="F55" i="5" s="1"/>
  <c r="H116" i="5"/>
  <c r="I116" i="5" s="1"/>
  <c r="H117" i="5"/>
  <c r="H118" i="5"/>
  <c r="I118" i="5" s="1"/>
  <c r="H115" i="5"/>
  <c r="I115" i="5" s="1"/>
  <c r="G114" i="5"/>
  <c r="G112" i="5"/>
  <c r="G111" i="5" s="1"/>
  <c r="F114" i="5"/>
  <c r="F112" i="5"/>
  <c r="F111" i="5" s="1"/>
  <c r="G99" i="5"/>
  <c r="G98" i="5" s="1"/>
  <c r="F99" i="5"/>
  <c r="F98" i="5" s="1"/>
  <c r="G91" i="5"/>
  <c r="G84" i="5"/>
  <c r="G83" i="5" s="1"/>
  <c r="F91" i="5"/>
  <c r="F84" i="5"/>
  <c r="G81" i="5"/>
  <c r="F81" i="5"/>
  <c r="F65" i="5"/>
  <c r="F63" i="5"/>
  <c r="F61" i="5"/>
  <c r="F59" i="5"/>
  <c r="F73" i="5"/>
  <c r="H79" i="5"/>
  <c r="F78" i="5"/>
  <c r="F76" i="5"/>
  <c r="G78" i="5"/>
  <c r="G76" i="5"/>
  <c r="G69" i="5"/>
  <c r="G73" i="5"/>
  <c r="G65" i="5"/>
  <c r="G63" i="5"/>
  <c r="G61" i="5"/>
  <c r="G59" i="5" s="1"/>
  <c r="G58" i="5" s="1"/>
  <c r="H64" i="5"/>
  <c r="I64" i="5" s="1"/>
  <c r="I63" i="5" s="1"/>
  <c r="H62" i="5"/>
  <c r="H60" i="5"/>
  <c r="H59" i="5" s="1"/>
  <c r="H57" i="5"/>
  <c r="H56" i="5" s="1"/>
  <c r="H54" i="5"/>
  <c r="H53" i="5" s="1"/>
  <c r="H52" i="5" s="1"/>
  <c r="G56" i="5"/>
  <c r="G55" i="5" s="1"/>
  <c r="G53" i="5"/>
  <c r="G48" i="5"/>
  <c r="G46" i="5"/>
  <c r="G44" i="5"/>
  <c r="H37" i="5"/>
  <c r="H38" i="5"/>
  <c r="H39" i="5"/>
  <c r="H40" i="5"/>
  <c r="H41" i="5"/>
  <c r="H42" i="5"/>
  <c r="H45" i="5"/>
  <c r="H47" i="5"/>
  <c r="H46" i="5" s="1"/>
  <c r="H49" i="5"/>
  <c r="H50" i="5"/>
  <c r="I50" i="5" s="1"/>
  <c r="H51" i="5"/>
  <c r="I51" i="5" s="1"/>
  <c r="H36" i="5"/>
  <c r="G35" i="5"/>
  <c r="G34" i="5" s="1"/>
  <c r="G31" i="5"/>
  <c r="G27" i="5"/>
  <c r="H29" i="5"/>
  <c r="H30" i="5"/>
  <c r="H28" i="5"/>
  <c r="G23" i="5"/>
  <c r="G17" i="5"/>
  <c r="H9" i="5"/>
  <c r="I9" i="5" s="1"/>
  <c r="H8" i="5"/>
  <c r="I8" i="5" s="1"/>
  <c r="G11" i="5"/>
  <c r="H113" i="5"/>
  <c r="I113" i="5" s="1"/>
  <c r="I112" i="5" s="1"/>
  <c r="I41" i="5" l="1"/>
  <c r="I39" i="5"/>
  <c r="G10" i="5"/>
  <c r="G22" i="5"/>
  <c r="H27" i="5"/>
  <c r="G52" i="5"/>
  <c r="G68" i="5"/>
  <c r="I36" i="5"/>
  <c r="I42" i="5"/>
  <c r="I40" i="5"/>
  <c r="G43" i="5"/>
  <c r="F83" i="5"/>
  <c r="I45" i="5"/>
  <c r="I44" i="5" s="1"/>
  <c r="H35" i="5"/>
  <c r="H34" i="5" s="1"/>
  <c r="I47" i="5"/>
  <c r="I46" i="5" s="1"/>
  <c r="G75" i="5"/>
  <c r="F75" i="5"/>
  <c r="H48" i="5"/>
  <c r="I49" i="5"/>
  <c r="I48" i="5" s="1"/>
  <c r="I37" i="5"/>
  <c r="H63" i="5"/>
  <c r="H44" i="5"/>
  <c r="H43" i="5" s="1"/>
  <c r="H114" i="5"/>
  <c r="I117" i="5"/>
  <c r="I114" i="5" s="1"/>
  <c r="I111" i="5" s="1"/>
  <c r="F52" i="5"/>
  <c r="I38" i="5"/>
  <c r="F58" i="5"/>
  <c r="H112" i="5"/>
  <c r="H111" i="5" s="1"/>
  <c r="F43" i="5"/>
  <c r="H7" i="5"/>
  <c r="I43" i="5" l="1"/>
  <c r="H6" i="5"/>
  <c r="H5" i="5" s="1"/>
  <c r="I7" i="5"/>
  <c r="H121" i="5"/>
  <c r="H110" i="5"/>
  <c r="I110" i="5" s="1"/>
  <c r="H109" i="5"/>
  <c r="I109" i="5" s="1"/>
  <c r="H108" i="5"/>
  <c r="I108" i="5" s="1"/>
  <c r="H107" i="5"/>
  <c r="I107" i="5" s="1"/>
  <c r="H106" i="5"/>
  <c r="I106" i="5" s="1"/>
  <c r="H105" i="5"/>
  <c r="I105" i="5" s="1"/>
  <c r="H104" i="5"/>
  <c r="I104" i="5" s="1"/>
  <c r="H103" i="5"/>
  <c r="I103" i="5" s="1"/>
  <c r="H102" i="5"/>
  <c r="I102" i="5" s="1"/>
  <c r="H101" i="5"/>
  <c r="I101" i="5" s="1"/>
  <c r="H100" i="5"/>
  <c r="H97" i="5"/>
  <c r="I97" i="5" s="1"/>
  <c r="H96" i="5"/>
  <c r="I96" i="5" s="1"/>
  <c r="H95" i="5"/>
  <c r="I95" i="5" s="1"/>
  <c r="H94" i="5"/>
  <c r="I94" i="5" s="1"/>
  <c r="H93" i="5"/>
  <c r="I93" i="5" s="1"/>
  <c r="H92" i="5"/>
  <c r="H90" i="5"/>
  <c r="I90" i="5" s="1"/>
  <c r="H89" i="5"/>
  <c r="I89" i="5" s="1"/>
  <c r="H88" i="5"/>
  <c r="I88" i="5" s="1"/>
  <c r="H87" i="5"/>
  <c r="I87" i="5" s="1"/>
  <c r="H86" i="5"/>
  <c r="I86" i="5" s="1"/>
  <c r="H85" i="5"/>
  <c r="H82" i="5"/>
  <c r="H80" i="5"/>
  <c r="I79" i="5"/>
  <c r="H77" i="5"/>
  <c r="H74" i="5"/>
  <c r="H72" i="5"/>
  <c r="H71" i="5"/>
  <c r="H70" i="5"/>
  <c r="H67" i="5"/>
  <c r="I67" i="5" s="1"/>
  <c r="H66" i="5"/>
  <c r="I62" i="5"/>
  <c r="I61" i="5" s="1"/>
  <c r="I60" i="5"/>
  <c r="I59" i="5" s="1"/>
  <c r="I54" i="5"/>
  <c r="I53" i="5" s="1"/>
  <c r="I52" i="5" s="1"/>
  <c r="H33" i="5"/>
  <c r="I33" i="5" s="1"/>
  <c r="H32" i="5"/>
  <c r="I30" i="5"/>
  <c r="H26" i="5"/>
  <c r="I26" i="5" s="1"/>
  <c r="H25" i="5"/>
  <c r="I25" i="5" s="1"/>
  <c r="H24" i="5"/>
  <c r="H21" i="5"/>
  <c r="I21" i="5" s="1"/>
  <c r="H20" i="5"/>
  <c r="I20" i="5" s="1"/>
  <c r="H19" i="5"/>
  <c r="I19" i="5" s="1"/>
  <c r="H18" i="5"/>
  <c r="H16" i="5"/>
  <c r="I16" i="5" s="1"/>
  <c r="H15" i="5"/>
  <c r="I15" i="5" s="1"/>
  <c r="H14" i="5"/>
  <c r="I14" i="5" s="1"/>
  <c r="H13" i="5"/>
  <c r="I13" i="5" s="1"/>
  <c r="H12" i="5"/>
  <c r="I12" i="5" l="1"/>
  <c r="I11" i="5" s="1"/>
  <c r="H11" i="5"/>
  <c r="H65" i="5"/>
  <c r="I66" i="5"/>
  <c r="I58" i="5" s="1"/>
  <c r="I70" i="5"/>
  <c r="H69" i="5"/>
  <c r="I77" i="5"/>
  <c r="I76" i="5" s="1"/>
  <c r="H76" i="5"/>
  <c r="I80" i="5"/>
  <c r="H78" i="5"/>
  <c r="I85" i="5"/>
  <c r="I84" i="5" s="1"/>
  <c r="H84" i="5"/>
  <c r="I92" i="5"/>
  <c r="I91" i="5" s="1"/>
  <c r="H91" i="5"/>
  <c r="I100" i="5"/>
  <c r="I99" i="5" s="1"/>
  <c r="I98" i="5" s="1"/>
  <c r="H99" i="5"/>
  <c r="H98" i="5" s="1"/>
  <c r="I121" i="5"/>
  <c r="I120" i="5" s="1"/>
  <c r="I119" i="5" s="1"/>
  <c r="H120" i="5"/>
  <c r="I5" i="5"/>
  <c r="I6" i="5"/>
  <c r="I18" i="5"/>
  <c r="I17" i="5" s="1"/>
  <c r="I10" i="5" s="1"/>
  <c r="H17" i="5"/>
  <c r="I24" i="5"/>
  <c r="I23" i="5" s="1"/>
  <c r="H23" i="5"/>
  <c r="H31" i="5"/>
  <c r="I32" i="5"/>
  <c r="I31" i="5" s="1"/>
  <c r="I74" i="5"/>
  <c r="I73" i="5" s="1"/>
  <c r="H73" i="5"/>
  <c r="I78" i="5"/>
  <c r="I82" i="5"/>
  <c r="I81" i="5" s="1"/>
  <c r="H81" i="5"/>
  <c r="I35" i="5"/>
  <c r="I34" i="5" s="1"/>
  <c r="H61" i="5"/>
  <c r="H10" i="5" l="1"/>
  <c r="I83" i="5"/>
  <c r="I75" i="5"/>
  <c r="H22" i="5"/>
  <c r="H83" i="5"/>
  <c r="H75" i="5"/>
  <c r="H68" i="5"/>
  <c r="H55" i="5"/>
  <c r="H58" i="5"/>
  <c r="I28" i="5" l="1"/>
  <c r="I29" i="5"/>
  <c r="I27" i="5" l="1"/>
  <c r="I22" i="5" s="1"/>
  <c r="I71" i="5"/>
  <c r="F69" i="5"/>
  <c r="F68" i="5" s="1"/>
  <c r="I72" i="5"/>
  <c r="I69" i="5" l="1"/>
  <c r="I68" i="5" s="1"/>
  <c r="J2" i="5"/>
  <c r="J68" i="5" l="1"/>
  <c r="J116" i="5"/>
  <c r="J118" i="5"/>
  <c r="J113" i="5"/>
  <c r="J102" i="5"/>
  <c r="J104" i="5"/>
  <c r="J106" i="5"/>
  <c r="J108" i="5"/>
  <c r="J110" i="5"/>
  <c r="J93" i="5"/>
  <c r="J95" i="5"/>
  <c r="J97" i="5"/>
  <c r="J86" i="5"/>
  <c r="J88" i="5"/>
  <c r="J90" i="5"/>
  <c r="J82" i="5"/>
  <c r="J79" i="5"/>
  <c r="J74" i="5"/>
  <c r="J71" i="5"/>
  <c r="J67" i="5"/>
  <c r="J64" i="5"/>
  <c r="J60" i="5"/>
  <c r="J54" i="5"/>
  <c r="J51" i="5"/>
  <c r="J47" i="5"/>
  <c r="J37" i="5"/>
  <c r="J39" i="5"/>
  <c r="J41" i="5"/>
  <c r="J36" i="5"/>
  <c r="J32" i="5"/>
  <c r="J30" i="5"/>
  <c r="J25" i="5"/>
  <c r="J24" i="5"/>
  <c r="J20" i="5"/>
  <c r="J18" i="5"/>
  <c r="J121" i="5"/>
  <c r="J117" i="5"/>
  <c r="J115" i="5"/>
  <c r="J101" i="5"/>
  <c r="J103" i="5"/>
  <c r="J105" i="5"/>
  <c r="J107" i="5"/>
  <c r="J109" i="5"/>
  <c r="J100" i="5"/>
  <c r="J94" i="5"/>
  <c r="J96" i="5"/>
  <c r="J92" i="5"/>
  <c r="J87" i="5"/>
  <c r="J89" i="5"/>
  <c r="J85" i="5"/>
  <c r="J80" i="5"/>
  <c r="J77" i="5"/>
  <c r="J72" i="5"/>
  <c r="J70" i="5"/>
  <c r="J66" i="5"/>
  <c r="J62" i="5"/>
  <c r="J57" i="5"/>
  <c r="J50" i="5"/>
  <c r="J49" i="5"/>
  <c r="J45" i="5"/>
  <c r="J38" i="5"/>
  <c r="J40" i="5"/>
  <c r="J42" i="5"/>
  <c r="J33" i="5"/>
  <c r="J29" i="5"/>
  <c r="J26" i="5"/>
  <c r="J19" i="5"/>
  <c r="J21" i="5"/>
  <c r="J28" i="5"/>
  <c r="J69" i="5"/>
  <c r="J55" i="5"/>
  <c r="J53" i="5"/>
  <c r="J34" i="5"/>
  <c r="J52" i="5"/>
  <c r="J119" i="5"/>
  <c r="J84" i="5"/>
  <c r="J23" i="5"/>
  <c r="J59" i="5"/>
  <c r="J9" i="5"/>
  <c r="J16" i="5"/>
  <c r="J8" i="5"/>
  <c r="J81" i="5"/>
  <c r="J43" i="5"/>
  <c r="J73" i="5"/>
  <c r="J17" i="5"/>
  <c r="J98" i="5"/>
  <c r="J14" i="5"/>
  <c r="J22" i="5"/>
  <c r="J44" i="5"/>
  <c r="J35" i="5"/>
  <c r="J75" i="5"/>
  <c r="J99" i="5"/>
  <c r="J91" i="5"/>
  <c r="J76" i="5"/>
  <c r="J114" i="5"/>
  <c r="J13" i="5"/>
  <c r="J27" i="5"/>
  <c r="J65" i="5"/>
  <c r="J12" i="5"/>
  <c r="J56" i="5"/>
  <c r="J120" i="5"/>
  <c r="J48" i="5"/>
  <c r="J31" i="5"/>
  <c r="J63" i="5"/>
  <c r="J112" i="5"/>
  <c r="J46" i="5"/>
  <c r="J58" i="5"/>
  <c r="J11" i="5"/>
  <c r="J78" i="5"/>
  <c r="J5" i="5"/>
  <c r="J83" i="5"/>
  <c r="J15" i="5"/>
  <c r="J10" i="5"/>
  <c r="J7" i="5"/>
  <c r="J111" i="5"/>
  <c r="J6" i="5"/>
  <c r="J61" i="5"/>
</calcChain>
</file>

<file path=xl/sharedStrings.xml><?xml version="1.0" encoding="utf-8"?>
<sst xmlns="http://schemas.openxmlformats.org/spreadsheetml/2006/main" count="490" uniqueCount="298">
  <si>
    <t>M³</t>
  </si>
  <si>
    <t>M</t>
  </si>
  <si>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</si>
  <si>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</si>
  <si>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</si>
  <si>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</si>
  <si>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</si>
  <si>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</si>
  <si>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</si>
  <si>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</si>
  <si>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</si>
  <si>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</si>
  <si>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</si>
  <si>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</si>
  <si>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</si>
  <si>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</si>
  <si>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 E INDIRETOS</t>
  </si>
  <si>
    <t xml:space="preserve"> 1.1 </t>
  </si>
  <si>
    <t>CANTEIRO DE OBRAS</t>
  </si>
  <si>
    <t>SBC</t>
  </si>
  <si>
    <t>un</t>
  </si>
  <si>
    <t>m²</t>
  </si>
  <si>
    <t>SINAPI</t>
  </si>
  <si>
    <t>UN</t>
  </si>
  <si>
    <t xml:space="preserve"> 103689 </t>
  </si>
  <si>
    <t>FORNECIMENTO E INSTALAÇÃO DE PLACA DE OBRA COM CHAPA GALVANIZADA E ESTRUTURA DE MADEIRA. AF_03/2022_PS</t>
  </si>
  <si>
    <t>m³</t>
  </si>
  <si>
    <t xml:space="preserve"> 2 </t>
  </si>
  <si>
    <t>FUNDAÇÃO</t>
  </si>
  <si>
    <t xml:space="preserve"> 93358 </t>
  </si>
  <si>
    <t>ESCAVAÇÃO MANUAL DE VALA. AF_09/2024</t>
  </si>
  <si>
    <t xml:space="preserve"> 100324 </t>
  </si>
  <si>
    <t>LASTRO COM MATERIAL GRANULAR (PEDRA BRITADA N.1 E PEDRA BRITADA N.2), APLICADO EM PISOS OU LAJES SOBRE SOLO, ESPESSURA DE *10 CM*. AF_01/2024</t>
  </si>
  <si>
    <t xml:space="preserve"> 96534 </t>
  </si>
  <si>
    <t>FABRICAÇÃO, MONTAGEM E DESMONTAGEM DE FÔRMA PARA BLOCO DE COROAMENTO, EM MADEIRA SERRADA, E=25 MM, 4 UTILIZAÇÕES. AF_01/2024</t>
  </si>
  <si>
    <t>KG</t>
  </si>
  <si>
    <t xml:space="preserve"> 96546 </t>
  </si>
  <si>
    <t>ARMAÇÃO DE BLOCO UTILIZANDO AÇO CA-50 DE 10 MM - MONTAGEM. AF_01/2024</t>
  </si>
  <si>
    <t xml:space="preserve"> 3 </t>
  </si>
  <si>
    <t>ESTRUTURA</t>
  </si>
  <si>
    <t xml:space="preserve"> 3.1 </t>
  </si>
  <si>
    <t>PILARES</t>
  </si>
  <si>
    <t xml:space="preserve"> 3.1.1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</si>
  <si>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</si>
  <si>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</si>
  <si>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92762 </t>
  </si>
  <si>
    <t>ARMAÇÃO DE PILAR OU VIGA DE ESTRUTURA CONVENCIONAL DE CONCRETO ARMADO UTILIZANDO AÇO CA-50 DE 10,0 MM - MONTAGEM. AF_06/2022</t>
  </si>
  <si>
    <t xml:space="preserve"> 3.2 </t>
  </si>
  <si>
    <t>VIGAS</t>
  </si>
  <si>
    <t xml:space="preserve"> 3.2.1 </t>
  </si>
  <si>
    <t xml:space="preserve"> 3.3 </t>
  </si>
  <si>
    <t>LAJES</t>
  </si>
  <si>
    <t xml:space="preserve"> 3.3.5 </t>
  </si>
  <si>
    <t xml:space="preserve"> 92771 </t>
  </si>
  <si>
    <t>ARMAÇÃO DE LAJE DE ESTRUTURA CONVENCIONAL DE CONCRETO ARMADO UTILIZANDO AÇO CA-50 DE 10,0 MM - MONTAGEM. AF_06/2022</t>
  </si>
  <si>
    <t xml:space="preserve"> 3.3.6 </t>
  </si>
  <si>
    <t xml:space="preserve"> 4 </t>
  </si>
  <si>
    <t>ALVENARIA, VEDAÇÕES E DIVISÓRIAS</t>
  </si>
  <si>
    <t xml:space="preserve"> 4.1 </t>
  </si>
  <si>
    <t>ALVENARIA DE VEDAÇÃO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</si>
  <si>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</si>
  <si>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</si>
  <si>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93191 </t>
  </si>
  <si>
    <t>VERGA MOLDADA IN LOCO COM UTILIZAÇÃO DE BLOCOS CANALETA, ESPESSURA DE *20* CM. AF_03/2024</t>
  </si>
  <si>
    <t xml:space="preserve"> 93199 </t>
  </si>
  <si>
    <t>CONTRAVERGA MOLDADA IN LOCO COM UTILIZAÇÃO DE BLOCOS CANALETA, ESPESSURA DE *20* CM. AF_03/2024</t>
  </si>
  <si>
    <t xml:space="preserve"> 93201 </t>
  </si>
  <si>
    <t>FIXAÇÃO (ENCUNHAMENTO) DE ALVENARIA DE VEDAÇÃO COM ARGAMASSA APLICADA COM COLHER. AF_03/2016</t>
  </si>
  <si>
    <t xml:space="preserve"> 5 </t>
  </si>
  <si>
    <t>COBERTURA</t>
  </si>
  <si>
    <t xml:space="preserve"> 5.1 </t>
  </si>
  <si>
    <t xml:space="preserve"> 5.1.1 </t>
  </si>
  <si>
    <t xml:space="preserve"> 100776 </t>
  </si>
  <si>
    <t>ESTRUTURA TRELIÇADA DE COBERTURA, TIPO ARCO, COM LIGAÇÕES PARAFUSADAS, INCLUSOS PERFIS METÁLICOS, CHAPAS METÁLICAS, MÃO DE OBRA E TRANSPORTE COM GUINDASTE - FORNECIMENTO E INSTALAÇÃO. AF_01/2020_PSA</t>
  </si>
  <si>
    <t xml:space="preserve"> 5.2 </t>
  </si>
  <si>
    <t>TELHAMENTO</t>
  </si>
  <si>
    <t xml:space="preserve"> 5.2.1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</si>
  <si>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</si>
  <si>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</si>
  <si>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5.3 </t>
  </si>
  <si>
    <t>COMPLEMENTOS</t>
  </si>
  <si>
    <t xml:space="preserve"> 5.3.1 </t>
  </si>
  <si>
    <t xml:space="preserve"> 94229 </t>
  </si>
  <si>
    <t>CALHA EM CHAPA DE AÇO GALVANIZADO NÚMERO 24, DESENVOLVIMENTO DE 100 CM, INCLUSO TRANSPORTE VERTICAL. AF_07/2019</t>
  </si>
  <si>
    <t xml:space="preserve"> 5.3.2 </t>
  </si>
  <si>
    <t xml:space="preserve"> 94231 </t>
  </si>
  <si>
    <t>RUFO EM CHAPA DE AÇO GALVANIZADO NÚMERO 24, CORTE DE 25 CM, INCLUSO TRANSPORTE VERTICAL. AF_07/2019</t>
  </si>
  <si>
    <t xml:space="preserve"> 5.3.3 </t>
  </si>
  <si>
    <t xml:space="preserve"> 94451 </t>
  </si>
  <si>
    <t>CUMEEIRA PARA TELHA DE FIBROCIMENTO ESTRUTURAL E = 6 MM, INCLUSO ACESSÓRIOS DE FIXAÇÃO E IÇAMENTO. AF_07/2019</t>
  </si>
  <si>
    <t>ESQUADRIAS</t>
  </si>
  <si>
    <t xml:space="preserve"> 7.1 </t>
  </si>
  <si>
    <t>ESQUADRIAS DE MADEIRA</t>
  </si>
  <si>
    <t xml:space="preserve"> 7.1.1 </t>
  </si>
  <si>
    <t>ESQUADRIAS DE ALUMINIO</t>
  </si>
  <si>
    <t>JANELAS DE ALUMINIO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</si>
  <si>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</si>
  <si>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</si>
  <si>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8.1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</si>
  <si>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</si>
  <si>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</si>
  <si>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</si>
  <si>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</si>
  <si>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</si>
  <si>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</si>
  <si>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</si>
  <si>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</si>
  <si>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</si>
  <si>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</si>
  <si>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9.3 </t>
  </si>
  <si>
    <t>REVESTIMENTO DE PISO EXTERNO</t>
  </si>
  <si>
    <t xml:space="preserve"> 87885 </t>
  </si>
  <si>
    <t>CHAPISCO APLICADO NO TETO OU EM ALVENARIA E ESTRUTURA, COM ROLO PARA TEXTURA ACRÍLICA. ARGAMASSA INDUSTRIALIZADA COM PREPARO EM MISTURADOR 300 KG. AF_10/2022</t>
  </si>
  <si>
    <t xml:space="preserve"> 90408 </t>
  </si>
  <si>
    <t>MASSA ÚNICA, EM ARGAMASSA TRAÇO 1:2:8, PREPARO MECÂNICO, APLICADA MANUALMENTE EM TETO, E = 10MM, COM TALISCAS. AF_03/2024</t>
  </si>
  <si>
    <t>PINTURA</t>
  </si>
  <si>
    <t xml:space="preserve"> 88485 </t>
  </si>
  <si>
    <t>FUNDO SELADOR ACRÍLICO, APLICAÇÃO MANUAL EM PAREDE, UMA DEMÃO. AF_04/2023</t>
  </si>
  <si>
    <t xml:space="preserve"> 88495 </t>
  </si>
  <si>
    <t>EMASSAMENTO COM MASSA LÁTEX, APLICAÇÃO EM PAREDE, UMA DEMÃO, LIXAMENTO MANUAL. AF_04/2023</t>
  </si>
  <si>
    <t xml:space="preserve"> 104641 </t>
  </si>
  <si>
    <t>PINTURA LÁTEX ACRÍLICA ECONÔMICA, APLICAÇÃO MANUAL EM PAREDES, DUAS DEMÃOS. AF_04/2023</t>
  </si>
  <si>
    <t xml:space="preserve"> 104639 </t>
  </si>
  <si>
    <t>PINTURA LÁTEX ACRÍLICA ECONÔMICA, APLICAÇÃO MANUAL EM TETO, DUAS DEMÃOS. AF_04/2023</t>
  </si>
  <si>
    <t>LOUÇAS, METAIS E ACESSÓRIOS</t>
  </si>
  <si>
    <t>EQUIPAMENTOS</t>
  </si>
  <si>
    <t xml:space="preserve"> 100860 </t>
  </si>
  <si>
    <t>CHUVEIRO ELÉTRICO COMUM CORPO PLÁSTICO, TIPO DUCHA - FORNECIMENTO E INSTALAÇÃO. AF_01/2020</t>
  </si>
  <si>
    <t>LOUÇAS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</si>
  <si>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</si>
  <si>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</si>
  <si>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METAIS E ACESSÓRIOS</t>
  </si>
  <si>
    <t>INSTALAÇÕES HIDROSSANITÁRIAS</t>
  </si>
  <si>
    <t>HIDRÁULICA</t>
  </si>
  <si>
    <t xml:space="preserve"> 94492 </t>
  </si>
  <si>
    <t>REGISTRO DE ESFERA, PVC, SOLDÁVEL, COM VOLANTE, DN  50 MM - FORNECIMENTO E INSTALAÇÃO. AF_08/2021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</si>
  <si>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</si>
  <si>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</si>
  <si>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103979 </t>
  </si>
  <si>
    <t>TUBO, PVC, SOLDÁVEL, DE 50MM, INSTALADO EM RAMAL DE DISTRIBUIÇÃO DE ÁGUA - FORNECIMENTO E INSTALAÇÃO. AF_06/2022</t>
  </si>
  <si>
    <t xml:space="preserve"> 103986 </t>
  </si>
  <si>
    <t>CURVA 90 GRAUS, PVC, SOLDÁVEL, DN 50MM, INSTALADO EM RAMAL DE DISTRIBUIÇÃO DE ÁGUA - FORNECIMENTO E INSTALAÇÃO. AF_06/2022</t>
  </si>
  <si>
    <t xml:space="preserve"> 89593 </t>
  </si>
  <si>
    <t>LUVA COM ROSCA, PVC, SOLDÁVEL, DN 50MM X 1.1/2 , INSTALADO EM PRUMADA DE ÁGUA - FORNECIMENTO E INSTALAÇÃO. AF_06/2022</t>
  </si>
  <si>
    <t xml:space="preserve"> 104002 </t>
  </si>
  <si>
    <t>ADAPTADOR CURTO COM BOLSA E ROSCA PARA REGISTRO, PVC, SOLDÁVEL, DN 50MM X 1.1/4", INSTALADO EM RAMAL DE DISTRIBUIÇÃO DE ÁGUA - FORNECIMENTO E INSTALAÇÃO. AF_06/2022</t>
  </si>
  <si>
    <t>SANITÁRIA</t>
  </si>
  <si>
    <t xml:space="preserve"> 89707 </t>
  </si>
  <si>
    <t>CAIXA SIFONADA, PVC, DN 100 X 100 X 50 MM, JUNTA ELÁSTICA, FORNECIDA E INSTALADA EM RAMAL DE DESCARGA OU EM RAMAL DE ESGOTO SANITÁRIO. AF_08/2022</t>
  </si>
  <si>
    <t xml:space="preserve"> 89709 </t>
  </si>
  <si>
    <t>RALO SIFONADO, PVC, DN 100 X 40 MM, JUNTA SOLDÁVEL, FORNECIDO E INSTALADO EM RAMAL DE DESCARGA OU EM RAMAL DE ESGOTO SANITÁRIO. AF_08/2022</t>
  </si>
  <si>
    <t xml:space="preserve"> 86883 </t>
  </si>
  <si>
    <t>SIFÃO DO TIPO FLEXÍVEL EM PVC 1  X 1.1/2 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</si>
  <si>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</si>
  <si>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</si>
  <si>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89811 </t>
  </si>
  <si>
    <t>CURVA CURTA 90 GRAUS, PVC, SERIE NORMAL, ESGOTO PREDIAL, DN 100 MM, JUNTA ELÁSTICA, FORNECIDO E INSTALADO EM PRUMADA DE ESGOTO SANITÁRIO OU VENTILAÇÃO. AF_08/2022</t>
  </si>
  <si>
    <t>m</t>
  </si>
  <si>
    <t xml:space="preserve"> 89829 </t>
  </si>
  <si>
    <t>TE, PVC, SERIE NORMAL, ESGOTO PREDIAL, DN 75 X 75 MM, JUNTA ELÁSTICA, FORNECIDO E INSTALADO EM PRUMADA DE ESGOTO SANITÁRIO OU VENTILAÇÃO. AF_08/2022</t>
  </si>
  <si>
    <t>INSTALAÇÕES ELÉTRICAS</t>
  </si>
  <si>
    <t>INFRAESTRUTURA</t>
  </si>
  <si>
    <t xml:space="preserve"> 91940 </t>
  </si>
  <si>
    <t>CAIXA RETANGULAR 4" X 2" MÉDIA (1,30 M DO PISO), PVC, INSTALADA EM PAREDE - FORNECIMENTO E INSTALAÇÃO. AF_03/2023</t>
  </si>
  <si>
    <t xml:space="preserve"> 91935 </t>
  </si>
  <si>
    <t>CABO DE COBRE FLEXÍVEL ISOLADO, 16 MM², ANTI-CHAMA 0,6/1,0 KV, PARA CIRCUITOS TERMINAIS - FORNECIMENTO E INSTALAÇÃO. AF_03/2023</t>
  </si>
  <si>
    <t xml:space="preserve"> 061461 </t>
  </si>
  <si>
    <t>CAIXA DE PASSAGEM CH.DE ACO C/TAMPA APARAF. 200x200x100 PISO</t>
  </si>
  <si>
    <t xml:space="preserve"> 91955 </t>
  </si>
  <si>
    <t>INTERRUPTOR PARALELO (1 MÓDULO), 10A/250V, INCLUINDO SUPORTE E PLACA - FORNECIMENTO E INSTALAÇÃO. AF_03/2023</t>
  </si>
  <si>
    <t xml:space="preserve"> 91996 </t>
  </si>
  <si>
    <t>TOMADA MÉDIA DE EMBUTIR (1 MÓDULO), 2P+T 10 A, INCLUINDO SUPORTE E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</si>
  <si>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</si>
  <si>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</si>
  <si>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93653 </t>
  </si>
  <si>
    <t>DISJUNTOR MONOPOLAR TIPO DIN, CORRENTE NOMINAL DE 10A - FORNECIMENTO E INSTALAÇÃO. AF_10/2020</t>
  </si>
  <si>
    <t xml:space="preserve"> 93662 </t>
  </si>
  <si>
    <t>DISJUNTOR BIPOLAR TIPO DIN, CORRENTE NOMINAL DE 20A - FORNECIMENTO E INSTALAÇÃO. AF_10/2020</t>
  </si>
  <si>
    <t xml:space="preserve"> 91837 </t>
  </si>
  <si>
    <t>ELETRODUTO FLEXÍVEL CORRUGADO REFORÇADO, PVC, DN 32 MM (1"), PARA CIRCUITOS TERMINAIS, INSTALADO EM FORRO - FORNECIMENTO E INSTALAÇÃO. AF_03/2023_PA</t>
  </si>
  <si>
    <t xml:space="preserve"> 97359 </t>
  </si>
  <si>
    <t>QUADRO DE MEDIÇÃO GERAL DE ENERGIA COM 8 MEDIDORES - FORNECIMENTO E INSTALAÇÃO. AF_10/2020</t>
  </si>
  <si>
    <t xml:space="preserve"> 061236 </t>
  </si>
  <si>
    <t>BARRAMENTO PENTE 12 POLOS BIFASICO 63A FORCELINE</t>
  </si>
  <si>
    <t>ILUMINAÇÃO</t>
  </si>
  <si>
    <t xml:space="preserve"> 060121 </t>
  </si>
  <si>
    <t>LUMINARIA DE EMBUTIR PLAFON 18W LED BRANCO FRIO 22,5x22,5</t>
  </si>
  <si>
    <t>URBANIZAÇÃO</t>
  </si>
  <si>
    <t>2.1</t>
  </si>
  <si>
    <t>VIGAS BALDRAME</t>
  </si>
  <si>
    <t>BLOCOS</t>
  </si>
  <si>
    <t>CONCRETAGEM DE BLOCO DE COROAMENTO OU VIGA BALDRAME, FCK 30 MPA, COM USO DE BOMBA - LANÇAMENTO, ADENSAMENTO E ACABAMENTO. AF_01/2024</t>
  </si>
  <si>
    <t>ALAMBRADO EM MOURÕES DE CONCRETO, COM TELA DE ARAME GALVANIZADO (INCLUSIVE MURETA EM CONCRETO). AF_05/2018</t>
  </si>
  <si>
    <t>KIT DE PORTA DE MADEIRA PARA PINTURA, SEMI-OCA (LEVE OU MÉDIA), PADRÃO MÉDIO, 60X210CM, ESPESSURA DE 3,5CM, ITENS INCLUSOS: DOBRADIÇAS, MONTAGEM E INSTALAÇÃO DO BATENTE, SEM FECHADURA - FORNECIMENTO E INSTALAÇÃO. AF_12/2019</t>
  </si>
  <si>
    <t>CONCRETAGEM DE PILARES, FCK = 25 MPA, COM USO DE BOMBA - LANÇAMENTO, ADENSAMENTO E ACABAMENTO. AF_02/2022_PS</t>
  </si>
  <si>
    <t>EXECUÇÃO DE DEPÓSITO EM CANTEIRO DE OBRA EM CHAPA DE MADEIRA COMPENSADA, NÃO INCLUSO MOBILIÁRIO. AF_04/2016</t>
  </si>
  <si>
    <t>2.2</t>
  </si>
  <si>
    <t xml:space="preserve"> 2.1.1</t>
  </si>
  <si>
    <t xml:space="preserve"> 2.1.2</t>
  </si>
  <si>
    <t xml:space="preserve"> 2.1.3</t>
  </si>
  <si>
    <t xml:space="preserve"> 2.1.4</t>
  </si>
  <si>
    <t xml:space="preserve"> 2.1.5</t>
  </si>
  <si>
    <t>2.2.1</t>
  </si>
  <si>
    <t>2.2.2</t>
  </si>
  <si>
    <t>2.2.3</t>
  </si>
  <si>
    <t>2.2.4</t>
  </si>
  <si>
    <t xml:space="preserve"> 1.1.1</t>
  </si>
  <si>
    <t xml:space="preserve"> 1.1.2</t>
  </si>
  <si>
    <t xml:space="preserve"> 1.1.3</t>
  </si>
  <si>
    <t>TAPUME/CERCAMENTO ALTURA 1,20m TELA PLASTICA FACHADEIRA</t>
  </si>
  <si>
    <t xml:space="preserve"> 3.1.2</t>
  </si>
  <si>
    <t xml:space="preserve"> 3.1.3</t>
  </si>
  <si>
    <t xml:space="preserve"> 3.2.2</t>
  </si>
  <si>
    <t xml:space="preserve"> 3.2.3</t>
  </si>
  <si>
    <t>CONCRETAGEM DE VIGAS E LAJES, FCK=25 MPA, PARA QUALQUER TIPO DE LAJE COM BALDES EM EDIFICAÇÃO TÉRREA - LANÇAMENTO, ADENSAMENTO E ACABAMENTO. AF_02/2022</t>
  </si>
  <si>
    <t xml:space="preserve"> 4.1.1</t>
  </si>
  <si>
    <t xml:space="preserve"> 4.1.2</t>
  </si>
  <si>
    <t xml:space="preserve"> 4.1.3</t>
  </si>
  <si>
    <t xml:space="preserve"> 4.1.4</t>
  </si>
  <si>
    <t xml:space="preserve"> 4.1.5</t>
  </si>
  <si>
    <t xml:space="preserve"> 4.1.6</t>
  </si>
  <si>
    <t xml:space="preserve"> 4.1.7</t>
  </si>
  <si>
    <t xml:space="preserve"> 6.1 </t>
  </si>
  <si>
    <t xml:space="preserve"> 6.1.1</t>
  </si>
  <si>
    <t xml:space="preserve"> 6.2 </t>
  </si>
  <si>
    <t xml:space="preserve"> 6.2.1</t>
  </si>
  <si>
    <t xml:space="preserve"> 6.2.1.1</t>
  </si>
  <si>
    <t>REVESTIMENTOS</t>
  </si>
  <si>
    <t>REVESTIMENTO ARGAMASSADO DE PISO INTERNO</t>
  </si>
  <si>
    <t>7.2</t>
  </si>
  <si>
    <t>7.2.1</t>
  </si>
  <si>
    <t>7.3</t>
  </si>
  <si>
    <t>7.3.1</t>
  </si>
  <si>
    <t>REVESTIMENTO DE PAREDE INTERNA</t>
  </si>
  <si>
    <t xml:space="preserve">REVESTIMENTO DE TETO ARGAMASSADO </t>
  </si>
  <si>
    <t>7.4</t>
  </si>
  <si>
    <t>7.4.1</t>
  </si>
  <si>
    <t>7.4.2</t>
  </si>
  <si>
    <t xml:space="preserve">8.1.1 </t>
  </si>
  <si>
    <t>8.1.2</t>
  </si>
  <si>
    <t>8.1.3</t>
  </si>
  <si>
    <t>PINTURA DO TETO</t>
  </si>
  <si>
    <t>PINTURA DAS PAREDES</t>
  </si>
  <si>
    <t>8.2</t>
  </si>
  <si>
    <t>8.2.1</t>
  </si>
  <si>
    <t xml:space="preserve">9.1 </t>
  </si>
  <si>
    <t xml:space="preserve">9.1.1 </t>
  </si>
  <si>
    <t xml:space="preserve">9.2 </t>
  </si>
  <si>
    <t>VASO SANITARIO SIFONADO CONVENCIONAL COM LOUÇA BRANCA, INCLUSO CONJUNTO DE LIGAÇÃO PARA BACIA SANITÁRIA AJUSTÁVEL - FORNECIMENTO E INSTALAÇÃO. AF_01/2020</t>
  </si>
  <si>
    <t>TORNEIRA CROMADA DE MESA PARA LAVATORIO, TIPO MONOCOMANDO. AF_01/2020</t>
  </si>
  <si>
    <t xml:space="preserve">9.2.1 </t>
  </si>
  <si>
    <t>9.2.2</t>
  </si>
  <si>
    <t>9.3.1</t>
  </si>
  <si>
    <t xml:space="preserve">10.1 </t>
  </si>
  <si>
    <t xml:space="preserve">10.1.1 </t>
  </si>
  <si>
    <t>10.1.2</t>
  </si>
  <si>
    <t>10.1.3</t>
  </si>
  <si>
    <t>10.1.4</t>
  </si>
  <si>
    <t>10.1.5</t>
  </si>
  <si>
    <t>10.1.6</t>
  </si>
  <si>
    <t>ILUMINAÇÃO BANHEIROS E VESTIÁRIOS</t>
  </si>
  <si>
    <t>ILUMINACÃO CAMPO</t>
  </si>
  <si>
    <t>ELETRODUTO PVC RIGIDO 3""</t>
  </si>
  <si>
    <t>QUADRO DE DISTRIBUICAO PARA 8 DISJUNTORES NEMA</t>
  </si>
  <si>
    <t>CABO DE COBRE NU MEIO DURO 7 FIOS 16mm2</t>
  </si>
  <si>
    <t xml:space="preserve">CAIXA DE PASSAGEM PVC 4x4"" </t>
  </si>
  <si>
    <t>um</t>
  </si>
  <si>
    <t xml:space="preserve">ALAMBRADO   </t>
  </si>
  <si>
    <t>10.2</t>
  </si>
  <si>
    <t>10.2.1</t>
  </si>
  <si>
    <t>10.2.2</t>
  </si>
  <si>
    <t>10.2.3</t>
  </si>
  <si>
    <t>10.2.4</t>
  </si>
  <si>
    <t>10.2.5</t>
  </si>
  <si>
    <t>10.2.6</t>
  </si>
  <si>
    <t>12.1</t>
  </si>
  <si>
    <t>11.1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</si>
  <si>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</si>
  <si>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</si>
  <si>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</si>
  <si>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</si>
  <si>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</si>
  <si>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</si>
  <si>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</si>
  <si>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</si>
  <si>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</si>
  <si>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</si>
  <si>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</si>
  <si>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12.1.1</t>
  </si>
  <si>
    <t>12.2</t>
  </si>
  <si>
    <t>12.2.1</t>
  </si>
  <si>
    <t>12.2.2</t>
  </si>
  <si>
    <t>12.2.3</t>
  </si>
  <si>
    <t>12.2.4</t>
  </si>
  <si>
    <t>13.2</t>
  </si>
  <si>
    <t>13.2.1</t>
  </si>
  <si>
    <t>Kg</t>
  </si>
  <si>
    <t>CONSTRUÇÃO DE VESTIÁRIOS, BANHEIROS E REVITALIZAÇÃO DA INFRAESTRUTURA DO CAMPO DO BAIRRO PORTO NOVO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</si>
</sst>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theme="0" tint="-0.14999847407452621"/>
        <bgColor rgb="FFD8ECF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" fontId="1" fillId="2" borderId="1" xfId="0" applyNumberFormat="1" applyFont="1" applyFill="1" applyBorder="1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right" vertical="top" wrapText="1"/>
    </xf>
    <xf numFmtId="4" fontId="3" fillId="4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right" vertical="top" wrapText="1"/>
    </xf>
    <xf numFmtId="4" fontId="4" fillId="3" borderId="1" xfId="0" applyNumberFormat="1" applyFont="1" applyFill="1" applyBorder="1" applyAlignment="1">
      <alignment horizontal="righ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0" fontId="0" fillId="0" borderId="1" xfId="0" applyBorder="1"/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top" wrapText="1"/>
    </xf>
    <xf numFmtId="0" fontId="0" fillId="0" borderId="0" xfId="0" applyBorder="1"/>
    <xf numFmtId="0" fontId="3" fillId="4" borderId="6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2" borderId="3" xfId="0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right" vertical="top" wrapText="1"/>
    </xf>
    <xf numFmtId="0" fontId="1" fillId="2" borderId="5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6"/>
  <sheetViews>
    <sheetView tabSelected="1" zoomScale="115" zoomScaleNormal="115" workbookViewId="0">
      <pane ySplit="4" topLeftCell="A32" activePane="bottomLeft" state="frozen"/>
      <selection pane="bottomLeft" activeCell="D33" sqref="D33"/>
    </sheetView>
  </sheetViews>
  <sheetFormatPr defaultRowHeight="15" x14ac:dyDescent="0.25"/>
  <cols>
    <col min="1" max="3" width="9.140625" style="13"/>
    <col min="4" max="4" width="47" style="13" customWidth="1"/>
    <col min="5" max="5" width="9.140625" style="13"/>
    <col min="6" max="6" width="10.5703125" style="13" bestFit="1" customWidth="1"/>
    <col min="7" max="7" width="10.28515625" style="13" customWidth="1"/>
    <col min="8" max="8" width="14.28515625" style="13" bestFit="1" customWidth="1"/>
    <col min="9" max="9" width="11.42578125" style="13" customWidth="1"/>
    <col min="10" max="10" width="14.140625" style="13" bestFit="1" customWidth="1"/>
  </cols>
  <sheetData>
    <row r="1" spans="1:10" x14ac:dyDescent="0.25">
      <c r="A1" s="19" t="s">
        <v>297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15" customHeight="1" x14ac:dyDescent="0.25">
      <c r="A2" s="22" t="s">
        <v>2</v>
      </c>
      <c r="B2" s="23"/>
      <c r="C2" s="23"/>
      <c r="D2" s="23"/>
      <c r="E2" s="23"/>
      <c r="F2" s="23"/>
      <c r="G2" s="23"/>
      <c r="H2" s="23"/>
      <c r="I2" s="24"/>
      <c r="J2" s="1">
        <f>I5+I10+I22+I34+I43+I52+I58+I68+I75+I83+I98+I111+I119</f>
        <v>299999.62783339998</v>
      </c>
    </row>
    <row r="3" spans="1:10" x14ac:dyDescent="0.25">
      <c r="A3" s="22" t="s">
        <v>3</v>
      </c>
      <c r="B3" s="23"/>
      <c r="C3" s="23"/>
      <c r="D3" s="23"/>
      <c r="E3" s="23"/>
      <c r="F3" s="23"/>
      <c r="G3" s="23"/>
      <c r="H3" s="23"/>
      <c r="I3" s="24"/>
      <c r="J3" s="2">
        <v>0.25</v>
      </c>
    </row>
    <row r="4" spans="1:10" ht="30" x14ac:dyDescent="0.25">
      <c r="A4" s="14" t="s">
        <v>4</v>
      </c>
      <c r="B4" s="15" t="s">
        <v>5</v>
      </c>
      <c r="C4" s="14" t="s">
        <v>6</v>
      </c>
      <c r="D4" s="14" t="s">
        <v>7</v>
      </c>
      <c r="E4" s="16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15" t="s">
        <v>13</v>
      </c>
    </row>
    <row r="5" spans="1:10" x14ac:dyDescent="0.25">
      <c r="A5" s="3" t="s">
        <v>14</v>
      </c>
      <c r="B5" s="3" t="s">
        <v>15</v>
      </c>
      <c r="C5" s="3"/>
      <c r="D5" s="3" t="s">
        <v>16</v>
      </c>
      <c r="E5" s="4"/>
      <c r="F5" s="5"/>
      <c r="G5" s="6">
        <f>G6</f>
        <v>1410.8600000000001</v>
      </c>
      <c r="H5" s="6">
        <f>H6</f>
        <v>2204.4500000000003</v>
      </c>
      <c r="I5" s="6">
        <f>SUM(I7:I9)</f>
        <v>9736.8000000000011</v>
      </c>
      <c r="J5" s="7">
        <f>I5 / J2</f>
        <v>3.2456040263513855E-2</v>
      </c>
    </row>
    <row r="6" spans="1:10" x14ac:dyDescent="0.25">
      <c r="A6" s="3" t="s">
        <v>17</v>
      </c>
      <c r="B6" s="3" t="s">
        <v>15</v>
      </c>
      <c r="C6" s="3"/>
      <c r="D6" s="3" t="s">
        <v>18</v>
      </c>
      <c r="E6" s="4"/>
      <c r="F6" s="5"/>
      <c r="G6" s="6">
        <f>SUM(G7:G9)</f>
        <v>1410.8600000000001</v>
      </c>
      <c r="H6" s="6">
        <f>SUM(H7:H9)+SUM(H7:H9)*J3</f>
        <v>2204.4500000000003</v>
      </c>
      <c r="I6" s="6">
        <f>SUM(I7:I9)</f>
        <v>9736.8000000000011</v>
      </c>
      <c r="J6" s="7">
        <f>I6 / $J$2</f>
        <v>3.2456040263513855E-2</v>
      </c>
    </row>
    <row r="7" spans="1:10" ht="51" customHeight="1" x14ac:dyDescent="0.25">
      <c r="A7" s="8" t="s">
        <v>206</v>
      </c>
      <c r="B7" s="8">
        <v>93584</v>
      </c>
      <c r="C7" s="8" t="s">
        <v>22</v>
      </c>
      <c r="D7" s="8" t="s">
        <v>195</v>
      </c>
      <c r="E7" s="9" t="s">
        <v>21</v>
      </c>
      <c r="F7" s="10">
        <v>5</v>
      </c>
      <c r="G7" s="11">
        <v>926.34</v>
      </c>
      <c r="H7" s="11">
        <f>(TRUNC(G7 * J3,2) + G7)</f>
        <v>1157.92</v>
      </c>
      <c r="I7" s="11">
        <f>H7*F7</f>
        <v>5789.6</v>
      </c>
      <c r="J7" s="12">
        <f>I7 / $J$2</f>
        <v>1.9298690607760228E-2</v>
      </c>
    </row>
    <row r="8" spans="1:10" ht="51" customHeight="1" x14ac:dyDescent="0.25">
      <c r="A8" s="8" t="s">
        <v>207</v>
      </c>
      <c r="B8" s="8" t="s">
        <v>24</v>
      </c>
      <c r="C8" s="8" t="s">
        <v>22</v>
      </c>
      <c r="D8" s="8" t="s">
        <v>25</v>
      </c>
      <c r="E8" s="9" t="s">
        <v>21</v>
      </c>
      <c r="F8" s="10">
        <v>5</v>
      </c>
      <c r="G8" s="11">
        <v>469.81</v>
      </c>
      <c r="H8" s="11">
        <f>(TRUNC(G8 * $J3,2) + G8)</f>
        <v>587.26</v>
      </c>
      <c r="I8" s="11">
        <f t="shared" ref="I8:I9" si="0">H8*F8</f>
        <v>2936.3</v>
      </c>
      <c r="J8" s="12">
        <f t="shared" ref="J8:J9" si="1">I8 / $J$2</f>
        <v>9.7876788088238145E-3</v>
      </c>
    </row>
    <row r="9" spans="1:10" ht="51" customHeight="1" x14ac:dyDescent="0.25">
      <c r="A9" s="8" t="s">
        <v>208</v>
      </c>
      <c r="B9" s="8">
        <v>12223</v>
      </c>
      <c r="C9" s="8" t="s">
        <v>22</v>
      </c>
      <c r="D9" s="8" t="s">
        <v>209</v>
      </c>
      <c r="E9" s="9" t="s">
        <v>157</v>
      </c>
      <c r="F9" s="10">
        <v>55</v>
      </c>
      <c r="G9" s="11">
        <v>14.71</v>
      </c>
      <c r="H9" s="11">
        <f>(TRUNC(G9 * $J3,2) + G9)</f>
        <v>18.380000000000003</v>
      </c>
      <c r="I9" s="11">
        <f t="shared" si="0"/>
        <v>1010.9000000000001</v>
      </c>
      <c r="J9" s="12">
        <f t="shared" si="1"/>
        <v>3.3696708469298079E-3</v>
      </c>
    </row>
    <row r="10" spans="1:10" x14ac:dyDescent="0.25">
      <c r="A10" s="3" t="s">
        <v>27</v>
      </c>
      <c r="B10" s="3" t="s">
        <v>15</v>
      </c>
      <c r="C10" s="3"/>
      <c r="D10" s="3" t="s">
        <v>28</v>
      </c>
      <c r="E10" s="4"/>
      <c r="F10" s="5"/>
      <c r="G10" s="6">
        <f>G11+G17</f>
        <v>1949.72</v>
      </c>
      <c r="H10" s="6">
        <f>H11+H17</f>
        <v>3046.3999999999996</v>
      </c>
      <c r="I10" s="6">
        <f>I11+I17</f>
        <v>32239.624520000001</v>
      </c>
      <c r="J10" s="7">
        <f>I10 / J2</f>
        <v>0.10746554838362588</v>
      </c>
    </row>
    <row r="11" spans="1:10" x14ac:dyDescent="0.25">
      <c r="A11" s="3" t="s">
        <v>188</v>
      </c>
      <c r="B11" s="3"/>
      <c r="C11" s="3"/>
      <c r="D11" s="3" t="s">
        <v>190</v>
      </c>
      <c r="E11" s="4"/>
      <c r="F11" s="5"/>
      <c r="G11" s="6">
        <f>SUM(G12:G16)</f>
        <v>1030.26</v>
      </c>
      <c r="H11" s="6">
        <f>SUM(H12:H16)+SUM(H12:H16)*$J3</f>
        <v>1609.7624999999998</v>
      </c>
      <c r="I11" s="6">
        <f>SUM(I12:I16)</f>
        <v>16690.56452</v>
      </c>
      <c r="J11" s="7">
        <f>I11 / $J$2</f>
        <v>5.5635284085315061E-2</v>
      </c>
    </row>
    <row r="12" spans="1:10" x14ac:dyDescent="0.25">
      <c r="A12" s="8" t="s">
        <v>197</v>
      </c>
      <c r="B12" s="8" t="s">
        <v>29</v>
      </c>
      <c r="C12" s="8" t="s">
        <v>22</v>
      </c>
      <c r="D12" s="8" t="s">
        <v>30</v>
      </c>
      <c r="E12" s="9" t="s">
        <v>26</v>
      </c>
      <c r="F12" s="10">
        <v>9</v>
      </c>
      <c r="G12" s="11">
        <v>110.8</v>
      </c>
      <c r="H12" s="11">
        <f>(TRUNC(G12 * J3,2) + G12)</f>
        <v>138.5</v>
      </c>
      <c r="I12" s="11">
        <f>H12*F12</f>
        <v>1246.5</v>
      </c>
      <c r="J12" s="12">
        <f t="shared" ref="J12:J21" si="2">I12 / $J$2</f>
        <v>4.1550051545138043E-3</v>
      </c>
    </row>
    <row r="13" spans="1:10" ht="51" x14ac:dyDescent="0.25">
      <c r="A13" s="8" t="s">
        <v>198</v>
      </c>
      <c r="B13" s="8" t="s">
        <v>31</v>
      </c>
      <c r="C13" s="8" t="s">
        <v>22</v>
      </c>
      <c r="D13" s="8" t="s">
        <v>32</v>
      </c>
      <c r="E13" s="9" t="s">
        <v>26</v>
      </c>
      <c r="F13" s="10">
        <f>0.6*0.6*1*27*0.1</f>
        <v>0.97199999999999998</v>
      </c>
      <c r="G13" s="11">
        <v>151.43</v>
      </c>
      <c r="H13" s="11">
        <f>(TRUNC(G13 * J3,2) + G13)</f>
        <v>189.28</v>
      </c>
      <c r="I13" s="11">
        <f t="shared" ref="I13:I16" si="3">H13*F13</f>
        <v>183.98015999999998</v>
      </c>
      <c r="J13" s="12">
        <f t="shared" si="2"/>
        <v>6.1326796079283952E-4</v>
      </c>
    </row>
    <row r="14" spans="1:10" ht="51" x14ac:dyDescent="0.25">
      <c r="A14" s="8" t="s">
        <v>199</v>
      </c>
      <c r="B14" s="8" t="s">
        <v>33</v>
      </c>
      <c r="C14" s="8" t="s">
        <v>22</v>
      </c>
      <c r="D14" s="8" t="s">
        <v>34</v>
      </c>
      <c r="E14" s="9" t="s">
        <v>21</v>
      </c>
      <c r="F14" s="10">
        <v>79.393000000000001</v>
      </c>
      <c r="G14" s="11">
        <v>88.42</v>
      </c>
      <c r="H14" s="11">
        <f>(TRUNC(G14 * J3,2) + G14)</f>
        <v>110.52000000000001</v>
      </c>
      <c r="I14" s="11">
        <f t="shared" si="3"/>
        <v>8774.514360000001</v>
      </c>
      <c r="J14" s="12">
        <f t="shared" si="2"/>
        <v>2.9248417484280306E-2</v>
      </c>
    </row>
    <row r="15" spans="1:10" ht="25.5" x14ac:dyDescent="0.25">
      <c r="A15" s="8" t="s">
        <v>200</v>
      </c>
      <c r="B15" s="8" t="s">
        <v>36</v>
      </c>
      <c r="C15" s="8" t="s">
        <v>22</v>
      </c>
      <c r="D15" s="8" t="s">
        <v>37</v>
      </c>
      <c r="E15" s="9" t="s">
        <v>35</v>
      </c>
      <c r="F15" s="10">
        <f>F16*5</f>
        <v>35</v>
      </c>
      <c r="G15" s="11">
        <v>15.4</v>
      </c>
      <c r="H15" s="11">
        <f>(TRUNC(G15 * J3,2) + G15)</f>
        <v>19.25</v>
      </c>
      <c r="I15" s="11">
        <f t="shared" si="3"/>
        <v>673.75</v>
      </c>
      <c r="J15" s="12">
        <f t="shared" si="2"/>
        <v>2.2458361194173091E-3</v>
      </c>
    </row>
    <row r="16" spans="1:10" ht="51" x14ac:dyDescent="0.25">
      <c r="A16" s="8" t="s">
        <v>201</v>
      </c>
      <c r="B16" s="8">
        <v>96557</v>
      </c>
      <c r="C16" s="8" t="s">
        <v>22</v>
      </c>
      <c r="D16" s="8" t="s">
        <v>191</v>
      </c>
      <c r="E16" s="9" t="s">
        <v>26</v>
      </c>
      <c r="F16" s="10">
        <v>7</v>
      </c>
      <c r="G16" s="11">
        <v>664.21</v>
      </c>
      <c r="H16" s="11">
        <f>(TRUNC(G16 * J3,2) + G16)</f>
        <v>830.26</v>
      </c>
      <c r="I16" s="11">
        <f t="shared" si="3"/>
        <v>5811.82</v>
      </c>
      <c r="J16" s="12">
        <f t="shared" si="2"/>
        <v>1.9372757366310805E-2</v>
      </c>
    </row>
    <row r="17" spans="1:10" x14ac:dyDescent="0.25">
      <c r="A17" s="3" t="s">
        <v>196</v>
      </c>
      <c r="B17" s="3"/>
      <c r="C17" s="3"/>
      <c r="D17" s="3" t="s">
        <v>189</v>
      </c>
      <c r="E17" s="4"/>
      <c r="F17" s="5"/>
      <c r="G17" s="6">
        <f>SUM(G18:G21)</f>
        <v>919.46</v>
      </c>
      <c r="H17" s="6">
        <f>SUM(H18:H21)+SUM(H18:H21)*$J3</f>
        <v>1436.6374999999998</v>
      </c>
      <c r="I17" s="6">
        <f>SUM(I18:I21)</f>
        <v>15549.060000000001</v>
      </c>
      <c r="J17" s="7">
        <f>I17 / $J$2</f>
        <v>5.1830264298310814E-2</v>
      </c>
    </row>
    <row r="18" spans="1:10" ht="51" x14ac:dyDescent="0.25">
      <c r="A18" s="8" t="s">
        <v>202</v>
      </c>
      <c r="B18" s="8" t="s">
        <v>31</v>
      </c>
      <c r="C18" s="8" t="s">
        <v>22</v>
      </c>
      <c r="D18" s="8" t="s">
        <v>32</v>
      </c>
      <c r="E18" s="9" t="s">
        <v>26</v>
      </c>
      <c r="F18" s="10">
        <f>F21*0.1</f>
        <v>0.75</v>
      </c>
      <c r="G18" s="11">
        <v>151.43</v>
      </c>
      <c r="H18" s="11">
        <f>(TRUNC(G18 * J3,2) + G18)</f>
        <v>189.28</v>
      </c>
      <c r="I18" s="11">
        <f>TRUNC(F18 * H18,2)</f>
        <v>141.96</v>
      </c>
      <c r="J18" s="12">
        <f t="shared" si="2"/>
        <v>4.7320058703151206E-4</v>
      </c>
    </row>
    <row r="19" spans="1:10" ht="51" x14ac:dyDescent="0.25">
      <c r="A19" s="8" t="s">
        <v>203</v>
      </c>
      <c r="B19" s="8" t="s">
        <v>33</v>
      </c>
      <c r="C19" s="8" t="s">
        <v>22</v>
      </c>
      <c r="D19" s="8" t="s">
        <v>34</v>
      </c>
      <c r="E19" s="9" t="s">
        <v>21</v>
      </c>
      <c r="F19" s="10">
        <v>70</v>
      </c>
      <c r="G19" s="11">
        <v>88.42</v>
      </c>
      <c r="H19" s="11">
        <f>(TRUNC(G19 * J3,2) + G19)</f>
        <v>110.52000000000001</v>
      </c>
      <c r="I19" s="11">
        <f t="shared" ref="I19:I20" si="4">TRUNC(F19 * H19,2)</f>
        <v>7736.4</v>
      </c>
      <c r="J19" s="12">
        <f t="shared" si="2"/>
        <v>2.5788031991480623E-2</v>
      </c>
    </row>
    <row r="20" spans="1:10" ht="25.5" x14ac:dyDescent="0.25">
      <c r="A20" s="8" t="s">
        <v>204</v>
      </c>
      <c r="B20" s="8" t="s">
        <v>36</v>
      </c>
      <c r="C20" s="8" t="s">
        <v>22</v>
      </c>
      <c r="D20" s="8" t="s">
        <v>37</v>
      </c>
      <c r="E20" s="9" t="s">
        <v>35</v>
      </c>
      <c r="F20" s="10">
        <f>0.5*150*0.2*5</f>
        <v>75</v>
      </c>
      <c r="G20" s="11">
        <v>15.4</v>
      </c>
      <c r="H20" s="11">
        <f>(TRUNC(G20 * J3,2) + G20)</f>
        <v>19.25</v>
      </c>
      <c r="I20" s="11">
        <f t="shared" si="4"/>
        <v>1443.75</v>
      </c>
      <c r="J20" s="12">
        <f t="shared" si="2"/>
        <v>4.8125059701799484E-3</v>
      </c>
    </row>
    <row r="21" spans="1:10" ht="51" x14ac:dyDescent="0.25">
      <c r="A21" s="8" t="s">
        <v>205</v>
      </c>
      <c r="B21" s="8">
        <v>96557</v>
      </c>
      <c r="C21" s="8" t="s">
        <v>22</v>
      </c>
      <c r="D21" s="8" t="s">
        <v>191</v>
      </c>
      <c r="E21" s="9" t="s">
        <v>0</v>
      </c>
      <c r="F21" s="10">
        <f>0.5*150*0.1</f>
        <v>7.5</v>
      </c>
      <c r="G21" s="11">
        <v>664.21</v>
      </c>
      <c r="H21" s="11">
        <f>(TRUNC(G21 * J3,2) + G21)</f>
        <v>830.26</v>
      </c>
      <c r="I21" s="11">
        <f>TRUNC(F21 * H21,2)</f>
        <v>6226.95</v>
      </c>
      <c r="J21" s="12">
        <f t="shared" si="2"/>
        <v>2.0756525749618723E-2</v>
      </c>
    </row>
    <row r="22" spans="1:10" x14ac:dyDescent="0.25">
      <c r="A22" s="3" t="s">
        <v>38</v>
      </c>
      <c r="B22" s="3"/>
      <c r="C22" s="3"/>
      <c r="D22" s="3" t="s">
        <v>39</v>
      </c>
      <c r="E22" s="4"/>
      <c r="F22" s="5"/>
      <c r="G22" s="6">
        <f>G23+G27+G31</f>
        <v>2790.71</v>
      </c>
      <c r="H22" s="6">
        <f>H23 + H27 + H31</f>
        <v>4360.45</v>
      </c>
      <c r="I22" s="6">
        <f>I23+I27+I31</f>
        <v>38927.684913399993</v>
      </c>
      <c r="J22" s="7">
        <f>I22 / $J$2</f>
        <v>0.12975911068469012</v>
      </c>
    </row>
    <row r="23" spans="1:10" x14ac:dyDescent="0.25">
      <c r="A23" s="3" t="s">
        <v>40</v>
      </c>
      <c r="B23" s="3" t="s">
        <v>15</v>
      </c>
      <c r="C23" s="3"/>
      <c r="D23" s="3" t="s">
        <v>41</v>
      </c>
      <c r="E23" s="4"/>
      <c r="F23" s="5"/>
      <c r="G23" s="6">
        <f>SUM(G24:G26)</f>
        <v>701.35</v>
      </c>
      <c r="H23" s="6">
        <f>SUM(H24:H26)+SUM(H24:H26)*$J3</f>
        <v>1095.8500000000001</v>
      </c>
      <c r="I23" s="6">
        <f>SUM(I24:I26)</f>
        <v>3162.9609000000005</v>
      </c>
      <c r="J23" s="7">
        <f>I23 / $J$2</f>
        <v>1.0543216079442939E-2</v>
      </c>
    </row>
    <row r="24" spans="1:10" ht="63.75" x14ac:dyDescent="0.25">
      <c r="A24" s="8" t="s">
        <v>42</v>
      </c>
      <c r="B24" s="8" t="s">
        <v>43</v>
      </c>
      <c r="C24" s="8" t="s">
        <v>22</v>
      </c>
      <c r="D24" s="8" t="s">
        <v>44</v>
      </c>
      <c r="E24" s="9" t="s">
        <v>21</v>
      </c>
      <c r="F24" s="10">
        <f>0.15*0.3*27</f>
        <v>1.2149999999999999</v>
      </c>
      <c r="G24" s="11">
        <v>79.88</v>
      </c>
      <c r="H24" s="11">
        <f>(TRUNC(G24 * J3,2) + G24)</f>
        <v>99.85</v>
      </c>
      <c r="I24" s="11">
        <f>H24*F24</f>
        <v>121.31774999999998</v>
      </c>
      <c r="J24" s="12">
        <f t="shared" ref="J24:J33" si="5">I24 / $J$2</f>
        <v>4.0439300167189495E-4</v>
      </c>
    </row>
    <row r="25" spans="1:10" ht="51" x14ac:dyDescent="0.25">
      <c r="A25" s="8" t="s">
        <v>210</v>
      </c>
      <c r="B25" s="8" t="s">
        <v>45</v>
      </c>
      <c r="C25" s="8" t="s">
        <v>22</v>
      </c>
      <c r="D25" s="8" t="s">
        <v>46</v>
      </c>
      <c r="E25" s="9" t="s">
        <v>35</v>
      </c>
      <c r="F25" s="10">
        <f>0.15*0.3*3*27*5</f>
        <v>18.225000000000001</v>
      </c>
      <c r="G25" s="11">
        <v>11.53</v>
      </c>
      <c r="H25" s="11">
        <f>(TRUNC(G25 * J3,2) + G25)</f>
        <v>14.41</v>
      </c>
      <c r="I25" s="11">
        <f t="shared" ref="I25:I26" si="6">H25*F25</f>
        <v>262.62225000000001</v>
      </c>
      <c r="J25" s="12">
        <f t="shared" si="5"/>
        <v>8.7540858599279025E-4</v>
      </c>
    </row>
    <row r="26" spans="1:10" ht="38.25" x14ac:dyDescent="0.25">
      <c r="A26" s="8" t="s">
        <v>211</v>
      </c>
      <c r="B26" s="8">
        <v>103672</v>
      </c>
      <c r="C26" s="8" t="s">
        <v>22</v>
      </c>
      <c r="D26" s="8" t="s">
        <v>194</v>
      </c>
      <c r="E26" s="9" t="s">
        <v>26</v>
      </c>
      <c r="F26" s="10">
        <f>0.15*0.3*3*27</f>
        <v>3.6450000000000005</v>
      </c>
      <c r="G26" s="11">
        <v>609.94000000000005</v>
      </c>
      <c r="H26" s="11">
        <f>(TRUNC(G26 * J3,2) + G26)</f>
        <v>762.42000000000007</v>
      </c>
      <c r="I26" s="11">
        <f t="shared" si="6"/>
        <v>2779.0209000000004</v>
      </c>
      <c r="J26" s="12">
        <f t="shared" si="5"/>
        <v>9.2634144917782546E-3</v>
      </c>
    </row>
    <row r="27" spans="1:10" x14ac:dyDescent="0.25">
      <c r="A27" s="3" t="s">
        <v>47</v>
      </c>
      <c r="B27" s="3" t="s">
        <v>15</v>
      </c>
      <c r="C27" s="3"/>
      <c r="D27" s="3" t="s">
        <v>48</v>
      </c>
      <c r="E27" s="4"/>
      <c r="F27" s="5"/>
      <c r="G27" s="6">
        <f>SUM(G28:G30)</f>
        <v>1084.9100000000001</v>
      </c>
      <c r="H27" s="6">
        <f>SUM(H28:H30)+SUM(H28:H30)*$J$3</f>
        <v>1695.1624999999999</v>
      </c>
      <c r="I27" s="6">
        <f>SUM(I28:I30)</f>
        <v>13083.4</v>
      </c>
      <c r="J27" s="7">
        <f>I27 / $J$2</f>
        <v>4.3611387435672611E-2</v>
      </c>
    </row>
    <row r="28" spans="1:10" ht="63.75" x14ac:dyDescent="0.25">
      <c r="A28" s="8" t="s">
        <v>49</v>
      </c>
      <c r="B28" s="8" t="s">
        <v>43</v>
      </c>
      <c r="C28" s="8" t="s">
        <v>22</v>
      </c>
      <c r="D28" s="8" t="s">
        <v>44</v>
      </c>
      <c r="E28" s="9" t="s">
        <v>21</v>
      </c>
      <c r="F28" s="10">
        <f>(1.97+7.15+3.15+7.15+1.97+4.3+3.15+8.97+4.3+8.97)*0.5</f>
        <v>25.54</v>
      </c>
      <c r="G28" s="11">
        <v>79.88</v>
      </c>
      <c r="H28" s="11">
        <f>(TRUNC(G28 * $J$3,2) + G28)</f>
        <v>99.85</v>
      </c>
      <c r="I28" s="11">
        <f t="shared" ref="I28:I29" si="7">TRUNC(F28 * H28,2)</f>
        <v>2550.16</v>
      </c>
      <c r="J28" s="12">
        <f t="shared" si="5"/>
        <v>8.5005438787283776E-3</v>
      </c>
    </row>
    <row r="29" spans="1:10" ht="51" x14ac:dyDescent="0.25">
      <c r="A29" s="8" t="s">
        <v>212</v>
      </c>
      <c r="B29" s="8" t="s">
        <v>45</v>
      </c>
      <c r="C29" s="8" t="s">
        <v>22</v>
      </c>
      <c r="D29" s="8" t="s">
        <v>46</v>
      </c>
      <c r="E29" s="9" t="s">
        <v>296</v>
      </c>
      <c r="F29" s="10">
        <f>F28*5</f>
        <v>127.69999999999999</v>
      </c>
      <c r="G29" s="11">
        <v>11.53</v>
      </c>
      <c r="H29" s="11">
        <f t="shared" ref="H29:H30" si="8">(TRUNC(G29 * $J$3,2) + G29)</f>
        <v>14.41</v>
      </c>
      <c r="I29" s="11">
        <f t="shared" si="7"/>
        <v>1840.15</v>
      </c>
      <c r="J29" s="12">
        <f t="shared" si="5"/>
        <v>6.1338409427024289E-3</v>
      </c>
    </row>
    <row r="30" spans="1:10" ht="57.75" customHeight="1" x14ac:dyDescent="0.25">
      <c r="A30" s="8" t="s">
        <v>213</v>
      </c>
      <c r="B30" s="8">
        <v>103682</v>
      </c>
      <c r="C30" s="8" t="s">
        <v>22</v>
      </c>
      <c r="D30" s="8" t="s">
        <v>214</v>
      </c>
      <c r="E30" s="9" t="s">
        <v>26</v>
      </c>
      <c r="F30" s="10">
        <v>7</v>
      </c>
      <c r="G30" s="11">
        <v>993.5</v>
      </c>
      <c r="H30" s="11">
        <f t="shared" si="8"/>
        <v>1241.8699999999999</v>
      </c>
      <c r="I30" s="11">
        <f t="shared" ref="I30:I54" si="9">TRUNC(F30 * H30,2)</f>
        <v>8693.09</v>
      </c>
      <c r="J30" s="12">
        <f t="shared" si="5"/>
        <v>2.8977002614241805E-2</v>
      </c>
    </row>
    <row r="31" spans="1:10" x14ac:dyDescent="0.25">
      <c r="A31" s="3" t="s">
        <v>50</v>
      </c>
      <c r="B31" s="3" t="s">
        <v>15</v>
      </c>
      <c r="C31" s="3"/>
      <c r="D31" s="3" t="s">
        <v>51</v>
      </c>
      <c r="E31" s="4"/>
      <c r="F31" s="5"/>
      <c r="G31" s="6">
        <f>SUM(G32:G33)</f>
        <v>1004.45</v>
      </c>
      <c r="H31" s="6">
        <f>SUM(H32:H33)+SUM(H32:H33)*$J$3</f>
        <v>1569.4375</v>
      </c>
      <c r="I31" s="6">
        <f>SUM(I32:I33)</f>
        <v>22681.324013399997</v>
      </c>
      <c r="J31" s="7">
        <f>I31 / $J$2</f>
        <v>7.5604507169574592E-2</v>
      </c>
    </row>
    <row r="32" spans="1:10" ht="51" x14ac:dyDescent="0.25">
      <c r="A32" s="8" t="s">
        <v>52</v>
      </c>
      <c r="B32" s="8" t="s">
        <v>53</v>
      </c>
      <c r="C32" s="8" t="s">
        <v>22</v>
      </c>
      <c r="D32" s="8" t="s">
        <v>54</v>
      </c>
      <c r="E32" s="9" t="s">
        <v>35</v>
      </c>
      <c r="F32" s="10">
        <f>F33*5</f>
        <v>86.552099999999996</v>
      </c>
      <c r="G32" s="11">
        <v>10.95</v>
      </c>
      <c r="H32" s="11">
        <f>(TRUNC(G32 * J3,2) + G32)</f>
        <v>13.68</v>
      </c>
      <c r="I32" s="11">
        <f>H32*F32</f>
        <v>1184.0327279999999</v>
      </c>
      <c r="J32" s="12">
        <f t="shared" si="5"/>
        <v>3.9467806561997928E-3</v>
      </c>
    </row>
    <row r="33" spans="1:10" ht="63.75" x14ac:dyDescent="0.25">
      <c r="A33" s="8" t="s">
        <v>55</v>
      </c>
      <c r="B33" s="8">
        <v>103682</v>
      </c>
      <c r="C33" s="8" t="s">
        <v>22</v>
      </c>
      <c r="D33" s="8" t="s">
        <v>214</v>
      </c>
      <c r="E33" s="9" t="s">
        <v>26</v>
      </c>
      <c r="F33" s="10">
        <f>(7.15+1.97+4.3)*3.15*0.3+4.3*8.97*0.12</f>
        <v>17.310420000000001</v>
      </c>
      <c r="G33" s="11">
        <v>993.5</v>
      </c>
      <c r="H33" s="11">
        <f>(TRUNC(G33 * J3,2) + G33)</f>
        <v>1241.8699999999999</v>
      </c>
      <c r="I33" s="11">
        <f>H33*F33</f>
        <v>21497.291285399999</v>
      </c>
      <c r="J33" s="12">
        <f t="shared" si="5"/>
        <v>7.1657726513374806E-2</v>
      </c>
    </row>
    <row r="34" spans="1:10" x14ac:dyDescent="0.25">
      <c r="A34" s="3" t="s">
        <v>56</v>
      </c>
      <c r="B34" s="3" t="s">
        <v>15</v>
      </c>
      <c r="C34" s="3"/>
      <c r="D34" s="3" t="s">
        <v>57</v>
      </c>
      <c r="E34" s="4"/>
      <c r="F34" s="5"/>
      <c r="G34" s="6">
        <f>G35</f>
        <v>274.82</v>
      </c>
      <c r="H34" s="6">
        <f>H35</f>
        <v>429.38750000000005</v>
      </c>
      <c r="I34" s="6">
        <f>I35</f>
        <v>25428.172200000001</v>
      </c>
      <c r="J34" s="7">
        <f>I34 / $J$2</f>
        <v>8.4760679150312587E-2</v>
      </c>
    </row>
    <row r="35" spans="1:10" x14ac:dyDescent="0.25">
      <c r="A35" s="3" t="s">
        <v>58</v>
      </c>
      <c r="B35" s="3" t="s">
        <v>15</v>
      </c>
      <c r="C35" s="3"/>
      <c r="D35" s="3" t="s">
        <v>59</v>
      </c>
      <c r="E35" s="4"/>
      <c r="F35" s="5"/>
      <c r="G35" s="6">
        <f>SUM(G36:G42)</f>
        <v>274.82</v>
      </c>
      <c r="H35" s="6">
        <f>SUM(H36:H42)+SUM(H36:H42)*$J$3</f>
        <v>429.38750000000005</v>
      </c>
      <c r="I35" s="6">
        <f>SUM(I36:I42)</f>
        <v>25428.172200000001</v>
      </c>
      <c r="J35" s="7">
        <f>I35 / $J$2</f>
        <v>8.4760679150312587E-2</v>
      </c>
    </row>
    <row r="36" spans="1:10" ht="63.75" x14ac:dyDescent="0.25">
      <c r="A36" s="8" t="s">
        <v>215</v>
      </c>
      <c r="B36" s="8" t="s">
        <v>60</v>
      </c>
      <c r="C36" s="8" t="s">
        <v>22</v>
      </c>
      <c r="D36" s="8" t="s">
        <v>61</v>
      </c>
      <c r="E36" s="9" t="s">
        <v>21</v>
      </c>
      <c r="F36" s="10">
        <v>130</v>
      </c>
      <c r="G36" s="11">
        <v>85.92</v>
      </c>
      <c r="H36" s="11">
        <f>(TRUNC(G36 *$J$3,2) + G36)</f>
        <v>107.4</v>
      </c>
      <c r="I36" s="11">
        <f>H36*F36</f>
        <v>13962</v>
      </c>
      <c r="J36" s="12">
        <f t="shared" ref="J36:J42" si="10">I36 / $J$2</f>
        <v>4.6540057735516838E-2</v>
      </c>
    </row>
    <row r="37" spans="1:10" ht="38.25" x14ac:dyDescent="0.25">
      <c r="A37" s="8" t="s">
        <v>216</v>
      </c>
      <c r="B37" s="8" t="s">
        <v>62</v>
      </c>
      <c r="C37" s="8" t="s">
        <v>22</v>
      </c>
      <c r="D37" s="8" t="s">
        <v>63</v>
      </c>
      <c r="E37" s="9" t="s">
        <v>1</v>
      </c>
      <c r="F37" s="10">
        <f>2.1+0.5+0.5+0.5+0.5+0.5+0.5</f>
        <v>5.0999999999999996</v>
      </c>
      <c r="G37" s="11">
        <v>70.510000000000005</v>
      </c>
      <c r="H37" s="11">
        <f t="shared" ref="H37:H42" si="11">(TRUNC(G37 *$J$3,2) + G37)</f>
        <v>88.13000000000001</v>
      </c>
      <c r="I37" s="11">
        <f t="shared" ref="I37:I42" si="12">H37*F37</f>
        <v>449.46300000000002</v>
      </c>
      <c r="J37" s="12">
        <f t="shared" si="10"/>
        <v>1.4982118586147118E-3</v>
      </c>
    </row>
    <row r="38" spans="1:10" ht="38.25" x14ac:dyDescent="0.25">
      <c r="A38" s="8" t="s">
        <v>217</v>
      </c>
      <c r="B38" s="8" t="s">
        <v>64</v>
      </c>
      <c r="C38" s="8" t="s">
        <v>22</v>
      </c>
      <c r="D38" s="8" t="s">
        <v>65</v>
      </c>
      <c r="E38" s="9" t="s">
        <v>1</v>
      </c>
      <c r="F38" s="10">
        <f>2.1+0.5+0.5+0.5+0.5+0.5+0.5</f>
        <v>5.0999999999999996</v>
      </c>
      <c r="G38" s="11">
        <v>49.52</v>
      </c>
      <c r="H38" s="11">
        <f t="shared" si="11"/>
        <v>61.900000000000006</v>
      </c>
      <c r="I38" s="11">
        <f t="shared" si="12"/>
        <v>315.69</v>
      </c>
      <c r="J38" s="12">
        <f t="shared" si="10"/>
        <v>1.0523013054379968E-3</v>
      </c>
    </row>
    <row r="39" spans="1:10" ht="38.25" x14ac:dyDescent="0.25">
      <c r="A39" s="8" t="s">
        <v>218</v>
      </c>
      <c r="B39" s="8" t="s">
        <v>66</v>
      </c>
      <c r="C39" s="8" t="s">
        <v>22</v>
      </c>
      <c r="D39" s="8" t="s">
        <v>67</v>
      </c>
      <c r="E39" s="9" t="s">
        <v>1</v>
      </c>
      <c r="F39" s="10">
        <f>2.1+0.5+0.5+0.5+0.5+0.5+0.5</f>
        <v>5.0999999999999996</v>
      </c>
      <c r="G39" s="11">
        <v>8.16</v>
      </c>
      <c r="H39" s="11">
        <f t="shared" si="11"/>
        <v>10.199999999999999</v>
      </c>
      <c r="I39" s="11">
        <f t="shared" si="12"/>
        <v>52.019999999999996</v>
      </c>
      <c r="J39" s="12">
        <f t="shared" si="10"/>
        <v>1.7340021511256165E-4</v>
      </c>
    </row>
    <row r="40" spans="1:10" ht="63.75" x14ac:dyDescent="0.25">
      <c r="A40" s="8" t="s">
        <v>219</v>
      </c>
      <c r="B40" s="8" t="s">
        <v>99</v>
      </c>
      <c r="C40" s="8" t="s">
        <v>22</v>
      </c>
      <c r="D40" s="8" t="s">
        <v>100</v>
      </c>
      <c r="E40" s="9" t="s">
        <v>21</v>
      </c>
      <c r="F40" s="10">
        <f>(8.97+1.97+7.15+3.15+7.15+1.97+4.3+8.97+3.15)*3</f>
        <v>140.33999999999997</v>
      </c>
      <c r="G40" s="11">
        <v>9.86</v>
      </c>
      <c r="H40" s="11">
        <f t="shared" si="11"/>
        <v>12.32</v>
      </c>
      <c r="I40" s="11">
        <f>H40*F40</f>
        <v>1728.9887999999996</v>
      </c>
      <c r="J40" s="12">
        <f t="shared" si="10"/>
        <v>5.7633031496964592E-3</v>
      </c>
    </row>
    <row r="41" spans="1:10" ht="63.75" x14ac:dyDescent="0.25">
      <c r="A41" s="8" t="s">
        <v>220</v>
      </c>
      <c r="B41" s="8" t="s">
        <v>103</v>
      </c>
      <c r="C41" s="8" t="s">
        <v>22</v>
      </c>
      <c r="D41" s="8" t="s">
        <v>104</v>
      </c>
      <c r="E41" s="9" t="s">
        <v>21</v>
      </c>
      <c r="F41" s="10">
        <f>(8.97+1.97+7.15+3.15+7.15+1.97+4.3+8.97+3.15)*3</f>
        <v>140.33999999999997</v>
      </c>
      <c r="G41" s="11">
        <v>25.01</v>
      </c>
      <c r="H41" s="11">
        <f t="shared" si="11"/>
        <v>31.26</v>
      </c>
      <c r="I41" s="11">
        <f t="shared" si="12"/>
        <v>4387.0283999999992</v>
      </c>
      <c r="J41" s="12">
        <f t="shared" si="10"/>
        <v>1.46234461411941E-2</v>
      </c>
    </row>
    <row r="42" spans="1:10" ht="63.75" x14ac:dyDescent="0.25">
      <c r="A42" s="8" t="s">
        <v>221</v>
      </c>
      <c r="B42" s="8" t="s">
        <v>101</v>
      </c>
      <c r="C42" s="8" t="s">
        <v>22</v>
      </c>
      <c r="D42" s="8" t="s">
        <v>102</v>
      </c>
      <c r="E42" s="9" t="s">
        <v>21</v>
      </c>
      <c r="F42" s="10">
        <f>(8.97+1.97+7.15+3.15+7.15+1.97+4.3+8.97+3.15)*3</f>
        <v>140.33999999999997</v>
      </c>
      <c r="G42" s="11">
        <v>25.84</v>
      </c>
      <c r="H42" s="11">
        <f t="shared" si="11"/>
        <v>32.299999999999997</v>
      </c>
      <c r="I42" s="11">
        <f t="shared" si="12"/>
        <v>4532.9819999999991</v>
      </c>
      <c r="J42" s="12">
        <f t="shared" si="10"/>
        <v>1.5109958744739905E-2</v>
      </c>
    </row>
    <row r="43" spans="1:10" x14ac:dyDescent="0.25">
      <c r="A43" s="3" t="s">
        <v>68</v>
      </c>
      <c r="B43" s="3" t="s">
        <v>15</v>
      </c>
      <c r="C43" s="3"/>
      <c r="D43" s="3" t="s">
        <v>69</v>
      </c>
      <c r="E43" s="4"/>
      <c r="F43" s="5">
        <f>F44+F46+F48</f>
        <v>533.00400000000002</v>
      </c>
      <c r="G43" s="6">
        <f>G44+G46+G48</f>
        <v>376.62</v>
      </c>
      <c r="H43" s="6">
        <f>H44</f>
        <v>30.712499999999999</v>
      </c>
      <c r="I43" s="6">
        <f>I44+I46+I48</f>
        <v>28721.056199999999</v>
      </c>
      <c r="J43" s="7">
        <f t="shared" ref="J43:J45" si="13">I43 / $J$2</f>
        <v>9.5736972767012166E-2</v>
      </c>
    </row>
    <row r="44" spans="1:10" x14ac:dyDescent="0.25">
      <c r="A44" s="3" t="s">
        <v>70</v>
      </c>
      <c r="B44" s="3" t="s">
        <v>15</v>
      </c>
      <c r="C44" s="3"/>
      <c r="D44" s="3" t="s">
        <v>39</v>
      </c>
      <c r="E44" s="4"/>
      <c r="F44" s="5">
        <f>F45</f>
        <v>350</v>
      </c>
      <c r="G44" s="6">
        <f>SUM(G45)</f>
        <v>19.66</v>
      </c>
      <c r="H44" s="6">
        <f>SUM(H45)+SUM(H45)*$J$3</f>
        <v>30.712499999999999</v>
      </c>
      <c r="I44" s="6">
        <f>I45</f>
        <v>8599.5</v>
      </c>
      <c r="J44" s="7">
        <f t="shared" si="13"/>
        <v>2.8665035560562747E-2</v>
      </c>
    </row>
    <row r="45" spans="1:10" ht="76.5" x14ac:dyDescent="0.25">
      <c r="A45" s="8" t="s">
        <v>71</v>
      </c>
      <c r="B45" s="8" t="s">
        <v>72</v>
      </c>
      <c r="C45" s="8" t="s">
        <v>22</v>
      </c>
      <c r="D45" s="8" t="s">
        <v>73</v>
      </c>
      <c r="E45" s="9" t="s">
        <v>35</v>
      </c>
      <c r="F45" s="10">
        <v>350</v>
      </c>
      <c r="G45" s="11">
        <v>19.66</v>
      </c>
      <c r="H45" s="11">
        <f>(TRUNC(G45 * J3,2) + G45)</f>
        <v>24.57</v>
      </c>
      <c r="I45" s="11">
        <f>H45*F45</f>
        <v>8599.5</v>
      </c>
      <c r="J45" s="12">
        <f t="shared" si="13"/>
        <v>2.8665035560562747E-2</v>
      </c>
    </row>
    <row r="46" spans="1:10" x14ac:dyDescent="0.25">
      <c r="A46" s="3" t="s">
        <v>74</v>
      </c>
      <c r="B46" s="3" t="s">
        <v>15</v>
      </c>
      <c r="C46" s="3"/>
      <c r="D46" s="3" t="s">
        <v>75</v>
      </c>
      <c r="E46" s="4"/>
      <c r="F46" s="5">
        <f>F47</f>
        <v>80.843999999999994</v>
      </c>
      <c r="G46" s="6">
        <f>G47</f>
        <v>49.12</v>
      </c>
      <c r="H46" s="6">
        <f>SUM(H47)+SUM(H47)*$J$3</f>
        <v>76.75</v>
      </c>
      <c r="I46" s="6">
        <f>I47</f>
        <v>4963.8215999999993</v>
      </c>
      <c r="J46" s="7">
        <f>I46 / $J$2</f>
        <v>1.6546092526343328E-2</v>
      </c>
    </row>
    <row r="47" spans="1:10" ht="63.75" x14ac:dyDescent="0.25">
      <c r="A47" s="8" t="s">
        <v>76</v>
      </c>
      <c r="B47" s="8" t="s">
        <v>77</v>
      </c>
      <c r="C47" s="8" t="s">
        <v>22</v>
      </c>
      <c r="D47" s="8" t="s">
        <v>78</v>
      </c>
      <c r="E47" s="9" t="s">
        <v>21</v>
      </c>
      <c r="F47" s="10">
        <f>4.3*8.97+3.15*13.42</f>
        <v>80.843999999999994</v>
      </c>
      <c r="G47" s="11">
        <v>49.12</v>
      </c>
      <c r="H47" s="11">
        <f>(TRUNC(G47 * J3,2) + G47)</f>
        <v>61.4</v>
      </c>
      <c r="I47" s="11">
        <f>H47*F47</f>
        <v>4963.8215999999993</v>
      </c>
      <c r="J47" s="12">
        <f t="shared" ref="J47" si="14">I47 / $J$2</f>
        <v>1.6546092526343328E-2</v>
      </c>
    </row>
    <row r="48" spans="1:10" x14ac:dyDescent="0.25">
      <c r="A48" s="3" t="s">
        <v>79</v>
      </c>
      <c r="B48" s="3" t="s">
        <v>15</v>
      </c>
      <c r="C48" s="3"/>
      <c r="D48" s="3" t="s">
        <v>80</v>
      </c>
      <c r="E48" s="4"/>
      <c r="F48" s="5">
        <f>SUM(F49:F51)</f>
        <v>102.15999999999998</v>
      </c>
      <c r="G48" s="6">
        <f>SUM(G49:G51)</f>
        <v>307.84000000000003</v>
      </c>
      <c r="H48" s="6">
        <f>SUM(H49:H51)+SUM(H49:H51)*$J$3</f>
        <v>480.98750000000001</v>
      </c>
      <c r="I48" s="6">
        <f>SUM(I49:I51)</f>
        <v>15157.734599999998</v>
      </c>
      <c r="J48" s="7">
        <f>I48 / $J$2</f>
        <v>5.0525844680106083E-2</v>
      </c>
    </row>
    <row r="49" spans="1:10" ht="38.25" x14ac:dyDescent="0.25">
      <c r="A49" s="8" t="s">
        <v>81</v>
      </c>
      <c r="B49" s="8" t="s">
        <v>82</v>
      </c>
      <c r="C49" s="8" t="s">
        <v>22</v>
      </c>
      <c r="D49" s="8" t="s">
        <v>83</v>
      </c>
      <c r="E49" s="9" t="s">
        <v>157</v>
      </c>
      <c r="F49" s="10">
        <f>4.3+8.97+1.97+7.15+3.15+7.15+1.97+4.3+3.15+8.97</f>
        <v>51.079999999999991</v>
      </c>
      <c r="G49" s="11">
        <v>166.96</v>
      </c>
      <c r="H49" s="11">
        <f>(TRUNC(G49 * J3,2) + G49)</f>
        <v>208.70000000000002</v>
      </c>
      <c r="I49" s="11">
        <f>H49*F49</f>
        <v>10660.395999999999</v>
      </c>
      <c r="J49" s="12">
        <f t="shared" ref="J49:J51" si="15">I49 / $J$2</f>
        <v>3.5534697416091728E-2</v>
      </c>
    </row>
    <row r="50" spans="1:10" ht="38.25" x14ac:dyDescent="0.25">
      <c r="A50" s="8" t="s">
        <v>84</v>
      </c>
      <c r="B50" s="8" t="s">
        <v>85</v>
      </c>
      <c r="C50" s="8" t="s">
        <v>22</v>
      </c>
      <c r="D50" s="8" t="s">
        <v>86</v>
      </c>
      <c r="E50" s="9" t="s">
        <v>157</v>
      </c>
      <c r="F50" s="10">
        <f>F49/2</f>
        <v>25.539999999999996</v>
      </c>
      <c r="G50" s="11">
        <v>51.62</v>
      </c>
      <c r="H50" s="11">
        <f>(TRUNC(G50 * J3,2) + G50)</f>
        <v>64.52</v>
      </c>
      <c r="I50" s="11">
        <f>H50*F50</f>
        <v>1647.8407999999997</v>
      </c>
      <c r="J50" s="12">
        <f t="shared" si="15"/>
        <v>5.4928094808007625E-3</v>
      </c>
    </row>
    <row r="51" spans="1:10" ht="38.25" x14ac:dyDescent="0.25">
      <c r="A51" s="8" t="s">
        <v>87</v>
      </c>
      <c r="B51" s="8" t="s">
        <v>88</v>
      </c>
      <c r="C51" s="8" t="s">
        <v>22</v>
      </c>
      <c r="D51" s="8" t="s">
        <v>89</v>
      </c>
      <c r="E51" s="9" t="s">
        <v>157</v>
      </c>
      <c r="F51" s="10">
        <f>F49/2</f>
        <v>25.539999999999996</v>
      </c>
      <c r="G51" s="11">
        <v>89.26</v>
      </c>
      <c r="H51" s="11">
        <f>(TRUNC(G51 * J3,2) + G51)</f>
        <v>111.57000000000001</v>
      </c>
      <c r="I51" s="11">
        <f>H51*F51</f>
        <v>2849.4977999999996</v>
      </c>
      <c r="J51" s="12">
        <f t="shared" si="15"/>
        <v>9.4983377832135937E-3</v>
      </c>
    </row>
    <row r="52" spans="1:10" x14ac:dyDescent="0.25">
      <c r="A52" s="3">
        <v>6</v>
      </c>
      <c r="B52" s="3" t="s">
        <v>15</v>
      </c>
      <c r="C52" s="3"/>
      <c r="D52" s="3" t="s">
        <v>90</v>
      </c>
      <c r="E52" s="4"/>
      <c r="F52" s="5">
        <f>F53+F55</f>
        <v>17.5</v>
      </c>
      <c r="G52" s="6">
        <f>G53+G55</f>
        <v>2325.06</v>
      </c>
      <c r="H52" s="6">
        <f>H53</f>
        <v>1714.1374999999998</v>
      </c>
      <c r="I52" s="6">
        <f>I53+I55</f>
        <v>24407.170000000002</v>
      </c>
      <c r="J52" s="7">
        <f t="shared" ref="J52:J54" si="16">I52 / $J$2</f>
        <v>8.1357334261608266E-2</v>
      </c>
    </row>
    <row r="53" spans="1:10" x14ac:dyDescent="0.25">
      <c r="A53" s="3" t="s">
        <v>222</v>
      </c>
      <c r="B53" s="3" t="s">
        <v>15</v>
      </c>
      <c r="C53" s="3"/>
      <c r="D53" s="3" t="s">
        <v>92</v>
      </c>
      <c r="E53" s="4"/>
      <c r="F53" s="5">
        <f>SUM(F54:F54)</f>
        <v>15</v>
      </c>
      <c r="G53" s="6">
        <f>SUM(G54:G54)</f>
        <v>1097.05</v>
      </c>
      <c r="H53" s="6">
        <f>SUM(H54:H54)+SUM(H54)*$J$3</f>
        <v>1714.1374999999998</v>
      </c>
      <c r="I53" s="6">
        <f>I54</f>
        <v>20569.650000000001</v>
      </c>
      <c r="J53" s="7">
        <f t="shared" si="16"/>
        <v>6.8565585059402231E-2</v>
      </c>
    </row>
    <row r="54" spans="1:10" ht="76.5" x14ac:dyDescent="0.25">
      <c r="A54" s="8" t="s">
        <v>223</v>
      </c>
      <c r="B54" s="8">
        <v>90847</v>
      </c>
      <c r="C54" s="8" t="s">
        <v>22</v>
      </c>
      <c r="D54" s="8" t="s">
        <v>193</v>
      </c>
      <c r="E54" s="9" t="s">
        <v>23</v>
      </c>
      <c r="F54" s="10">
        <v>15</v>
      </c>
      <c r="G54" s="11">
        <v>1097.05</v>
      </c>
      <c r="H54" s="11">
        <f>(TRUNC(G54 * $J$3,2) + G54)</f>
        <v>1371.31</v>
      </c>
      <c r="I54" s="11">
        <f t="shared" si="9"/>
        <v>20569.650000000001</v>
      </c>
      <c r="J54" s="12">
        <f t="shared" si="16"/>
        <v>6.8565585059402231E-2</v>
      </c>
    </row>
    <row r="55" spans="1:10" x14ac:dyDescent="0.25">
      <c r="A55" s="3" t="s">
        <v>224</v>
      </c>
      <c r="B55" s="3" t="s">
        <v>15</v>
      </c>
      <c r="C55" s="3"/>
      <c r="D55" s="3" t="s">
        <v>94</v>
      </c>
      <c r="E55" s="4"/>
      <c r="F55" s="5">
        <f>F56</f>
        <v>2.5</v>
      </c>
      <c r="G55" s="6">
        <f>G56</f>
        <v>1228.01</v>
      </c>
      <c r="H55" s="6">
        <f xml:space="preserve"> I56</f>
        <v>3837.52</v>
      </c>
      <c r="I55" s="6">
        <f>I56</f>
        <v>3837.52</v>
      </c>
      <c r="J55" s="7">
        <f t="shared" ref="J55:J57" si="17">I55 / $J$2</f>
        <v>1.279174920220603E-2</v>
      </c>
    </row>
    <row r="56" spans="1:10" x14ac:dyDescent="0.25">
      <c r="A56" s="3" t="s">
        <v>225</v>
      </c>
      <c r="B56" s="3" t="s">
        <v>15</v>
      </c>
      <c r="C56" s="3"/>
      <c r="D56" s="3" t="s">
        <v>95</v>
      </c>
      <c r="E56" s="4"/>
      <c r="F56" s="5">
        <f>SUM(F57:F57)</f>
        <v>2.5</v>
      </c>
      <c r="G56" s="6">
        <f>SUM(G57:G57)</f>
        <v>1228.01</v>
      </c>
      <c r="H56" s="6">
        <f>H57</f>
        <v>1535.01</v>
      </c>
      <c r="I56" s="6">
        <f>I57</f>
        <v>3837.52</v>
      </c>
      <c r="J56" s="7">
        <f t="shared" si="17"/>
        <v>1.279174920220603E-2</v>
      </c>
    </row>
    <row r="57" spans="1:10" ht="51" x14ac:dyDescent="0.25">
      <c r="A57" s="8" t="s">
        <v>226</v>
      </c>
      <c r="B57" s="8" t="s">
        <v>96</v>
      </c>
      <c r="C57" s="8" t="s">
        <v>22</v>
      </c>
      <c r="D57" s="8" t="s">
        <v>97</v>
      </c>
      <c r="E57" s="9" t="s">
        <v>21</v>
      </c>
      <c r="F57" s="10">
        <v>2.5</v>
      </c>
      <c r="G57" s="11">
        <v>1228.01</v>
      </c>
      <c r="H57" s="11">
        <f>(TRUNC(G57 * $J$3,2) + G57)</f>
        <v>1535.01</v>
      </c>
      <c r="I57" s="11">
        <f>TRUNC(F57 * H57,2)</f>
        <v>3837.52</v>
      </c>
      <c r="J57" s="12">
        <f t="shared" si="17"/>
        <v>1.279174920220603E-2</v>
      </c>
    </row>
    <row r="58" spans="1:10" x14ac:dyDescent="0.25">
      <c r="A58" s="3">
        <v>7</v>
      </c>
      <c r="B58" s="3" t="s">
        <v>15</v>
      </c>
      <c r="C58" s="3"/>
      <c r="D58" s="3" t="s">
        <v>227</v>
      </c>
      <c r="E58" s="4"/>
      <c r="F58" s="5">
        <f>F59+F61+F63+F65</f>
        <v>541.11</v>
      </c>
      <c r="G58" s="6">
        <f>G59+G61+G63+G65</f>
        <v>422.43</v>
      </c>
      <c r="H58" s="6">
        <f>H59+H61+H63+H65</f>
        <v>38548.78</v>
      </c>
      <c r="I58" s="6">
        <f>I59+I61+I63+I65</f>
        <v>51591.34</v>
      </c>
      <c r="J58" s="7">
        <f t="shared" ref="J58:J60" si="18">I58 / $J$2</f>
        <v>0.17197134667330463</v>
      </c>
    </row>
    <row r="59" spans="1:10" ht="25.5" x14ac:dyDescent="0.25">
      <c r="A59" s="3" t="s">
        <v>91</v>
      </c>
      <c r="B59" s="3" t="s">
        <v>15</v>
      </c>
      <c r="C59" s="3"/>
      <c r="D59" s="3" t="s">
        <v>228</v>
      </c>
      <c r="E59" s="4"/>
      <c r="F59" s="5">
        <f>F60</f>
        <v>80</v>
      </c>
      <c r="G59" s="6">
        <f>SUM(G60:G61)</f>
        <v>181.98</v>
      </c>
      <c r="H59" s="6">
        <f>H60</f>
        <v>113.72999999999999</v>
      </c>
      <c r="I59" s="6">
        <f>I60</f>
        <v>9098.4</v>
      </c>
      <c r="J59" s="7">
        <f t="shared" si="18"/>
        <v>3.0328037623608823E-2</v>
      </c>
    </row>
    <row r="60" spans="1:10" ht="51" x14ac:dyDescent="0.25">
      <c r="A60" s="8" t="s">
        <v>93</v>
      </c>
      <c r="B60" s="8" t="s">
        <v>107</v>
      </c>
      <c r="C60" s="8" t="s">
        <v>22</v>
      </c>
      <c r="D60" s="8" t="s">
        <v>108</v>
      </c>
      <c r="E60" s="9" t="s">
        <v>21</v>
      </c>
      <c r="F60" s="10">
        <v>80</v>
      </c>
      <c r="G60" s="11">
        <v>90.99</v>
      </c>
      <c r="H60" s="11">
        <f>(TRUNC(G60 * $J$3,2) + G60)</f>
        <v>113.72999999999999</v>
      </c>
      <c r="I60" s="11">
        <f t="shared" ref="I60:I82" si="19">TRUNC(F60 * H60,2)</f>
        <v>9098.4</v>
      </c>
      <c r="J60" s="12">
        <f t="shared" si="18"/>
        <v>3.0328037623608823E-2</v>
      </c>
    </row>
    <row r="61" spans="1:10" x14ac:dyDescent="0.25">
      <c r="A61" s="3" t="s">
        <v>229</v>
      </c>
      <c r="B61" s="3" t="s">
        <v>15</v>
      </c>
      <c r="C61" s="3"/>
      <c r="D61" s="3" t="s">
        <v>110</v>
      </c>
      <c r="E61" s="4"/>
      <c r="F61" s="5">
        <f>F62</f>
        <v>191.11</v>
      </c>
      <c r="G61" s="6">
        <f>G62</f>
        <v>90.99</v>
      </c>
      <c r="H61" s="6">
        <f>I62</f>
        <v>21734.94</v>
      </c>
      <c r="I61" s="6">
        <f>I62</f>
        <v>21734.94</v>
      </c>
      <c r="J61" s="7">
        <f>I61 / $J$2</f>
        <v>7.2449889878097293E-2</v>
      </c>
    </row>
    <row r="62" spans="1:10" ht="51" x14ac:dyDescent="0.25">
      <c r="A62" s="8" t="s">
        <v>230</v>
      </c>
      <c r="B62" s="8" t="s">
        <v>107</v>
      </c>
      <c r="C62" s="8" t="s">
        <v>22</v>
      </c>
      <c r="D62" s="8" t="s">
        <v>108</v>
      </c>
      <c r="E62" s="9" t="s">
        <v>21</v>
      </c>
      <c r="F62" s="10">
        <v>191.11</v>
      </c>
      <c r="G62" s="11">
        <v>90.99</v>
      </c>
      <c r="H62" s="11">
        <f>(TRUNC(G62 * $J$3,2) + G62)</f>
        <v>113.72999999999999</v>
      </c>
      <c r="I62" s="11">
        <f t="shared" si="19"/>
        <v>21734.94</v>
      </c>
      <c r="J62" s="12">
        <f t="shared" ref="J62" si="20">I62 / $J$2</f>
        <v>7.2449889878097293E-2</v>
      </c>
    </row>
    <row r="63" spans="1:10" x14ac:dyDescent="0.25">
      <c r="A63" s="3" t="s">
        <v>231</v>
      </c>
      <c r="B63" s="3" t="s">
        <v>15</v>
      </c>
      <c r="C63" s="3"/>
      <c r="D63" s="3" t="s">
        <v>233</v>
      </c>
      <c r="E63" s="4"/>
      <c r="F63" s="5">
        <f>F64</f>
        <v>130</v>
      </c>
      <c r="G63" s="6">
        <f>G64</f>
        <v>102.41</v>
      </c>
      <c r="H63" s="6">
        <f>I64</f>
        <v>16641.3</v>
      </c>
      <c r="I63" s="6">
        <f>I64</f>
        <v>16641.3</v>
      </c>
      <c r="J63" s="7">
        <f>I63 / $J$2</f>
        <v>5.5471068814930267E-2</v>
      </c>
    </row>
    <row r="64" spans="1:10" ht="51" x14ac:dyDescent="0.25">
      <c r="A64" s="8" t="s">
        <v>232</v>
      </c>
      <c r="B64" s="8" t="s">
        <v>105</v>
      </c>
      <c r="C64" s="8" t="s">
        <v>22</v>
      </c>
      <c r="D64" s="8" t="s">
        <v>106</v>
      </c>
      <c r="E64" s="9" t="s">
        <v>21</v>
      </c>
      <c r="F64" s="10">
        <v>130</v>
      </c>
      <c r="G64" s="11">
        <v>102.41</v>
      </c>
      <c r="H64" s="11">
        <f>(TRUNC(G64 * $J$3,2) + G64)</f>
        <v>128.01</v>
      </c>
      <c r="I64" s="11">
        <f>TRUNC(F64 * H64,2)</f>
        <v>16641.3</v>
      </c>
      <c r="J64" s="12">
        <f t="shared" ref="J64" si="21">I64 / $J$2</f>
        <v>5.5471068814930267E-2</v>
      </c>
    </row>
    <row r="65" spans="1:10" x14ac:dyDescent="0.25">
      <c r="A65" s="3" t="s">
        <v>235</v>
      </c>
      <c r="B65" s="3" t="s">
        <v>15</v>
      </c>
      <c r="C65" s="3"/>
      <c r="D65" s="3" t="s">
        <v>234</v>
      </c>
      <c r="E65" s="4"/>
      <c r="F65" s="5">
        <f>F66+F67</f>
        <v>140</v>
      </c>
      <c r="G65" s="6">
        <f>SUM(G66:G67)</f>
        <v>47.05</v>
      </c>
      <c r="H65" s="6">
        <f>SUM(H66:H67)</f>
        <v>58.81</v>
      </c>
      <c r="I65" s="6">
        <f>SUM(I66:I67)</f>
        <v>4116.7</v>
      </c>
      <c r="J65" s="7">
        <f>I65 / $J$2</f>
        <v>1.3722350356668255E-2</v>
      </c>
    </row>
    <row r="66" spans="1:10" ht="63.75" x14ac:dyDescent="0.25">
      <c r="A66" s="8" t="s">
        <v>236</v>
      </c>
      <c r="B66" s="8" t="s">
        <v>111</v>
      </c>
      <c r="C66" s="8" t="s">
        <v>22</v>
      </c>
      <c r="D66" s="8" t="s">
        <v>112</v>
      </c>
      <c r="E66" s="9" t="s">
        <v>21</v>
      </c>
      <c r="F66" s="10">
        <v>70</v>
      </c>
      <c r="G66" s="11">
        <v>9.36</v>
      </c>
      <c r="H66" s="11">
        <f>(TRUNC(G66 * J3,2) + G66)</f>
        <v>11.7</v>
      </c>
      <c r="I66" s="11">
        <f>TRUNC(F66 * H66,2)</f>
        <v>819</v>
      </c>
      <c r="J66" s="12">
        <f t="shared" ref="J66:J67" si="22">I66 / $J$2</f>
        <v>2.7300033867202617E-3</v>
      </c>
    </row>
    <row r="67" spans="1:10" ht="38.25" x14ac:dyDescent="0.25">
      <c r="A67" s="8" t="s">
        <v>237</v>
      </c>
      <c r="B67" s="8" t="s">
        <v>113</v>
      </c>
      <c r="C67" s="8" t="s">
        <v>22</v>
      </c>
      <c r="D67" s="8" t="s">
        <v>114</v>
      </c>
      <c r="E67" s="9" t="s">
        <v>21</v>
      </c>
      <c r="F67" s="10">
        <v>70</v>
      </c>
      <c r="G67" s="11">
        <v>37.69</v>
      </c>
      <c r="H67" s="11">
        <f>(TRUNC(G67 * J3,2) + G67)</f>
        <v>47.11</v>
      </c>
      <c r="I67" s="11">
        <f t="shared" si="19"/>
        <v>3297.7</v>
      </c>
      <c r="J67" s="12">
        <f t="shared" si="22"/>
        <v>1.0992346969947994E-2</v>
      </c>
    </row>
    <row r="68" spans="1:10" x14ac:dyDescent="0.25">
      <c r="A68" s="3">
        <v>8</v>
      </c>
      <c r="B68" s="3" t="s">
        <v>15</v>
      </c>
      <c r="C68" s="3"/>
      <c r="D68" s="3" t="s">
        <v>115</v>
      </c>
      <c r="E68" s="4"/>
      <c r="F68" s="6">
        <f>F69+F73</f>
        <v>370</v>
      </c>
      <c r="G68" s="6">
        <f>G69+G73</f>
        <v>44.12</v>
      </c>
      <c r="H68" s="6">
        <f>H69+H73</f>
        <v>55.14</v>
      </c>
      <c r="I68" s="6">
        <f>I69+I73</f>
        <v>4997.3999999999996</v>
      </c>
      <c r="J68" s="7">
        <f t="shared" ref="J68:J72" si="23">I68 / $J$2</f>
        <v>1.665802066519638E-2</v>
      </c>
    </row>
    <row r="69" spans="1:10" x14ac:dyDescent="0.25">
      <c r="A69" s="3" t="s">
        <v>98</v>
      </c>
      <c r="B69" s="3" t="s">
        <v>15</v>
      </c>
      <c r="C69" s="3"/>
      <c r="D69" s="3" t="s">
        <v>242</v>
      </c>
      <c r="E69" s="4"/>
      <c r="F69" s="5">
        <f>SUM(F70:F72)</f>
        <v>300</v>
      </c>
      <c r="G69" s="6">
        <f>SUM(G70:G72)</f>
        <v>30.34</v>
      </c>
      <c r="H69" s="6">
        <f>SUM(H70:H72)</f>
        <v>37.92</v>
      </c>
      <c r="I69" s="6">
        <f>SUM(I70:I72)</f>
        <v>3792</v>
      </c>
      <c r="J69" s="7">
        <f t="shared" si="23"/>
        <v>1.2640015680638867E-2</v>
      </c>
    </row>
    <row r="70" spans="1:10" ht="25.5" x14ac:dyDescent="0.25">
      <c r="A70" s="8" t="s">
        <v>238</v>
      </c>
      <c r="B70" s="8" t="s">
        <v>116</v>
      </c>
      <c r="C70" s="8" t="s">
        <v>22</v>
      </c>
      <c r="D70" s="8" t="s">
        <v>117</v>
      </c>
      <c r="E70" s="9" t="s">
        <v>21</v>
      </c>
      <c r="F70" s="10">
        <v>100</v>
      </c>
      <c r="G70" s="11">
        <v>4.5999999999999996</v>
      </c>
      <c r="H70" s="11">
        <f>(TRUNC(G70 * J3,2) + G70)</f>
        <v>5.75</v>
      </c>
      <c r="I70" s="11">
        <f t="shared" si="19"/>
        <v>575</v>
      </c>
      <c r="J70" s="12">
        <f t="shared" si="23"/>
        <v>1.9166690444006721E-3</v>
      </c>
    </row>
    <row r="71" spans="1:10" ht="38.25" x14ac:dyDescent="0.25">
      <c r="A71" s="8" t="s">
        <v>239</v>
      </c>
      <c r="B71" s="8" t="s">
        <v>118</v>
      </c>
      <c r="C71" s="8" t="s">
        <v>22</v>
      </c>
      <c r="D71" s="8" t="s">
        <v>119</v>
      </c>
      <c r="E71" s="9" t="s">
        <v>21</v>
      </c>
      <c r="F71" s="10">
        <f>F70</f>
        <v>100</v>
      </c>
      <c r="G71" s="11">
        <v>14.97</v>
      </c>
      <c r="H71" s="11">
        <f>(TRUNC(G71 * J3,2) + G71)</f>
        <v>18.71</v>
      </c>
      <c r="I71" s="11">
        <f t="shared" si="19"/>
        <v>1871</v>
      </c>
      <c r="J71" s="12">
        <f t="shared" si="23"/>
        <v>6.2366744036063603E-3</v>
      </c>
    </row>
    <row r="72" spans="1:10" ht="38.25" x14ac:dyDescent="0.25">
      <c r="A72" s="8" t="s">
        <v>240</v>
      </c>
      <c r="B72" s="8" t="s">
        <v>120</v>
      </c>
      <c r="C72" s="8" t="s">
        <v>22</v>
      </c>
      <c r="D72" s="8" t="s">
        <v>121</v>
      </c>
      <c r="E72" s="9" t="s">
        <v>21</v>
      </c>
      <c r="F72" s="10">
        <f>F70</f>
        <v>100</v>
      </c>
      <c r="G72" s="11">
        <v>10.77</v>
      </c>
      <c r="H72" s="11">
        <f>(TRUNC(G72 * J3,2) + G72)</f>
        <v>13.459999999999999</v>
      </c>
      <c r="I72" s="11">
        <f t="shared" si="19"/>
        <v>1346</v>
      </c>
      <c r="J72" s="12">
        <f t="shared" si="23"/>
        <v>4.4866722326318345E-3</v>
      </c>
    </row>
    <row r="73" spans="1:10" x14ac:dyDescent="0.25">
      <c r="A73" s="3" t="s">
        <v>243</v>
      </c>
      <c r="B73" s="3" t="s">
        <v>15</v>
      </c>
      <c r="C73" s="3"/>
      <c r="D73" s="3" t="s">
        <v>241</v>
      </c>
      <c r="E73" s="4"/>
      <c r="F73" s="5">
        <f>F74</f>
        <v>70</v>
      </c>
      <c r="G73" s="6">
        <f>G74</f>
        <v>13.78</v>
      </c>
      <c r="H73" s="6">
        <f>H74</f>
        <v>17.22</v>
      </c>
      <c r="I73" s="6">
        <f>I74</f>
        <v>1205.4000000000001</v>
      </c>
      <c r="J73" s="7">
        <f>I73 / $J$2</f>
        <v>4.0180049845575131E-3</v>
      </c>
    </row>
    <row r="74" spans="1:10" ht="38.25" x14ac:dyDescent="0.25">
      <c r="A74" s="8" t="s">
        <v>244</v>
      </c>
      <c r="B74" s="8" t="s">
        <v>122</v>
      </c>
      <c r="C74" s="8" t="s">
        <v>22</v>
      </c>
      <c r="D74" s="8" t="s">
        <v>123</v>
      </c>
      <c r="E74" s="9" t="s">
        <v>21</v>
      </c>
      <c r="F74" s="10">
        <f>F67</f>
        <v>70</v>
      </c>
      <c r="G74" s="11">
        <v>13.78</v>
      </c>
      <c r="H74" s="11">
        <f>(TRUNC(G74 * J3,2) + G74)</f>
        <v>17.22</v>
      </c>
      <c r="I74" s="11">
        <f t="shared" si="19"/>
        <v>1205.4000000000001</v>
      </c>
      <c r="J74" s="12">
        <f t="shared" ref="J74" si="24">I74 / $J$2</f>
        <v>4.0180049845575131E-3</v>
      </c>
    </row>
    <row r="75" spans="1:10" x14ac:dyDescent="0.25">
      <c r="A75" s="3">
        <v>9</v>
      </c>
      <c r="B75" s="3" t="s">
        <v>15</v>
      </c>
      <c r="C75" s="3"/>
      <c r="D75" s="3" t="s">
        <v>124</v>
      </c>
      <c r="E75" s="4"/>
      <c r="F75" s="6">
        <f>F76+F78+F81</f>
        <v>33</v>
      </c>
      <c r="G75" s="6">
        <f>G76+G78+G81</f>
        <v>1247.42</v>
      </c>
      <c r="H75" s="6">
        <f>H76+H78+H81</f>
        <v>1559.26</v>
      </c>
      <c r="I75" s="6">
        <f>I76+I78+I81</f>
        <v>14688.619999999999</v>
      </c>
      <c r="J75" s="7">
        <f>I75 / J2</f>
        <v>4.8962127406894949E-2</v>
      </c>
    </row>
    <row r="76" spans="1:10" x14ac:dyDescent="0.25">
      <c r="A76" s="3" t="s">
        <v>245</v>
      </c>
      <c r="B76" s="3" t="s">
        <v>15</v>
      </c>
      <c r="C76" s="3"/>
      <c r="D76" s="3" t="s">
        <v>125</v>
      </c>
      <c r="E76" s="4"/>
      <c r="F76" s="6">
        <f>SUM(F77)</f>
        <v>3</v>
      </c>
      <c r="G76" s="6">
        <f>SUM(G77)</f>
        <v>107.45</v>
      </c>
      <c r="H76" s="6">
        <f>SUM(H77)</f>
        <v>134.31</v>
      </c>
      <c r="I76" s="6">
        <f>I77</f>
        <v>402.93</v>
      </c>
      <c r="J76" s="7">
        <f>I76 / J2</f>
        <v>1.3431016661919354E-3</v>
      </c>
    </row>
    <row r="77" spans="1:10" ht="38.25" x14ac:dyDescent="0.25">
      <c r="A77" s="8" t="s">
        <v>246</v>
      </c>
      <c r="B77" s="8" t="s">
        <v>126</v>
      </c>
      <c r="C77" s="8" t="s">
        <v>22</v>
      </c>
      <c r="D77" s="8" t="s">
        <v>127</v>
      </c>
      <c r="E77" s="9" t="s">
        <v>23</v>
      </c>
      <c r="F77" s="10">
        <v>3</v>
      </c>
      <c r="G77" s="11">
        <v>107.45</v>
      </c>
      <c r="H77" s="11">
        <f>(TRUNC(G77 * J3,2) + G77)</f>
        <v>134.31</v>
      </c>
      <c r="I77" s="11">
        <f t="shared" si="19"/>
        <v>402.93</v>
      </c>
      <c r="J77" s="12">
        <f t="shared" ref="J77" si="25">I77 / $J$2</f>
        <v>1.3431016661919354E-3</v>
      </c>
    </row>
    <row r="78" spans="1:10" x14ac:dyDescent="0.25">
      <c r="A78" s="3" t="s">
        <v>247</v>
      </c>
      <c r="B78" s="3" t="s">
        <v>15</v>
      </c>
      <c r="C78" s="3"/>
      <c r="D78" s="3" t="s">
        <v>128</v>
      </c>
      <c r="E78" s="4"/>
      <c r="F78" s="6">
        <f>SUM(F79:F80)</f>
        <v>19</v>
      </c>
      <c r="G78" s="6">
        <f>SUM(G79:G80)</f>
        <v>810.95</v>
      </c>
      <c r="H78" s="6">
        <f>SUM(H79:H80)</f>
        <v>1013.68</v>
      </c>
      <c r="I78" s="6">
        <f>SUM(I79:I80)</f>
        <v>9761.7199999999993</v>
      </c>
      <c r="J78" s="7">
        <f>I78 / $J$2</f>
        <v>3.2539107033229438E-2</v>
      </c>
    </row>
    <row r="79" spans="1:10" ht="51" x14ac:dyDescent="0.25">
      <c r="A79" s="8" t="s">
        <v>250</v>
      </c>
      <c r="B79" s="8">
        <v>95470</v>
      </c>
      <c r="C79" s="8" t="s">
        <v>22</v>
      </c>
      <c r="D79" s="8" t="s">
        <v>248</v>
      </c>
      <c r="E79" s="9" t="s">
        <v>20</v>
      </c>
      <c r="F79" s="10">
        <v>8</v>
      </c>
      <c r="G79" s="11">
        <v>370.34</v>
      </c>
      <c r="H79" s="11">
        <f>(TRUNC(G79 * J3,2) + G79)</f>
        <v>462.91999999999996</v>
      </c>
      <c r="I79" s="11">
        <f t="shared" si="19"/>
        <v>3703.36</v>
      </c>
      <c r="J79" s="12">
        <f t="shared" ref="J79:J80" si="26">I79 / $J$2</f>
        <v>1.2344548647428996E-2</v>
      </c>
    </row>
    <row r="80" spans="1:10" ht="76.5" x14ac:dyDescent="0.25">
      <c r="A80" s="8" t="s">
        <v>251</v>
      </c>
      <c r="B80" s="8" t="s">
        <v>129</v>
      </c>
      <c r="C80" s="8" t="s">
        <v>22</v>
      </c>
      <c r="D80" s="8" t="s">
        <v>130</v>
      </c>
      <c r="E80" s="9" t="s">
        <v>23</v>
      </c>
      <c r="F80" s="10">
        <v>11</v>
      </c>
      <c r="G80" s="11">
        <v>440.61</v>
      </c>
      <c r="H80" s="11">
        <f>(TRUNC(G80 * J3,2) + G80)</f>
        <v>550.76</v>
      </c>
      <c r="I80" s="11">
        <f t="shared" si="19"/>
        <v>6058.36</v>
      </c>
      <c r="J80" s="12">
        <f t="shared" si="26"/>
        <v>2.0194558385800445E-2</v>
      </c>
    </row>
    <row r="81" spans="1:10" x14ac:dyDescent="0.25">
      <c r="A81" s="3" t="s">
        <v>109</v>
      </c>
      <c r="B81" s="3" t="s">
        <v>15</v>
      </c>
      <c r="C81" s="3"/>
      <c r="D81" s="3" t="s">
        <v>131</v>
      </c>
      <c r="E81" s="4"/>
      <c r="F81" s="6">
        <f>SUM(F82)</f>
        <v>11</v>
      </c>
      <c r="G81" s="6">
        <f>G82</f>
        <v>329.02</v>
      </c>
      <c r="H81" s="6">
        <f>H82</f>
        <v>411.27</v>
      </c>
      <c r="I81" s="6">
        <f>I82</f>
        <v>4523.97</v>
      </c>
      <c r="J81" s="7">
        <f>I81 / $J$2</f>
        <v>1.5079918707473581E-2</v>
      </c>
    </row>
    <row r="82" spans="1:10" ht="25.5" x14ac:dyDescent="0.25">
      <c r="A82" s="8" t="s">
        <v>252</v>
      </c>
      <c r="B82" s="8">
        <v>100853</v>
      </c>
      <c r="C82" s="8" t="s">
        <v>22</v>
      </c>
      <c r="D82" s="8" t="s">
        <v>249</v>
      </c>
      <c r="E82" s="9" t="s">
        <v>23</v>
      </c>
      <c r="F82" s="10">
        <v>11</v>
      </c>
      <c r="G82" s="11">
        <v>329.02</v>
      </c>
      <c r="H82" s="11">
        <f>(TRUNC(G82 * J3,2) + G82)</f>
        <v>411.27</v>
      </c>
      <c r="I82" s="11">
        <f t="shared" si="19"/>
        <v>4523.97</v>
      </c>
      <c r="J82" s="12">
        <f t="shared" ref="J82" si="27">I82 / $J$2</f>
        <v>1.5079918707473581E-2</v>
      </c>
    </row>
    <row r="83" spans="1:10" ht="24" customHeight="1" x14ac:dyDescent="0.25">
      <c r="A83" s="3">
        <v>10</v>
      </c>
      <c r="B83" s="3" t="s">
        <v>15</v>
      </c>
      <c r="C83" s="3"/>
      <c r="D83" s="3" t="s">
        <v>132</v>
      </c>
      <c r="E83" s="4"/>
      <c r="F83" s="6">
        <f>F84+F91</f>
        <v>144</v>
      </c>
      <c r="G83" s="6">
        <f>G84+G91</f>
        <v>376.77</v>
      </c>
      <c r="H83" s="6">
        <f>H84+H91</f>
        <v>329.34</v>
      </c>
      <c r="I83" s="6">
        <f>I84+I91</f>
        <v>5296.09</v>
      </c>
      <c r="J83" s="7">
        <f t="shared" ref="J83:J97" si="28">I83 / $J$2</f>
        <v>1.7653655233669487E-2</v>
      </c>
    </row>
    <row r="84" spans="1:10" ht="24" customHeight="1" x14ac:dyDescent="0.25">
      <c r="A84" s="3" t="s">
        <v>253</v>
      </c>
      <c r="B84" s="3" t="s">
        <v>15</v>
      </c>
      <c r="C84" s="3"/>
      <c r="D84" s="3" t="s">
        <v>133</v>
      </c>
      <c r="E84" s="4"/>
      <c r="F84" s="6">
        <f>SUM(F85:F90)</f>
        <v>95</v>
      </c>
      <c r="G84" s="6">
        <f>SUM(G85:G90)</f>
        <v>188.44</v>
      </c>
      <c r="H84" s="6">
        <f>SUM(H85)</f>
        <v>93.949999999999989</v>
      </c>
      <c r="I84" s="6">
        <f>SUM(I85:I90)</f>
        <v>3449.6499999999996</v>
      </c>
      <c r="J84" s="7">
        <f t="shared" si="28"/>
        <v>1.1498847598290049E-2</v>
      </c>
    </row>
    <row r="85" spans="1:10" ht="26.1" customHeight="1" x14ac:dyDescent="0.25">
      <c r="A85" s="8" t="s">
        <v>254</v>
      </c>
      <c r="B85" s="8" t="s">
        <v>134</v>
      </c>
      <c r="C85" s="8" t="s">
        <v>22</v>
      </c>
      <c r="D85" s="8" t="s">
        <v>135</v>
      </c>
      <c r="E85" s="9" t="s">
        <v>23</v>
      </c>
      <c r="F85" s="10">
        <v>5</v>
      </c>
      <c r="G85" s="11">
        <v>75.16</v>
      </c>
      <c r="H85" s="11">
        <f>(TRUNC(G85 *J3,2) + G85)</f>
        <v>93.949999999999989</v>
      </c>
      <c r="I85" s="11">
        <f>TRUNC(F85 * H85,2)</f>
        <v>469.75</v>
      </c>
      <c r="J85" s="12">
        <f t="shared" si="28"/>
        <v>1.565835275838636E-3</v>
      </c>
    </row>
    <row r="86" spans="1:10" ht="51.95" customHeight="1" x14ac:dyDescent="0.25">
      <c r="A86" s="8" t="s">
        <v>255</v>
      </c>
      <c r="B86" s="8" t="s">
        <v>136</v>
      </c>
      <c r="C86" s="8" t="s">
        <v>22</v>
      </c>
      <c r="D86" s="8" t="s">
        <v>137</v>
      </c>
      <c r="E86" s="9" t="s">
        <v>23</v>
      </c>
      <c r="F86" s="10">
        <v>10</v>
      </c>
      <c r="G86" s="11">
        <v>11.61</v>
      </c>
      <c r="H86" s="11">
        <f>(TRUNC(G86 *$J$3,2) + G86)</f>
        <v>14.51</v>
      </c>
      <c r="I86" s="11">
        <f>TRUNC(F86 * H86,2)</f>
        <v>145.1</v>
      </c>
      <c r="J86" s="12">
        <f t="shared" si="28"/>
        <v>4.836672666826739E-4</v>
      </c>
    </row>
    <row r="87" spans="1:10" ht="39" customHeight="1" x14ac:dyDescent="0.25">
      <c r="A87" s="8" t="s">
        <v>256</v>
      </c>
      <c r="B87" s="8" t="s">
        <v>138</v>
      </c>
      <c r="C87" s="8" t="s">
        <v>22</v>
      </c>
      <c r="D87" s="8" t="s">
        <v>139</v>
      </c>
      <c r="E87" s="9" t="s">
        <v>1</v>
      </c>
      <c r="F87" s="10">
        <v>50</v>
      </c>
      <c r="G87" s="11">
        <v>31.28</v>
      </c>
      <c r="H87" s="11">
        <f t="shared" ref="H87:H90" si="29">(TRUNC(G87 *$J$3,2) + G87)</f>
        <v>39.1</v>
      </c>
      <c r="I87" s="11">
        <f t="shared" ref="I87:I96" si="30">TRUNC(F87 * H87,2)</f>
        <v>1955</v>
      </c>
      <c r="J87" s="12">
        <f t="shared" si="28"/>
        <v>6.5166747509622846E-3</v>
      </c>
    </row>
    <row r="88" spans="1:10" ht="39" customHeight="1" x14ac:dyDescent="0.25">
      <c r="A88" s="8" t="s">
        <v>257</v>
      </c>
      <c r="B88" s="8" t="s">
        <v>140</v>
      </c>
      <c r="C88" s="8" t="s">
        <v>22</v>
      </c>
      <c r="D88" s="8" t="s">
        <v>141</v>
      </c>
      <c r="E88" s="9" t="s">
        <v>23</v>
      </c>
      <c r="F88" s="10">
        <v>10</v>
      </c>
      <c r="G88" s="11">
        <v>29.29</v>
      </c>
      <c r="H88" s="11">
        <f t="shared" si="29"/>
        <v>36.61</v>
      </c>
      <c r="I88" s="11">
        <f t="shared" si="30"/>
        <v>366.1</v>
      </c>
      <c r="J88" s="12">
        <f t="shared" si="28"/>
        <v>1.2203348472262367E-3</v>
      </c>
    </row>
    <row r="89" spans="1:10" ht="39" customHeight="1" x14ac:dyDescent="0.25">
      <c r="A89" s="8" t="s">
        <v>258</v>
      </c>
      <c r="B89" s="8" t="s">
        <v>142</v>
      </c>
      <c r="C89" s="8" t="s">
        <v>22</v>
      </c>
      <c r="D89" s="8" t="s">
        <v>143</v>
      </c>
      <c r="E89" s="9" t="s">
        <v>23</v>
      </c>
      <c r="F89" s="10">
        <v>10</v>
      </c>
      <c r="G89" s="11">
        <v>22.93</v>
      </c>
      <c r="H89" s="11">
        <f t="shared" si="29"/>
        <v>28.66</v>
      </c>
      <c r="I89" s="11">
        <f t="shared" si="30"/>
        <v>286.60000000000002</v>
      </c>
      <c r="J89" s="12">
        <f t="shared" si="28"/>
        <v>9.5533451847866545E-4</v>
      </c>
    </row>
    <row r="90" spans="1:10" ht="51.95" customHeight="1" x14ac:dyDescent="0.25">
      <c r="A90" s="8" t="s">
        <v>259</v>
      </c>
      <c r="B90" s="8" t="s">
        <v>144</v>
      </c>
      <c r="C90" s="8" t="s">
        <v>22</v>
      </c>
      <c r="D90" s="8" t="s">
        <v>145</v>
      </c>
      <c r="E90" s="9" t="s">
        <v>23</v>
      </c>
      <c r="F90" s="10">
        <v>10</v>
      </c>
      <c r="G90" s="11">
        <v>18.170000000000002</v>
      </c>
      <c r="H90" s="11">
        <f t="shared" si="29"/>
        <v>22.71</v>
      </c>
      <c r="I90" s="11">
        <f t="shared" si="30"/>
        <v>227.1</v>
      </c>
      <c r="J90" s="12">
        <f t="shared" si="28"/>
        <v>7.5700093910155235E-4</v>
      </c>
    </row>
    <row r="91" spans="1:10" ht="24" customHeight="1" x14ac:dyDescent="0.25">
      <c r="A91" s="3" t="s">
        <v>268</v>
      </c>
      <c r="B91" s="3" t="s">
        <v>15</v>
      </c>
      <c r="C91" s="3"/>
      <c r="D91" s="3" t="s">
        <v>146</v>
      </c>
      <c r="E91" s="4"/>
      <c r="F91" s="5">
        <f>SUM(F92:F97)</f>
        <v>49</v>
      </c>
      <c r="G91" s="6">
        <f>SUM(G92:G97)</f>
        <v>188.33</v>
      </c>
      <c r="H91" s="6">
        <f>SUM(H92:H97)</f>
        <v>235.39</v>
      </c>
      <c r="I91" s="6">
        <f>SUM(I92:I97)</f>
        <v>1846.44</v>
      </c>
      <c r="J91" s="7">
        <f>I91 / $J$2</f>
        <v>6.1548076353794383E-3</v>
      </c>
    </row>
    <row r="92" spans="1:10" ht="39" customHeight="1" x14ac:dyDescent="0.25">
      <c r="A92" s="8" t="s">
        <v>269</v>
      </c>
      <c r="B92" s="8" t="s">
        <v>147</v>
      </c>
      <c r="C92" s="8" t="s">
        <v>22</v>
      </c>
      <c r="D92" s="8" t="s">
        <v>148</v>
      </c>
      <c r="E92" s="9" t="s">
        <v>23</v>
      </c>
      <c r="F92" s="10">
        <v>5</v>
      </c>
      <c r="G92" s="11">
        <v>54.96</v>
      </c>
      <c r="H92" s="11">
        <f>(TRUNC(G92 *J3,2) + G92)</f>
        <v>68.7</v>
      </c>
      <c r="I92" s="11">
        <f t="shared" si="30"/>
        <v>343.5</v>
      </c>
      <c r="J92" s="12">
        <f t="shared" si="28"/>
        <v>1.1450014204376188E-3</v>
      </c>
    </row>
    <row r="93" spans="1:10" ht="39" customHeight="1" x14ac:dyDescent="0.25">
      <c r="A93" s="8" t="s">
        <v>270</v>
      </c>
      <c r="B93" s="8" t="s">
        <v>149</v>
      </c>
      <c r="C93" s="8" t="s">
        <v>22</v>
      </c>
      <c r="D93" s="8" t="s">
        <v>150</v>
      </c>
      <c r="E93" s="9" t="s">
        <v>23</v>
      </c>
      <c r="F93" s="10">
        <v>5</v>
      </c>
      <c r="G93" s="11">
        <v>23.35</v>
      </c>
      <c r="H93" s="11">
        <f t="shared" ref="H93:H97" si="31">(TRUNC(G93 *$J$3,2) + G93)</f>
        <v>29.18</v>
      </c>
      <c r="I93" s="11">
        <f t="shared" si="30"/>
        <v>145.9</v>
      </c>
      <c r="J93" s="12">
        <f t="shared" si="28"/>
        <v>4.8633393665749227E-4</v>
      </c>
    </row>
    <row r="94" spans="1:10" ht="26.1" customHeight="1" x14ac:dyDescent="0.25">
      <c r="A94" s="8" t="s">
        <v>271</v>
      </c>
      <c r="B94" s="8" t="s">
        <v>151</v>
      </c>
      <c r="C94" s="8" t="s">
        <v>22</v>
      </c>
      <c r="D94" s="8" t="s">
        <v>152</v>
      </c>
      <c r="E94" s="9" t="s">
        <v>23</v>
      </c>
      <c r="F94" s="10">
        <v>8</v>
      </c>
      <c r="G94" s="11">
        <v>12.59</v>
      </c>
      <c r="H94" s="11">
        <f t="shared" si="31"/>
        <v>15.73</v>
      </c>
      <c r="I94" s="11">
        <f t="shared" si="30"/>
        <v>125.84</v>
      </c>
      <c r="J94" s="12">
        <f t="shared" si="28"/>
        <v>4.1946718703892273E-4</v>
      </c>
    </row>
    <row r="95" spans="1:10" ht="39" customHeight="1" x14ac:dyDescent="0.25">
      <c r="A95" s="8" t="s">
        <v>272</v>
      </c>
      <c r="B95" s="8" t="s">
        <v>153</v>
      </c>
      <c r="C95" s="8" t="s">
        <v>22</v>
      </c>
      <c r="D95" s="8" t="s">
        <v>154</v>
      </c>
      <c r="E95" s="9" t="s">
        <v>23</v>
      </c>
      <c r="F95" s="10">
        <v>11</v>
      </c>
      <c r="G95" s="11">
        <v>10.72</v>
      </c>
      <c r="H95" s="11">
        <f t="shared" si="31"/>
        <v>13.4</v>
      </c>
      <c r="I95" s="11">
        <f t="shared" si="30"/>
        <v>147.4</v>
      </c>
      <c r="J95" s="12">
        <f t="shared" si="28"/>
        <v>4.9133394286027666E-4</v>
      </c>
    </row>
    <row r="96" spans="1:10" ht="51.95" customHeight="1" x14ac:dyDescent="0.25">
      <c r="A96" s="8" t="s">
        <v>273</v>
      </c>
      <c r="B96" s="8" t="s">
        <v>155</v>
      </c>
      <c r="C96" s="8" t="s">
        <v>22</v>
      </c>
      <c r="D96" s="8" t="s">
        <v>156</v>
      </c>
      <c r="E96" s="9" t="s">
        <v>23</v>
      </c>
      <c r="F96" s="10">
        <v>10</v>
      </c>
      <c r="G96" s="11">
        <v>48.05</v>
      </c>
      <c r="H96" s="11">
        <f t="shared" si="31"/>
        <v>60.059999999999995</v>
      </c>
      <c r="I96" s="11">
        <f t="shared" si="30"/>
        <v>600.6</v>
      </c>
      <c r="J96" s="12">
        <f t="shared" si="28"/>
        <v>2.0020024835948587E-3</v>
      </c>
    </row>
    <row r="97" spans="1:10" ht="39" customHeight="1" x14ac:dyDescent="0.25">
      <c r="A97" s="8" t="s">
        <v>274</v>
      </c>
      <c r="B97" s="8" t="s">
        <v>158</v>
      </c>
      <c r="C97" s="8" t="s">
        <v>22</v>
      </c>
      <c r="D97" s="8" t="s">
        <v>159</v>
      </c>
      <c r="E97" s="9" t="s">
        <v>23</v>
      </c>
      <c r="F97" s="10">
        <v>10</v>
      </c>
      <c r="G97" s="11">
        <v>38.659999999999997</v>
      </c>
      <c r="H97" s="11">
        <f t="shared" si="31"/>
        <v>48.319999999999993</v>
      </c>
      <c r="I97" s="11">
        <f t="shared" ref="I97:I103" si="32">TRUNC(F97 * H97,2)</f>
        <v>483.2</v>
      </c>
      <c r="J97" s="12">
        <f t="shared" si="28"/>
        <v>1.6106686647902691E-3</v>
      </c>
    </row>
    <row r="98" spans="1:10" ht="24" customHeight="1" x14ac:dyDescent="0.25">
      <c r="A98" s="3">
        <v>11</v>
      </c>
      <c r="B98" s="3" t="s">
        <v>15</v>
      </c>
      <c r="C98" s="3"/>
      <c r="D98" s="3" t="s">
        <v>160</v>
      </c>
      <c r="E98" s="4"/>
      <c r="F98" s="6">
        <f>F99</f>
        <v>67</v>
      </c>
      <c r="G98" s="6">
        <f>G99</f>
        <v>5716.28</v>
      </c>
      <c r="H98" s="6">
        <f>H99</f>
        <v>7145.3000000000011</v>
      </c>
      <c r="I98" s="6">
        <f>I99</f>
        <v>11113.269999999999</v>
      </c>
      <c r="J98" s="7">
        <f t="shared" ref="J98:J110" si="33">I98 / $J$2</f>
        <v>3.7044279288811571E-2</v>
      </c>
    </row>
    <row r="99" spans="1:10" ht="24" customHeight="1" x14ac:dyDescent="0.25">
      <c r="A99" s="3" t="s">
        <v>276</v>
      </c>
      <c r="B99" s="3" t="s">
        <v>15</v>
      </c>
      <c r="C99" s="3"/>
      <c r="D99" s="3" t="s">
        <v>161</v>
      </c>
      <c r="E99" s="4"/>
      <c r="F99" s="6">
        <f>SUM(F100:F105)</f>
        <v>67</v>
      </c>
      <c r="G99" s="6">
        <f>SUM(G100:G110)</f>
        <v>5716.28</v>
      </c>
      <c r="H99" s="6">
        <f>SUM(H100:H110)</f>
        <v>7145.3000000000011</v>
      </c>
      <c r="I99" s="6">
        <f>SUM(I100:I110)</f>
        <v>11113.269999999999</v>
      </c>
      <c r="J99" s="7">
        <f t="shared" si="33"/>
        <v>3.7044279288811571E-2</v>
      </c>
    </row>
    <row r="100" spans="1:10" ht="39" customHeight="1" x14ac:dyDescent="0.25">
      <c r="A100" s="8" t="s">
        <v>277</v>
      </c>
      <c r="B100" s="8" t="s">
        <v>162</v>
      </c>
      <c r="C100" s="8" t="s">
        <v>22</v>
      </c>
      <c r="D100" s="8" t="s">
        <v>163</v>
      </c>
      <c r="E100" s="9" t="s">
        <v>23</v>
      </c>
      <c r="F100" s="10">
        <v>1</v>
      </c>
      <c r="G100" s="11">
        <v>23.97</v>
      </c>
      <c r="H100" s="11">
        <f t="shared" ref="H100:H108" si="34">(TRUNC(G100 *$J$3,2) + G100)</f>
        <v>29.96</v>
      </c>
      <c r="I100" s="11">
        <f t="shared" si="32"/>
        <v>29.96</v>
      </c>
      <c r="J100" s="12">
        <f t="shared" si="33"/>
        <v>9.9866790556946318E-5</v>
      </c>
    </row>
    <row r="101" spans="1:10" ht="39" customHeight="1" x14ac:dyDescent="0.25">
      <c r="A101" s="8" t="s">
        <v>278</v>
      </c>
      <c r="B101" s="8" t="s">
        <v>164</v>
      </c>
      <c r="C101" s="8" t="s">
        <v>22</v>
      </c>
      <c r="D101" s="8" t="s">
        <v>165</v>
      </c>
      <c r="E101" s="9" t="s">
        <v>1</v>
      </c>
      <c r="F101" s="10">
        <v>40</v>
      </c>
      <c r="G101" s="11">
        <v>26.79</v>
      </c>
      <c r="H101" s="11">
        <f t="shared" si="34"/>
        <v>33.479999999999997</v>
      </c>
      <c r="I101" s="11">
        <f t="shared" si="32"/>
        <v>1339.2</v>
      </c>
      <c r="J101" s="12">
        <f t="shared" si="33"/>
        <v>4.4640055378458781E-3</v>
      </c>
    </row>
    <row r="102" spans="1:10" ht="26.1" customHeight="1" x14ac:dyDescent="0.25">
      <c r="A102" s="8" t="s">
        <v>279</v>
      </c>
      <c r="B102" s="8" t="s">
        <v>166</v>
      </c>
      <c r="C102" s="8" t="s">
        <v>19</v>
      </c>
      <c r="D102" s="8" t="s">
        <v>167</v>
      </c>
      <c r="E102" s="9" t="s">
        <v>23</v>
      </c>
      <c r="F102" s="10">
        <v>1</v>
      </c>
      <c r="G102" s="11">
        <v>109.66</v>
      </c>
      <c r="H102" s="11">
        <f t="shared" si="34"/>
        <v>137.07</v>
      </c>
      <c r="I102" s="11">
        <f t="shared" si="32"/>
        <v>137.07</v>
      </c>
      <c r="J102" s="12">
        <f t="shared" si="33"/>
        <v>4.5690056681043495E-4</v>
      </c>
    </row>
    <row r="103" spans="1:10" ht="39" customHeight="1" x14ac:dyDescent="0.25">
      <c r="A103" s="8" t="s">
        <v>280</v>
      </c>
      <c r="B103" s="8" t="s">
        <v>168</v>
      </c>
      <c r="C103" s="8" t="s">
        <v>22</v>
      </c>
      <c r="D103" s="8" t="s">
        <v>169</v>
      </c>
      <c r="E103" s="9" t="s">
        <v>23</v>
      </c>
      <c r="F103" s="10">
        <v>5</v>
      </c>
      <c r="G103" s="11">
        <v>44.59</v>
      </c>
      <c r="H103" s="11">
        <f t="shared" si="34"/>
        <v>55.730000000000004</v>
      </c>
      <c r="I103" s="11">
        <f t="shared" si="32"/>
        <v>278.64999999999998</v>
      </c>
      <c r="J103" s="12">
        <f t="shared" si="33"/>
        <v>9.2883448560390823E-4</v>
      </c>
    </row>
    <row r="104" spans="1:10" ht="39" customHeight="1" x14ac:dyDescent="0.25">
      <c r="A104" s="8" t="s">
        <v>281</v>
      </c>
      <c r="B104" s="8" t="s">
        <v>170</v>
      </c>
      <c r="C104" s="8" t="s">
        <v>22</v>
      </c>
      <c r="D104" s="8" t="s">
        <v>171</v>
      </c>
      <c r="E104" s="9" t="s">
        <v>23</v>
      </c>
      <c r="F104" s="10">
        <v>10</v>
      </c>
      <c r="G104" s="11">
        <v>43.34</v>
      </c>
      <c r="H104" s="11">
        <f t="shared" si="34"/>
        <v>54.17</v>
      </c>
      <c r="I104" s="11">
        <f t="shared" ref="I104:I121" si="35">TRUNC(F104 * H104,2)</f>
        <v>541.70000000000005</v>
      </c>
      <c r="J104" s="12">
        <f t="shared" si="33"/>
        <v>1.8056689066988593E-3</v>
      </c>
    </row>
    <row r="105" spans="1:10" ht="39" customHeight="1" x14ac:dyDescent="0.25">
      <c r="A105" s="8" t="s">
        <v>282</v>
      </c>
      <c r="B105" s="8" t="s">
        <v>172</v>
      </c>
      <c r="C105" s="8" t="s">
        <v>22</v>
      </c>
      <c r="D105" s="8" t="s">
        <v>173</v>
      </c>
      <c r="E105" s="9" t="s">
        <v>23</v>
      </c>
      <c r="F105" s="10">
        <v>10</v>
      </c>
      <c r="G105" s="11">
        <v>32.299999999999997</v>
      </c>
      <c r="H105" s="11">
        <f t="shared" si="34"/>
        <v>40.369999999999997</v>
      </c>
      <c r="I105" s="11">
        <f t="shared" si="35"/>
        <v>403.7</v>
      </c>
      <c r="J105" s="12">
        <f t="shared" si="33"/>
        <v>1.345668336042698E-3</v>
      </c>
    </row>
    <row r="106" spans="1:10" ht="26.1" customHeight="1" x14ac:dyDescent="0.25">
      <c r="A106" s="8" t="s">
        <v>283</v>
      </c>
      <c r="B106" s="8" t="s">
        <v>174</v>
      </c>
      <c r="C106" s="8" t="s">
        <v>22</v>
      </c>
      <c r="D106" s="8" t="s">
        <v>175</v>
      </c>
      <c r="E106" s="9" t="s">
        <v>23</v>
      </c>
      <c r="F106" s="10">
        <v>1</v>
      </c>
      <c r="G106" s="11">
        <v>13.4</v>
      </c>
      <c r="H106" s="11">
        <f t="shared" si="34"/>
        <v>16.75</v>
      </c>
      <c r="I106" s="11">
        <f t="shared" si="35"/>
        <v>16.75</v>
      </c>
      <c r="J106" s="12">
        <f t="shared" si="33"/>
        <v>5.5833402597758705E-5</v>
      </c>
    </row>
    <row r="107" spans="1:10" ht="26.1" customHeight="1" x14ac:dyDescent="0.25">
      <c r="A107" s="8" t="s">
        <v>284</v>
      </c>
      <c r="B107" s="8" t="s">
        <v>176</v>
      </c>
      <c r="C107" s="8" t="s">
        <v>22</v>
      </c>
      <c r="D107" s="8" t="s">
        <v>177</v>
      </c>
      <c r="E107" s="9" t="s">
        <v>23</v>
      </c>
      <c r="F107" s="10">
        <v>1</v>
      </c>
      <c r="G107" s="11">
        <v>68.67</v>
      </c>
      <c r="H107" s="11">
        <f t="shared" si="34"/>
        <v>85.83</v>
      </c>
      <c r="I107" s="11">
        <f t="shared" si="35"/>
        <v>85.83</v>
      </c>
      <c r="J107" s="12">
        <f t="shared" si="33"/>
        <v>2.8610035492332116E-4</v>
      </c>
    </row>
    <row r="108" spans="1:10" ht="51.95" customHeight="1" x14ac:dyDescent="0.25">
      <c r="A108" s="8" t="s">
        <v>285</v>
      </c>
      <c r="B108" s="8" t="s">
        <v>178</v>
      </c>
      <c r="C108" s="8" t="s">
        <v>22</v>
      </c>
      <c r="D108" s="8" t="s">
        <v>179</v>
      </c>
      <c r="E108" s="9" t="s">
        <v>1</v>
      </c>
      <c r="F108" s="10">
        <v>40</v>
      </c>
      <c r="G108" s="11">
        <v>32.590000000000003</v>
      </c>
      <c r="H108" s="11">
        <f t="shared" si="34"/>
        <v>40.730000000000004</v>
      </c>
      <c r="I108" s="11">
        <f t="shared" si="35"/>
        <v>1629.2</v>
      </c>
      <c r="J108" s="12">
        <f t="shared" si="33"/>
        <v>5.4306734037175217E-3</v>
      </c>
    </row>
    <row r="109" spans="1:10" ht="26.1" customHeight="1" x14ac:dyDescent="0.25">
      <c r="A109" s="8" t="s">
        <v>286</v>
      </c>
      <c r="B109" s="8" t="s">
        <v>180</v>
      </c>
      <c r="C109" s="8" t="s">
        <v>22</v>
      </c>
      <c r="D109" s="8" t="s">
        <v>181</v>
      </c>
      <c r="E109" s="9" t="s">
        <v>23</v>
      </c>
      <c r="F109" s="10">
        <v>1</v>
      </c>
      <c r="G109" s="11">
        <v>5277.76</v>
      </c>
      <c r="H109" s="11">
        <f t="shared" ref="H109:H110" si="36">(TRUNC(G109 *$J$3,2) + G109)</f>
        <v>6597.2000000000007</v>
      </c>
      <c r="I109" s="11">
        <f t="shared" si="35"/>
        <v>6597.2</v>
      </c>
      <c r="J109" s="12">
        <f t="shared" si="33"/>
        <v>2.1990693947339327E-2</v>
      </c>
    </row>
    <row r="110" spans="1:10" ht="24" customHeight="1" x14ac:dyDescent="0.25">
      <c r="A110" s="8" t="s">
        <v>287</v>
      </c>
      <c r="B110" s="8" t="s">
        <v>182</v>
      </c>
      <c r="C110" s="8" t="s">
        <v>19</v>
      </c>
      <c r="D110" s="8" t="s">
        <v>183</v>
      </c>
      <c r="E110" s="9" t="s">
        <v>23</v>
      </c>
      <c r="F110" s="10">
        <v>1</v>
      </c>
      <c r="G110" s="11">
        <v>43.21</v>
      </c>
      <c r="H110" s="11">
        <f t="shared" si="36"/>
        <v>54.010000000000005</v>
      </c>
      <c r="I110" s="11">
        <f t="shared" si="35"/>
        <v>54.01</v>
      </c>
      <c r="J110" s="12">
        <f t="shared" si="33"/>
        <v>1.8003355667492224E-4</v>
      </c>
    </row>
    <row r="111" spans="1:10" ht="24" customHeight="1" x14ac:dyDescent="0.25">
      <c r="A111" s="3">
        <v>12</v>
      </c>
      <c r="B111" s="3" t="s">
        <v>15</v>
      </c>
      <c r="C111" s="3"/>
      <c r="D111" s="3" t="s">
        <v>184</v>
      </c>
      <c r="E111" s="4"/>
      <c r="F111" s="6">
        <f>F112</f>
        <v>8</v>
      </c>
      <c r="G111" s="6">
        <f>G112</f>
        <v>65.7</v>
      </c>
      <c r="H111" s="6">
        <f>H112</f>
        <v>82.12</v>
      </c>
      <c r="I111" s="6">
        <f>I112+I114</f>
        <v>5248.4000000000005</v>
      </c>
      <c r="J111" s="7">
        <f t="shared" ref="J111:J113" si="37">I111 / $J$2</f>
        <v>1.7494688369795633E-2</v>
      </c>
    </row>
    <row r="112" spans="1:10" ht="24" customHeight="1" x14ac:dyDescent="0.25">
      <c r="A112" s="3" t="s">
        <v>275</v>
      </c>
      <c r="B112" s="3" t="s">
        <v>15</v>
      </c>
      <c r="C112" s="3"/>
      <c r="D112" s="3" t="s">
        <v>260</v>
      </c>
      <c r="E112" s="4"/>
      <c r="F112" s="6">
        <f>SUM(F113)</f>
        <v>8</v>
      </c>
      <c r="G112" s="6">
        <f>SUM(G113)</f>
        <v>65.7</v>
      </c>
      <c r="H112" s="6">
        <f>SUM(H113)</f>
        <v>82.12</v>
      </c>
      <c r="I112" s="6">
        <f>SUM(I113)</f>
        <v>656.96</v>
      </c>
      <c r="J112" s="7">
        <f t="shared" si="37"/>
        <v>2.1898693833208097E-3</v>
      </c>
    </row>
    <row r="113" spans="1:10" ht="26.1" customHeight="1" x14ac:dyDescent="0.25">
      <c r="A113" s="8" t="s">
        <v>288</v>
      </c>
      <c r="B113" s="8" t="s">
        <v>185</v>
      </c>
      <c r="C113" s="8" t="s">
        <v>19</v>
      </c>
      <c r="D113" s="8" t="s">
        <v>186</v>
      </c>
      <c r="E113" s="9" t="s">
        <v>23</v>
      </c>
      <c r="F113" s="10">
        <v>8</v>
      </c>
      <c r="G113" s="11">
        <v>65.7</v>
      </c>
      <c r="H113" s="11">
        <f t="shared" ref="H113:H118" si="38">(TRUNC(G113 *$J$3,2) + G113)</f>
        <v>82.12</v>
      </c>
      <c r="I113" s="11">
        <f t="shared" si="35"/>
        <v>656.96</v>
      </c>
      <c r="J113" s="12">
        <f t="shared" si="37"/>
        <v>2.1898693833208097E-3</v>
      </c>
    </row>
    <row r="114" spans="1:10" ht="26.1" customHeight="1" x14ac:dyDescent="0.25">
      <c r="A114" s="3" t="s">
        <v>289</v>
      </c>
      <c r="B114" s="3" t="s">
        <v>15</v>
      </c>
      <c r="C114" s="3"/>
      <c r="D114" s="3" t="s">
        <v>261</v>
      </c>
      <c r="E114" s="4"/>
      <c r="F114" s="5">
        <f>SUM(F115:F118)</f>
        <v>82</v>
      </c>
      <c r="G114" s="6">
        <f>SUM(G115:G118)</f>
        <v>224.63</v>
      </c>
      <c r="H114" s="6">
        <f>SUM(H115:H118)</f>
        <v>280.77</v>
      </c>
      <c r="I114" s="6">
        <f>SUM(I115:I118)</f>
        <v>4591.4400000000005</v>
      </c>
      <c r="J114" s="7">
        <f>I114 / $J$2</f>
        <v>1.5304818986474822E-2</v>
      </c>
    </row>
    <row r="115" spans="1:10" ht="26.1" customHeight="1" x14ac:dyDescent="0.25">
      <c r="A115" s="8" t="s">
        <v>290</v>
      </c>
      <c r="B115" s="8">
        <v>59260</v>
      </c>
      <c r="C115" s="8" t="s">
        <v>19</v>
      </c>
      <c r="D115" s="8" t="s">
        <v>262</v>
      </c>
      <c r="E115" s="9" t="s">
        <v>157</v>
      </c>
      <c r="F115" s="10">
        <v>40</v>
      </c>
      <c r="G115" s="11">
        <v>53.34</v>
      </c>
      <c r="H115" s="11">
        <f t="shared" si="38"/>
        <v>66.67</v>
      </c>
      <c r="I115" s="11">
        <f t="shared" si="35"/>
        <v>2666.8</v>
      </c>
      <c r="J115" s="12">
        <f t="shared" ref="J115:J118" si="39">I115 / $J$2</f>
        <v>8.8893443610568914E-3</v>
      </c>
    </row>
    <row r="116" spans="1:10" ht="26.1" customHeight="1" x14ac:dyDescent="0.25">
      <c r="A116" s="8" t="s">
        <v>291</v>
      </c>
      <c r="B116" s="8">
        <v>63464</v>
      </c>
      <c r="C116" s="8" t="s">
        <v>19</v>
      </c>
      <c r="D116" s="8" t="s">
        <v>264</v>
      </c>
      <c r="E116" s="9" t="s">
        <v>157</v>
      </c>
      <c r="F116" s="10">
        <v>40</v>
      </c>
      <c r="G116" s="11">
        <v>35.090000000000003</v>
      </c>
      <c r="H116" s="11">
        <f t="shared" si="38"/>
        <v>43.86</v>
      </c>
      <c r="I116" s="11">
        <f t="shared" si="35"/>
        <v>1754.4</v>
      </c>
      <c r="J116" s="12">
        <f t="shared" si="39"/>
        <v>5.8480072547765901E-3</v>
      </c>
    </row>
    <row r="117" spans="1:10" ht="26.1" customHeight="1" x14ac:dyDescent="0.25">
      <c r="A117" s="8" t="s">
        <v>292</v>
      </c>
      <c r="B117" s="8">
        <v>67002</v>
      </c>
      <c r="C117" s="8" t="s">
        <v>19</v>
      </c>
      <c r="D117" s="8" t="s">
        <v>265</v>
      </c>
      <c r="E117" s="9" t="s">
        <v>20</v>
      </c>
      <c r="F117" s="10">
        <v>1</v>
      </c>
      <c r="G117" s="11">
        <v>35.57</v>
      </c>
      <c r="H117" s="11">
        <f t="shared" si="38"/>
        <v>44.46</v>
      </c>
      <c r="I117" s="11">
        <f t="shared" si="35"/>
        <v>44.46</v>
      </c>
      <c r="J117" s="12">
        <f t="shared" si="39"/>
        <v>1.4820018385052849E-4</v>
      </c>
    </row>
    <row r="118" spans="1:10" ht="26.1" customHeight="1" x14ac:dyDescent="0.25">
      <c r="A118" s="8" t="s">
        <v>293</v>
      </c>
      <c r="B118" s="8">
        <v>23316</v>
      </c>
      <c r="C118" s="8" t="s">
        <v>19</v>
      </c>
      <c r="D118" s="8" t="s">
        <v>263</v>
      </c>
      <c r="E118" s="9" t="s">
        <v>266</v>
      </c>
      <c r="F118" s="10">
        <v>1</v>
      </c>
      <c r="G118" s="11">
        <v>100.63</v>
      </c>
      <c r="H118" s="11">
        <f t="shared" si="38"/>
        <v>125.78</v>
      </c>
      <c r="I118" s="11">
        <f t="shared" si="35"/>
        <v>125.78</v>
      </c>
      <c r="J118" s="12">
        <f t="shared" si="39"/>
        <v>4.1926718679081136E-4</v>
      </c>
    </row>
    <row r="119" spans="1:10" ht="24" customHeight="1" x14ac:dyDescent="0.25">
      <c r="A119" s="3">
        <v>13</v>
      </c>
      <c r="B119" s="3" t="s">
        <v>15</v>
      </c>
      <c r="C119" s="3"/>
      <c r="D119" s="3" t="s">
        <v>187</v>
      </c>
      <c r="E119" s="4"/>
      <c r="F119" s="6">
        <f t="shared" ref="F119:I120" si="40">F120</f>
        <v>200</v>
      </c>
      <c r="G119" s="6">
        <f t="shared" si="40"/>
        <v>190.42</v>
      </c>
      <c r="H119" s="6">
        <f t="shared" si="40"/>
        <v>238.01999999999998</v>
      </c>
      <c r="I119" s="6">
        <f t="shared" si="40"/>
        <v>47604</v>
      </c>
      <c r="J119" s="7">
        <f t="shared" ref="J119" si="41">I119 / $J$2</f>
        <v>0.15868019685156451</v>
      </c>
    </row>
    <row r="120" spans="1:10" ht="26.1" customHeight="1" x14ac:dyDescent="0.25">
      <c r="A120" s="3" t="s">
        <v>294</v>
      </c>
      <c r="B120" s="3" t="s">
        <v>15</v>
      </c>
      <c r="C120" s="3"/>
      <c r="D120" s="3" t="s">
        <v>267</v>
      </c>
      <c r="E120" s="4"/>
      <c r="F120" s="5">
        <f t="shared" si="40"/>
        <v>200</v>
      </c>
      <c r="G120" s="6">
        <f t="shared" si="40"/>
        <v>190.42</v>
      </c>
      <c r="H120" s="6">
        <f t="shared" si="40"/>
        <v>238.01999999999998</v>
      </c>
      <c r="I120" s="6">
        <f t="shared" si="40"/>
        <v>47604</v>
      </c>
      <c r="J120" s="7">
        <f>I120 / $J$2</f>
        <v>0.15868019685156451</v>
      </c>
    </row>
    <row r="121" spans="1:10" ht="26.1" customHeight="1" x14ac:dyDescent="0.25">
      <c r="A121" s="8" t="s">
        <v>295</v>
      </c>
      <c r="B121" s="8">
        <v>98522</v>
      </c>
      <c r="C121" s="8" t="s">
        <v>22</v>
      </c>
      <c r="D121" s="8" t="s">
        <v>192</v>
      </c>
      <c r="E121" s="9" t="s">
        <v>157</v>
      </c>
      <c r="F121" s="10">
        <v>200</v>
      </c>
      <c r="G121" s="11">
        <v>190.42</v>
      </c>
      <c r="H121" s="11">
        <f>(TRUNC(G121 *J3,2) + G121)</f>
        <v>238.01999999999998</v>
      </c>
      <c r="I121" s="11">
        <f t="shared" si="35"/>
        <v>47604</v>
      </c>
      <c r="J121" s="12">
        <f t="shared" ref="J121" si="42">I121 / $J$2</f>
        <v>0.15868019685156451</v>
      </c>
    </row>
    <row r="122" spans="1:10" x14ac:dyDescent="0.25">
      <c r="A122" s="18"/>
      <c r="B122" s="17"/>
      <c r="C122" s="17"/>
      <c r="D122" s="17"/>
      <c r="E122" s="17"/>
      <c r="F122" s="17"/>
      <c r="G122" s="17"/>
      <c r="H122" s="17"/>
      <c r="I122" s="17"/>
      <c r="J122" s="17"/>
    </row>
    <row r="123" spans="1:10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</row>
    <row r="124" spans="1:10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</row>
    <row r="125" spans="1:10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</row>
    <row r="126" spans="1:10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</row>
    <row r="127" spans="1:10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</row>
    <row r="128" spans="1:10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</row>
    <row r="129" spans="1:10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</row>
    <row r="130" spans="1:10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</row>
    <row r="131" spans="1:10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</row>
    <row r="132" spans="1:10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</row>
    <row r="133" spans="1:10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</row>
    <row r="134" spans="1:10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</row>
    <row r="135" spans="1:10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</row>
    <row r="136" spans="1:10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</row>
    <row r="137" spans="1:10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</row>
    <row r="138" spans="1:10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</row>
    <row r="139" spans="1:10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</row>
    <row r="140" spans="1:10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</row>
    <row r="141" spans="1:10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</row>
    <row r="142" spans="1:10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</row>
    <row r="143" spans="1:10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</row>
    <row r="144" spans="1:10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</row>
    <row r="145" spans="1:10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</row>
    <row r="146" spans="1:10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</row>
    <row r="147" spans="1:10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</row>
    <row r="148" spans="1:10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</row>
    <row r="149" spans="1:10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</row>
    <row r="150" spans="1:10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</row>
    <row r="151" spans="1:10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</row>
    <row r="152" spans="1:10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</row>
    <row r="153" spans="1:10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</row>
    <row r="154" spans="1:10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</row>
    <row r="155" spans="1:10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</row>
    <row r="156" spans="1:10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</row>
    <row r="157" spans="1:10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</row>
    <row r="158" spans="1:10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</row>
    <row r="159" spans="1:10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</row>
    <row r="160" spans="1:10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</row>
    <row r="161" spans="1:10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</row>
    <row r="162" spans="1:10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</row>
    <row r="163" spans="1:10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</row>
    <row r="164" spans="1:10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</row>
    <row r="165" spans="1:10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</row>
    <row r="166" spans="1:10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</row>
    <row r="167" spans="1:10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</row>
    <row r="168" spans="1:10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</row>
    <row r="169" spans="1:10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</row>
    <row r="170" spans="1:10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</row>
    <row r="171" spans="1:10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</row>
    <row r="172" spans="1:10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</row>
    <row r="173" spans="1:10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</row>
    <row r="174" spans="1:10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</row>
    <row r="175" spans="1:10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</row>
    <row r="176" spans="1:10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</row>
    <row r="177" spans="1:10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</row>
    <row r="178" spans="1:10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</row>
    <row r="179" spans="1:10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</row>
    <row r="180" spans="1:10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</row>
    <row r="181" spans="1:10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</row>
    <row r="182" spans="1:10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</row>
    <row r="183" spans="1:10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</row>
    <row r="184" spans="1:10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</row>
    <row r="185" spans="1:10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</row>
    <row r="186" spans="1:10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</row>
    <row r="187" spans="1:10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</row>
    <row r="188" spans="1:10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</row>
    <row r="189" spans="1:10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</row>
    <row r="190" spans="1:10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</row>
    <row r="191" spans="1:10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</row>
    <row r="192" spans="1:10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</row>
    <row r="193" spans="1:10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</row>
    <row r="194" spans="1:10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</row>
    <row r="195" spans="1:10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</row>
    <row r="196" spans="1:10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</row>
    <row r="197" spans="1:10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</row>
    <row r="198" spans="1:10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</row>
    <row r="199" spans="1:10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</row>
    <row r="200" spans="1:10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</row>
    <row r="201" spans="1:10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</row>
    <row r="202" spans="1:10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</row>
    <row r="203" spans="1:10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</row>
    <row r="204" spans="1:10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</row>
    <row r="205" spans="1:10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</row>
    <row r="206" spans="1:10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</row>
    <row r="207" spans="1:10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</row>
    <row r="208" spans="1:10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</row>
    <row r="209" spans="1:10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</row>
    <row r="210" spans="1:10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</row>
    <row r="211" spans="1:10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</row>
    <row r="212" spans="1:10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</row>
    <row r="213" spans="1:10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</row>
    <row r="214" spans="1:10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</row>
    <row r="215" spans="1:10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</row>
    <row r="216" spans="1:10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</row>
    <row r="217" spans="1:10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</row>
    <row r="218" spans="1:10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</row>
    <row r="219" spans="1:10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</row>
    <row r="220" spans="1:10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</row>
    <row r="221" spans="1:10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</row>
    <row r="222" spans="1:10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</row>
    <row r="223" spans="1:10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</row>
    <row r="224" spans="1:10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</row>
    <row r="225" spans="1:10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</row>
    <row r="226" spans="1:10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</row>
    <row r="227" spans="1:10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</row>
    <row r="228" spans="1:10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</row>
    <row r="229" spans="1:10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</row>
    <row r="230" spans="1:10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</row>
    <row r="231" spans="1:10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</row>
    <row r="232" spans="1:10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</row>
    <row r="233" spans="1:10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</row>
    <row r="234" spans="1:10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</row>
    <row r="235" spans="1:10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</row>
    <row r="236" spans="1:10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</row>
  </sheetData>
  <mergeCells count="3">
    <mergeCell ref="A1:J1"/>
    <mergeCell ref="A2:I2"/>
    <mergeCell ref="A3:I3"/>
  </mergeCells>
  <pageMargins left="0.511811024" right="0.511811024" top="0.78740157499999996" bottom="0.78740157499999996" header="0.31496062000000002" footer="0.31496062000000002"/>
  <pageSetup paperSize="9" scale="63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Afonso Ribeiro</dc:creator>
  <cp:lastModifiedBy>user</cp:lastModifiedBy>
  <cp:lastPrinted>2025-11-26T18:49:38Z</cp:lastPrinted>
  <dcterms:created xsi:type="dcterms:W3CDTF">2025-08-25T12:02:58Z</dcterms:created>
  <dcterms:modified xsi:type="dcterms:W3CDTF">2025-11-27T13:52:53Z</dcterms:modified>
</cp:coreProperties>
</file>