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ster_srv\Licitações\Licitações\2026\Licitações 2026\47 - Pregão Eletrônico 18 - Terceirização Educação\Documentos atualizados 08.04.26\"/>
    </mc:Choice>
  </mc:AlternateContent>
  <xr:revisionPtr revIDLastSave="0" documentId="13_ncr:1_{FB315549-C2B3-4BAF-A55C-5B1DE9D5CD14}" xr6:coauthVersionLast="47" xr6:coauthVersionMax="47" xr10:uidLastSave="{00000000-0000-0000-0000-000000000000}"/>
  <bookViews>
    <workbookView xWindow="-120" yWindow="-120" windowWidth="21840" windowHeight="13140" tabRatio="887" activeTab="1" xr2:uid="{00000000-000D-0000-FFFF-FFFF00000000}"/>
  </bookViews>
  <sheets>
    <sheet name="MONITOR DE ALUNOS" sheetId="19" r:id="rId1"/>
    <sheet name="COZINHEIRA" sheetId="20" r:id="rId2"/>
    <sheet name="DR Anterior" sheetId="18" state="hidden" r:id="rId3"/>
  </sheets>
  <calcPr calcId="191029"/>
</workbook>
</file>

<file path=xl/calcChain.xml><?xml version="1.0" encoding="utf-8"?>
<calcChain xmlns="http://schemas.openxmlformats.org/spreadsheetml/2006/main">
  <c r="C86" i="20" l="1"/>
  <c r="D103" i="20"/>
  <c r="C86" i="19"/>
  <c r="D103" i="19"/>
  <c r="C85" i="20"/>
  <c r="D74" i="20"/>
  <c r="C61" i="20"/>
  <c r="C59" i="20"/>
  <c r="C64" i="20" s="1"/>
  <c r="C55" i="20"/>
  <c r="C41" i="20"/>
  <c r="C42" i="20" s="1"/>
  <c r="C37" i="20"/>
  <c r="C46" i="20" s="1"/>
  <c r="D74" i="19"/>
  <c r="C55" i="19"/>
  <c r="C85" i="19"/>
  <c r="C56" i="20" l="1"/>
  <c r="C47" i="20"/>
  <c r="C65" i="20"/>
  <c r="C43" i="20"/>
  <c r="C57" i="20"/>
  <c r="C66" i="20" l="1"/>
  <c r="C67" i="20" s="1"/>
  <c r="D21" i="20"/>
  <c r="D24" i="20" s="1"/>
  <c r="D63" i="20" l="1"/>
  <c r="D61" i="20"/>
  <c r="D60" i="20"/>
  <c r="D54" i="20"/>
  <c r="D52" i="20"/>
  <c r="D50" i="20"/>
  <c r="D45" i="20"/>
  <c r="D39" i="20"/>
  <c r="D36" i="20"/>
  <c r="D34" i="20"/>
  <c r="D32" i="20"/>
  <c r="D30" i="20"/>
  <c r="D62" i="20"/>
  <c r="D53" i="20"/>
  <c r="D51" i="20"/>
  <c r="D49" i="20"/>
  <c r="D40" i="20"/>
  <c r="D35" i="20"/>
  <c r="D33" i="20"/>
  <c r="D31" i="20"/>
  <c r="D29" i="20"/>
  <c r="D42" i="20"/>
  <c r="D59" i="20"/>
  <c r="D46" i="20"/>
  <c r="D65" i="20"/>
  <c r="D56" i="20"/>
  <c r="D57" i="20" l="1"/>
  <c r="D37" i="20"/>
  <c r="D43" i="20"/>
  <c r="D66" i="20"/>
  <c r="D47" i="20"/>
  <c r="C41" i="19"/>
  <c r="D67" i="20" l="1"/>
  <c r="D75" i="20" s="1"/>
  <c r="D21" i="19"/>
  <c r="D24" i="19" s="1"/>
  <c r="D60" i="19" s="1"/>
  <c r="B85" i="20" l="1"/>
  <c r="D85" i="20" s="1"/>
  <c r="D86" i="20" s="1"/>
  <c r="D87" i="20" s="1"/>
  <c r="D89" i="20" s="1"/>
  <c r="D78" i="20"/>
  <c r="D29" i="19"/>
  <c r="D51" i="19"/>
  <c r="D49" i="19"/>
  <c r="D50" i="19"/>
  <c r="D53" i="19"/>
  <c r="D52" i="19"/>
  <c r="D54" i="19"/>
  <c r="D39" i="19"/>
  <c r="D62" i="19"/>
  <c r="D45" i="19"/>
  <c r="D36" i="19"/>
  <c r="D34" i="19"/>
  <c r="D32" i="19"/>
  <c r="D30" i="19"/>
  <c r="D40" i="19"/>
  <c r="D35" i="19"/>
  <c r="D33" i="19"/>
  <c r="D31" i="19"/>
  <c r="D63" i="19"/>
  <c r="C61" i="19"/>
  <c r="D61" i="19" s="1"/>
  <c r="C59" i="19"/>
  <c r="D59" i="19" s="1"/>
  <c r="C37" i="19"/>
  <c r="C56" i="19" s="1"/>
  <c r="B50" i="18"/>
  <c r="B52" i="18"/>
  <c r="B70" i="18" s="1"/>
  <c r="N39" i="18"/>
  <c r="R43" i="18" s="1"/>
  <c r="N36" i="18"/>
  <c r="L39" i="18"/>
  <c r="L36" i="18"/>
  <c r="L38" i="18" s="1"/>
  <c r="B57" i="18" s="1"/>
  <c r="B61" i="18" s="1"/>
  <c r="B71" i="18" s="1"/>
  <c r="W35" i="18"/>
  <c r="M35" i="18"/>
  <c r="AA35" i="18" s="1"/>
  <c r="AB35" i="18" s="1"/>
  <c r="W34" i="18"/>
  <c r="M34" i="18"/>
  <c r="T34" i="18" s="1"/>
  <c r="AA34" i="18"/>
  <c r="Z31" i="18"/>
  <c r="W31" i="18"/>
  <c r="M31" i="18"/>
  <c r="AA31" i="18" s="1"/>
  <c r="AB31" i="18" s="1"/>
  <c r="Z29" i="18"/>
  <c r="W29" i="18"/>
  <c r="M29" i="18"/>
  <c r="Z24" i="18"/>
  <c r="W24" i="18"/>
  <c r="M24" i="18"/>
  <c r="Z19" i="18"/>
  <c r="W19" i="18"/>
  <c r="M19" i="18"/>
  <c r="AA19" i="18" s="1"/>
  <c r="AB19" i="18" s="1"/>
  <c r="Z15" i="18"/>
  <c r="W15" i="18"/>
  <c r="M15" i="18"/>
  <c r="AA15" i="18" s="1"/>
  <c r="AB15" i="18" s="1"/>
  <c r="Z12" i="18"/>
  <c r="W12" i="18"/>
  <c r="M12" i="18"/>
  <c r="T12" i="18" s="1"/>
  <c r="Z10" i="18"/>
  <c r="W10" i="18"/>
  <c r="M10" i="18"/>
  <c r="AA10" i="18"/>
  <c r="AB10" i="18" s="1"/>
  <c r="Z8" i="18"/>
  <c r="W8" i="18"/>
  <c r="M8" i="18"/>
  <c r="D3" i="18"/>
  <c r="O17" i="18" s="1"/>
  <c r="J2" i="18"/>
  <c r="AA8" i="18"/>
  <c r="T8" i="18"/>
  <c r="T35" i="18"/>
  <c r="AA24" i="18"/>
  <c r="O31" i="18"/>
  <c r="O13" i="18"/>
  <c r="O10" i="18"/>
  <c r="O23" i="18"/>
  <c r="O9" i="18"/>
  <c r="T24" i="18"/>
  <c r="AB8" i="18"/>
  <c r="Z36" i="18"/>
  <c r="Z38" i="18" s="1"/>
  <c r="AB34" i="18"/>
  <c r="AB24" i="18"/>
  <c r="O26" i="18"/>
  <c r="O15" i="18"/>
  <c r="D56" i="19" l="1"/>
  <c r="C57" i="19"/>
  <c r="D57" i="19"/>
  <c r="C42" i="19"/>
  <c r="D37" i="19"/>
  <c r="L53" i="18"/>
  <c r="C64" i="19"/>
  <c r="C65" i="19" s="1"/>
  <c r="C46" i="19"/>
  <c r="O28" i="18"/>
  <c r="O24" i="18"/>
  <c r="O32" i="18"/>
  <c r="O14" i="18"/>
  <c r="O30" i="18"/>
  <c r="O34" i="18"/>
  <c r="O11" i="18"/>
  <c r="O16" i="18"/>
  <c r="O22" i="18"/>
  <c r="O33" i="18"/>
  <c r="AA29" i="18"/>
  <c r="AB29" i="18" s="1"/>
  <c r="O25" i="18"/>
  <c r="O29" i="18"/>
  <c r="O21" i="18"/>
  <c r="O19" i="18"/>
  <c r="AA12" i="18"/>
  <c r="AB12" i="18" s="1"/>
  <c r="O12" i="18"/>
  <c r="O8" i="18"/>
  <c r="O18" i="18"/>
  <c r="O20" i="18"/>
  <c r="O27" i="18"/>
  <c r="O35" i="18"/>
  <c r="C66" i="19" l="1"/>
  <c r="D65" i="19"/>
  <c r="D66" i="19" s="1"/>
  <c r="C47" i="19"/>
  <c r="D46" i="19"/>
  <c r="D47" i="19" s="1"/>
  <c r="C43" i="19"/>
  <c r="C67" i="19" s="1"/>
  <c r="D42" i="19"/>
  <c r="D43" i="19" s="1"/>
  <c r="D67" i="19" s="1"/>
  <c r="D75" i="19" s="1"/>
  <c r="AA36" i="18"/>
  <c r="O36" i="18"/>
  <c r="J3" i="18" s="1"/>
  <c r="J4" i="18" s="1"/>
  <c r="D2" i="18" s="1"/>
  <c r="P31" i="18" l="1"/>
  <c r="P29" i="18"/>
  <c r="P22" i="18"/>
  <c r="P33" i="18"/>
  <c r="P18" i="18"/>
  <c r="P19" i="18"/>
  <c r="P21" i="18"/>
  <c r="P28" i="18"/>
  <c r="P30" i="18"/>
  <c r="P13" i="18"/>
  <c r="P17" i="18"/>
  <c r="P35" i="18"/>
  <c r="Q35" i="18" s="1"/>
  <c r="R35" i="18" s="1"/>
  <c r="S35" i="18" s="1"/>
  <c r="P32" i="18"/>
  <c r="P16" i="18"/>
  <c r="P14" i="18"/>
  <c r="P25" i="18"/>
  <c r="P11" i="18"/>
  <c r="P34" i="18"/>
  <c r="Q34" i="18" s="1"/>
  <c r="R34" i="18" s="1"/>
  <c r="S34" i="18" s="1"/>
  <c r="P26" i="18"/>
  <c r="P15" i="18"/>
  <c r="P20" i="18"/>
  <c r="P23" i="18"/>
  <c r="P12" i="18"/>
  <c r="P10" i="18"/>
  <c r="Q10" i="18" s="1"/>
  <c r="R10" i="18" s="1"/>
  <c r="S10" i="18" s="1"/>
  <c r="X10" i="18" s="1"/>
  <c r="P9" i="18"/>
  <c r="P24" i="18"/>
  <c r="Q24" i="18" s="1"/>
  <c r="R24" i="18" s="1"/>
  <c r="S24" i="18" s="1"/>
  <c r="P27" i="18"/>
  <c r="P8" i="18"/>
  <c r="AA38" i="18"/>
  <c r="AB36" i="18"/>
  <c r="AB38" i="18" s="1"/>
  <c r="Q29" i="18" l="1"/>
  <c r="R29" i="18" s="1"/>
  <c r="S29" i="18" s="1"/>
  <c r="Q19" i="18"/>
  <c r="R19" i="18" s="1"/>
  <c r="S19" i="18" s="1"/>
  <c r="X19" i="18" s="1"/>
  <c r="Q31" i="18"/>
  <c r="R31" i="18" s="1"/>
  <c r="S31" i="18" s="1"/>
  <c r="U24" i="18" s="1"/>
  <c r="Q15" i="18"/>
  <c r="R15" i="18" s="1"/>
  <c r="S15" i="18" s="1"/>
  <c r="X15" i="18" s="1"/>
  <c r="P36" i="18"/>
  <c r="P37" i="18" s="1"/>
  <c r="Q8" i="18"/>
  <c r="R8" i="18" s="1"/>
  <c r="S8" i="18" s="1"/>
  <c r="Q12" i="18"/>
  <c r="R12" i="18" s="1"/>
  <c r="S12" i="18" s="1"/>
  <c r="D78" i="19" l="1"/>
  <c r="B85" i="19"/>
  <c r="D85" i="19" s="1"/>
  <c r="D86" i="19" s="1"/>
  <c r="D87" i="19" s="1"/>
  <c r="D89" i="19" s="1"/>
  <c r="X8" i="18"/>
  <c r="U8" i="18"/>
  <c r="P53" i="18"/>
  <c r="P70" i="18" s="1"/>
  <c r="X12" i="18"/>
  <c r="U12" i="18"/>
  <c r="P50" i="18" l="1"/>
  <c r="P65" i="18" s="1"/>
  <c r="P47" i="18"/>
  <c r="P60" i="18" s="1"/>
</calcChain>
</file>

<file path=xl/sharedStrings.xml><?xml version="1.0" encoding="utf-8"?>
<sst xmlns="http://schemas.openxmlformats.org/spreadsheetml/2006/main" count="339" uniqueCount="200">
  <si>
    <t>CUSTO POR FUNCIONÁRIO</t>
  </si>
  <si>
    <t>%</t>
  </si>
  <si>
    <t>Valor</t>
  </si>
  <si>
    <t xml:space="preserve">    Módulo 1 – COMPOSIÇÃO DA REMUNERAÇÃO </t>
  </si>
  <si>
    <t>TOTAL DA REMUNERAÇÃO</t>
  </si>
  <si>
    <t xml:space="preserve">    Módulo 2 - ENCARGOS SOCIAIS E TRABALHISTAS</t>
  </si>
  <si>
    <t xml:space="preserve">    Submódulo 2.1 – Encargos Previdenciários e FGTS</t>
  </si>
  <si>
    <t xml:space="preserve">    A - INSS</t>
  </si>
  <si>
    <t xml:space="preserve">    B - FGTS</t>
  </si>
  <si>
    <t xml:space="preserve">    C - SESI ou SESC</t>
  </si>
  <si>
    <t xml:space="preserve">    D - SENAI ou SENAC</t>
  </si>
  <si>
    <t xml:space="preserve">    E - INCRA</t>
  </si>
  <si>
    <t xml:space="preserve">    F - SEBRAE</t>
  </si>
  <si>
    <t xml:space="preserve">    G - Salário Educação</t>
  </si>
  <si>
    <t xml:space="preserve">    H - RAT</t>
  </si>
  <si>
    <t xml:space="preserve">   Total do Submódulo 2.1</t>
  </si>
  <si>
    <t xml:space="preserve">    Submódulo 2.2 – 13º Salário e Adicional de Férias</t>
  </si>
  <si>
    <t xml:space="preserve">    A – 13º Salário</t>
  </si>
  <si>
    <t xml:space="preserve">    B – Adicional de Férias (terço Constitucional)</t>
  </si>
  <si>
    <t>Subtotal</t>
  </si>
  <si>
    <t xml:space="preserve">    C – Incidência do Submódulo 2.1 sobre o 13º Salário e Adicional de Férias</t>
  </si>
  <si>
    <t xml:space="preserve">   Total do Submódulo 2.2</t>
  </si>
  <si>
    <t xml:space="preserve">    Submódulo 2.3 – Afastamento Maternidade</t>
  </si>
  <si>
    <t xml:space="preserve">    A – Afastamento Maternidade</t>
  </si>
  <si>
    <t xml:space="preserve">    B – Incidência do Submódulo 2.1 sobre o Afastamento Maternidade</t>
  </si>
  <si>
    <t xml:space="preserve">   Total do Submódulo 2.3</t>
  </si>
  <si>
    <t xml:space="preserve">    Submódulo 2.4 – Provisão para Rescisão</t>
  </si>
  <si>
    <t xml:space="preserve">    A - Aviso Prévio Indenizado</t>
  </si>
  <si>
    <t xml:space="preserve">   Total do Submódulo 2.4</t>
  </si>
  <si>
    <t xml:space="preserve">    Submódulo 2.5 – Custo de Reposição do Profissional Ausente</t>
  </si>
  <si>
    <t xml:space="preserve">    A – Férias</t>
  </si>
  <si>
    <t xml:space="preserve">   Total do Submódulo 2.5</t>
  </si>
  <si>
    <t>TOTAL DOS ENCARGOS SOCIAIS</t>
  </si>
  <si>
    <t>TOTAL DOS BENEFÍCIOS E INSUMOS DE MÃO DE OBRA</t>
  </si>
  <si>
    <t xml:space="preserve">TOTAL DA MÃO DE OBRA (I + II + III) </t>
  </si>
  <si>
    <t>QUANTIDADE DE FUNCIONÁRIOS</t>
  </si>
  <si>
    <t>ESTIMATIVA DE CUSTO MENSAL</t>
  </si>
  <si>
    <t>GERAÇÃO</t>
  </si>
  <si>
    <t>PER CAPITA</t>
  </si>
  <si>
    <t>Kg/hab.d</t>
  </si>
  <si>
    <t>TAXA DE CRESC. POP. IBGE</t>
  </si>
  <si>
    <t>% ao ano</t>
  </si>
  <si>
    <t>NOMENCLATURA TURNO</t>
  </si>
  <si>
    <t>SETOR</t>
  </si>
  <si>
    <t>BAIRROS</t>
  </si>
  <si>
    <t>TURNO</t>
  </si>
  <si>
    <t>2ª FEIRA</t>
  </si>
  <si>
    <t>3ª FEIRA</t>
  </si>
  <si>
    <t>4ª FEIRA</t>
  </si>
  <si>
    <t>5ª FEIRA</t>
  </si>
  <si>
    <t>6ª FEIRA</t>
  </si>
  <si>
    <t>SÁBADO</t>
  </si>
  <si>
    <t>DISTÂNCIA ROTA COMPLETA [km]</t>
  </si>
  <si>
    <t>DIST.SETOR-ATERRO [km]</t>
  </si>
  <si>
    <t>DIST. VIAS DENTRO SETOR [km]</t>
  </si>
  <si>
    <t>POPULAÇÃO 2010 [hab]</t>
  </si>
  <si>
    <t>POPULAÇÃO ESTIMADA 2017 [hab]</t>
  </si>
  <si>
    <t>GERAÇÃO RSU/DIA [ton]</t>
  </si>
  <si>
    <t>GERAÇÃO RSU/SEMANA [ton]</t>
  </si>
  <si>
    <t>MASSA RSU/DIA DE COLETA [ton]</t>
  </si>
  <si>
    <t>DIST. VIAS TURNO [km]</t>
  </si>
  <si>
    <t>MASSA RSU TURNO [ton]</t>
  </si>
  <si>
    <t>FREQUENCIA SEMANAL</t>
  </si>
  <si>
    <t>DISTÂNCIA  SEMANAL POR SETOR [km]</t>
  </si>
  <si>
    <t>VERIFICA CAPACIDADE</t>
  </si>
  <si>
    <t>QTDADE VIAGENS POR TURNO</t>
  </si>
  <si>
    <t>DIST. TRANSPORTE ATERRO (SEMANAL) [km]</t>
  </si>
  <si>
    <t>DIST. ROTEIRO COLETA (SEMANAL) [km]</t>
  </si>
  <si>
    <t>DIST. TOTAL SEMANAL [km]</t>
  </si>
  <si>
    <t>noturno</t>
  </si>
  <si>
    <t>Setor 01</t>
  </si>
  <si>
    <t>Centro</t>
  </si>
  <si>
    <t>Noturno</t>
  </si>
  <si>
    <t>X</t>
  </si>
  <si>
    <t>São Bernardo</t>
  </si>
  <si>
    <t>Setor 02</t>
  </si>
  <si>
    <t>Ponte Nova</t>
  </si>
  <si>
    <t>Navegantes</t>
  </si>
  <si>
    <t>diurno 1</t>
  </si>
  <si>
    <t>Setor 03</t>
  </si>
  <si>
    <t>Cidade Limeira</t>
  </si>
  <si>
    <t>Diurno</t>
  </si>
  <si>
    <t xml:space="preserve">Bela Vista </t>
  </si>
  <si>
    <t>Barreiros</t>
  </si>
  <si>
    <t>Setor 04</t>
  </si>
  <si>
    <t>São Basilio Magno</t>
  </si>
  <si>
    <t xml:space="preserve">N. S. do Rocio </t>
  </si>
  <si>
    <t>Rio d'Areia</t>
  </si>
  <si>
    <t>São Gabriel</t>
  </si>
  <si>
    <t>Setor 05</t>
  </si>
  <si>
    <t>Cristo Rei</t>
  </si>
  <si>
    <t>Dona Mercedes</t>
  </si>
  <si>
    <t>São Joaquim</t>
  </si>
  <si>
    <t>São Luiz</t>
  </si>
  <si>
    <t>Jardim Roseira</t>
  </si>
  <si>
    <t>diurno 2</t>
  </si>
  <si>
    <t>Setor 06</t>
  </si>
  <si>
    <t>Bento M. da Rocha</t>
  </si>
  <si>
    <t>Bom Jesus</t>
  </si>
  <si>
    <t>Cidade Jardim</t>
  </si>
  <si>
    <t>Ouro Verde</t>
  </si>
  <si>
    <t>N. S. das  Graças</t>
  </si>
  <si>
    <t>Setor 07</t>
  </si>
  <si>
    <t>N. S. da Salete</t>
  </si>
  <si>
    <t>Sagrada Família</t>
  </si>
  <si>
    <t>Setor 08</t>
  </si>
  <si>
    <t>São Braz</t>
  </si>
  <si>
    <t>São Sebastião</t>
  </si>
  <si>
    <t>Outras Localidades</t>
  </si>
  <si>
    <t>Setor 09*</t>
  </si>
  <si>
    <t>Dist. Rural São Domingos</t>
  </si>
  <si>
    <t>-</t>
  </si>
  <si>
    <t>diurno2</t>
  </si>
  <si>
    <t>Setor 10*</t>
  </si>
  <si>
    <t>Dist. Rural Rio Vermelho</t>
  </si>
  <si>
    <t>t/dia</t>
  </si>
  <si>
    <t>t/mês</t>
  </si>
  <si>
    <t>Distância média</t>
  </si>
  <si>
    <t>km</t>
  </si>
  <si>
    <t>Numero de viagens possiveis:</t>
  </si>
  <si>
    <t>Velocidades (Km/h)</t>
  </si>
  <si>
    <r>
      <t>V</t>
    </r>
    <r>
      <rPr>
        <vertAlign val="subscript"/>
        <sz val="11"/>
        <color indexed="8"/>
        <rFont val="Calibri"/>
        <family val="2"/>
      </rPr>
      <t>noturno</t>
    </r>
  </si>
  <si>
    <t>NVnoturno=</t>
  </si>
  <si>
    <t>P</t>
  </si>
  <si>
    <t xml:space="preserve"> (kg/m³)</t>
  </si>
  <si>
    <t>ic</t>
  </si>
  <si>
    <t>cap real</t>
  </si>
  <si>
    <t xml:space="preserve"> (m³)</t>
  </si>
  <si>
    <r>
      <t>V</t>
    </r>
    <r>
      <rPr>
        <vertAlign val="subscript"/>
        <sz val="11"/>
        <color indexed="8"/>
        <rFont val="Calibri"/>
        <family val="2"/>
      </rPr>
      <t>diurno 1</t>
    </r>
  </si>
  <si>
    <t>NVdiurno1=</t>
  </si>
  <si>
    <t>C=</t>
  </si>
  <si>
    <t xml:space="preserve"> (ton)</t>
  </si>
  <si>
    <r>
      <t>V</t>
    </r>
    <r>
      <rPr>
        <vertAlign val="subscript"/>
        <sz val="11"/>
        <color indexed="8"/>
        <rFont val="Calibri"/>
        <family val="2"/>
      </rPr>
      <t>diurno2</t>
    </r>
  </si>
  <si>
    <t>NVdiurno2=</t>
  </si>
  <si>
    <t>D</t>
  </si>
  <si>
    <t>(km)</t>
  </si>
  <si>
    <t>Vt</t>
  </si>
  <si>
    <t>(Km/h)</t>
  </si>
  <si>
    <t>T1</t>
  </si>
  <si>
    <t>(h)</t>
  </si>
  <si>
    <t>Reserva Técnica:</t>
  </si>
  <si>
    <r>
      <t>Fd</t>
    </r>
    <r>
      <rPr>
        <vertAlign val="subscript"/>
        <sz val="12"/>
        <color indexed="8"/>
        <rFont val="Calibri"/>
        <family val="2"/>
      </rPr>
      <t>noturno</t>
    </r>
    <r>
      <rPr>
        <sz val="12"/>
        <color indexed="8"/>
        <rFont val="Calibri"/>
        <family val="2"/>
      </rPr>
      <t>=</t>
    </r>
  </si>
  <si>
    <t xml:space="preserve">TV= </t>
  </si>
  <si>
    <r>
      <t>Fd</t>
    </r>
    <r>
      <rPr>
        <vertAlign val="subscript"/>
        <sz val="12"/>
        <color indexed="8"/>
        <rFont val="Calibri"/>
        <family val="2"/>
      </rPr>
      <t>diurno1</t>
    </r>
    <r>
      <rPr>
        <sz val="12"/>
        <color indexed="8"/>
        <rFont val="Calibri"/>
        <family val="2"/>
      </rPr>
      <t>=</t>
    </r>
  </si>
  <si>
    <t>q</t>
  </si>
  <si>
    <t>variavel cf setor</t>
  </si>
  <si>
    <t>VC</t>
  </si>
  <si>
    <t>J</t>
  </si>
  <si>
    <t>L</t>
  </si>
  <si>
    <t>C</t>
  </si>
  <si>
    <t>(ton)</t>
  </si>
  <si>
    <r>
      <t>Fd</t>
    </r>
    <r>
      <rPr>
        <vertAlign val="subscript"/>
        <sz val="12"/>
        <color indexed="8"/>
        <rFont val="Calibri"/>
        <family val="2"/>
      </rPr>
      <t>diurno2</t>
    </r>
    <r>
      <rPr>
        <sz val="12"/>
        <color indexed="8"/>
        <rFont val="Calibri"/>
        <family val="2"/>
      </rPr>
      <t>=</t>
    </r>
  </si>
  <si>
    <t>TV</t>
  </si>
  <si>
    <t>Administração Central</t>
  </si>
  <si>
    <t>AC</t>
  </si>
  <si>
    <t>Despesas Financeiras</t>
  </si>
  <si>
    <t>DF</t>
  </si>
  <si>
    <t>Lucro</t>
  </si>
  <si>
    <t>Salário Normativo da Categoria:</t>
  </si>
  <si>
    <t>Convenção Coletiva</t>
  </si>
  <si>
    <t>Data base da Categoria:</t>
  </si>
  <si>
    <t>Composição do BDI - Benefícios e Despesas Indiretas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</si>
  <si>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</si>
  <si>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</si>
  <si>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</si>
  <si>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</si>
  <si>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</si>
  <si>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</si>
  <si>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BDI</t>
  </si>
  <si>
    <t>Planilha de Composição de Custos</t>
  </si>
  <si>
    <t>Função:</t>
  </si>
  <si>
    <t>Descrição</t>
  </si>
  <si>
    <t>Qtde</t>
  </si>
  <si>
    <t>Valor total mensal</t>
  </si>
  <si>
    <t>Sigla</t>
  </si>
  <si>
    <t xml:space="preserve">    Módulo 3 – BENEFÍCIOS E INSUMOS</t>
  </si>
  <si>
    <t xml:space="preserve">    B - Aviso Prévio trabalhado</t>
  </si>
  <si>
    <t xml:space="preserve">    D - Multa do FGTS</t>
  </si>
  <si>
    <t xml:space="preserve">    E - Férias indenizadas</t>
  </si>
  <si>
    <t xml:space="preserve">    F - Adicional sobre férias indenizadas</t>
  </si>
  <si>
    <t xml:space="preserve">    G – Incidência do Submódulo 2.1 sobre Provisão para Rescisão</t>
  </si>
  <si>
    <t xml:space="preserve">    C - Encargos sobre aviso prévio</t>
  </si>
  <si>
    <t>SAAEPAR</t>
  </si>
  <si>
    <t>MARÇO</t>
  </si>
  <si>
    <t>220 horas</t>
  </si>
  <si>
    <t>COZINHEIRA</t>
  </si>
  <si>
    <t xml:space="preserve">   A - Salário</t>
  </si>
  <si>
    <t xml:space="preserve">    A - Auxílio Alimentação</t>
  </si>
  <si>
    <t>MONITOR DE ALUNOS</t>
  </si>
  <si>
    <t>Monitor de Alunos</t>
  </si>
  <si>
    <t>Serviços de Apoio Técnico-Operacional</t>
  </si>
  <si>
    <t xml:space="preserve">    B - Uniforme (6 camisetas/ano)</t>
  </si>
  <si>
    <t>Total com BDI mensal</t>
  </si>
  <si>
    <t>Total 12 meses</t>
  </si>
  <si>
    <t xml:space="preserve">RESUMO </t>
  </si>
  <si>
    <t xml:space="preserve">    B – Ausência por doença</t>
  </si>
  <si>
    <t xml:space="preserve">    C – Licença paternidade</t>
  </si>
  <si>
    <t xml:space="preserve">    D – Ausências Legais</t>
  </si>
  <si>
    <t xml:space="preserve">    E – Ausência por Acidente de Trabalho</t>
  </si>
  <si>
    <t xml:space="preserve">    F – Incidência do submódulo 2.1 sobre o Custo de Reposição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</si>
</sst>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0.000%"/>
    <numFmt numFmtId="167" formatCode="0.0000"/>
    <numFmt numFmtId="168" formatCode="0.000000"/>
    <numFmt numFmtId="169" formatCode="0.0"/>
    <numFmt numFmtId="170" formatCode="_(* #,##0.00_);_(* \(#,##0.00\);_(* \-??_);_(@_)"/>
    <numFmt numFmtId="171" formatCode="[$R$-416]\ #,##0.00;[Red]\-[$R$-416]\ #,##0.00"/>
    <numFmt numFmtId="172" formatCode="&quot;R$&quot;\ #,##0.00"/>
    <numFmt numFmtId="173" formatCode="&quot;R$ &quot;#,##0.00_);[Red]&quot;(R$ &quot;#,##0.00\)"/>
  </numFmts>
  <fonts count="22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vertAlign val="subscript"/>
      <sz val="11"/>
      <color indexed="8"/>
      <name val="Calibri"/>
      <family val="2"/>
    </font>
    <font>
      <sz val="12"/>
      <color indexed="8"/>
      <name val="Calibri"/>
      <family val="2"/>
    </font>
    <font>
      <vertAlign val="subscript"/>
      <sz val="12"/>
      <color indexed="8"/>
      <name val="Calibri"/>
      <family val="2"/>
    </font>
    <font>
      <b/>
      <sz val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55"/>
      </patternFill>
    </fill>
    <fill>
      <patternFill patternType="solid">
        <fgColor indexed="13"/>
        <bgColor indexed="34"/>
      </patternFill>
    </fill>
    <fill>
      <patternFill patternType="solid">
        <fgColor indexed="40"/>
        <bgColor indexed="49"/>
      </patternFill>
    </fill>
    <fill>
      <patternFill patternType="solid">
        <fgColor indexed="44"/>
        <bgColor indexed="24"/>
      </patternFill>
    </fill>
    <fill>
      <patternFill patternType="solid">
        <fgColor indexed="55"/>
        <bgColor indexed="22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00B0F0"/>
        <bgColor indexed="49"/>
      </patternFill>
    </fill>
    <fill>
      <patternFill patternType="solid">
        <fgColor rgb="FF00B0F0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55"/>
      </patternFill>
    </fill>
    <fill>
      <patternFill patternType="solid">
        <fgColor theme="6" tint="0.59999389629810485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0">
    <xf numFmtId="0" fontId="0" fillId="0" borderId="0"/>
    <xf numFmtId="0" fontId="10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22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164" fontId="3" fillId="0" borderId="0" xfId="6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right"/>
    </xf>
    <xf numFmtId="2" fontId="12" fillId="0" borderId="0" xfId="0" applyNumberFormat="1" applyFont="1"/>
    <xf numFmtId="167" fontId="12" fillId="0" borderId="0" xfId="0" applyNumberFormat="1" applyFont="1"/>
    <xf numFmtId="168" fontId="0" fillId="0" borderId="0" xfId="0" applyNumberFormat="1"/>
    <xf numFmtId="2" fontId="0" fillId="0" borderId="0" xfId="0" applyNumberFormat="1"/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3" xfId="0" applyBorder="1"/>
    <xf numFmtId="1" fontId="0" fillId="0" borderId="13" xfId="0" applyNumberFormat="1" applyBorder="1"/>
    <xf numFmtId="2" fontId="0" fillId="0" borderId="13" xfId="0" applyNumberFormat="1" applyBorder="1"/>
    <xf numFmtId="0" fontId="0" fillId="0" borderId="5" xfId="0" applyBorder="1" applyAlignment="1">
      <alignment horizontal="left" vertical="center" wrapText="1"/>
    </xf>
    <xf numFmtId="0" fontId="0" fillId="0" borderId="5" xfId="0" applyBorder="1"/>
    <xf numFmtId="0" fontId="0" fillId="0" borderId="9" xfId="0" applyBorder="1" applyAlignment="1">
      <alignment horizontal="left" vertical="center" wrapText="1"/>
    </xf>
    <xf numFmtId="0" fontId="0" fillId="0" borderId="9" xfId="0" applyBorder="1"/>
    <xf numFmtId="0" fontId="14" fillId="0" borderId="5" xfId="0" applyFont="1" applyBorder="1"/>
    <xf numFmtId="0" fontId="15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14" fillId="0" borderId="2" xfId="0" applyFont="1" applyBorder="1"/>
    <xf numFmtId="2" fontId="0" fillId="0" borderId="2" xfId="0" applyNumberFormat="1" applyBorder="1" applyAlignment="1">
      <alignment horizontal="center" vertical="center"/>
    </xf>
    <xf numFmtId="2" fontId="0" fillId="0" borderId="2" xfId="0" applyNumberFormat="1" applyBorder="1"/>
    <xf numFmtId="0" fontId="0" fillId="0" borderId="7" xfId="0" applyBorder="1" applyAlignment="1">
      <alignment horizontal="center" vertical="center"/>
    </xf>
    <xf numFmtId="2" fontId="0" fillId="0" borderId="3" xfId="0" applyNumberFormat="1" applyBorder="1" applyAlignment="1">
      <alignment horizontal="center"/>
    </xf>
    <xf numFmtId="1" fontId="0" fillId="0" borderId="0" xfId="0" applyNumberFormat="1"/>
    <xf numFmtId="2" fontId="12" fillId="9" borderId="14" xfId="0" applyNumberFormat="1" applyFont="1" applyFill="1" applyBorder="1"/>
    <xf numFmtId="2" fontId="12" fillId="9" borderId="15" xfId="0" applyNumberFormat="1" applyFont="1" applyFill="1" applyBorder="1"/>
    <xf numFmtId="0" fontId="11" fillId="0" borderId="0" xfId="0" applyFont="1"/>
    <xf numFmtId="169" fontId="0" fillId="0" borderId="0" xfId="0" applyNumberFormat="1"/>
    <xf numFmtId="167" fontId="0" fillId="0" borderId="0" xfId="0" applyNumberFormat="1"/>
    <xf numFmtId="167" fontId="0" fillId="10" borderId="0" xfId="0" applyNumberFormat="1" applyFill="1"/>
    <xf numFmtId="0" fontId="12" fillId="0" borderId="16" xfId="0" applyFont="1" applyBorder="1"/>
    <xf numFmtId="167" fontId="12" fillId="0" borderId="17" xfId="0" applyNumberFormat="1" applyFont="1" applyBorder="1"/>
    <xf numFmtId="0" fontId="12" fillId="0" borderId="18" xfId="0" applyFont="1" applyBorder="1"/>
    <xf numFmtId="9" fontId="0" fillId="0" borderId="0" xfId="0" applyNumberFormat="1" applyAlignment="1">
      <alignment horizontal="left"/>
    </xf>
    <xf numFmtId="0" fontId="16" fillId="0" borderId="0" xfId="0" applyFont="1"/>
    <xf numFmtId="2" fontId="12" fillId="0" borderId="17" xfId="0" applyNumberFormat="1" applyFont="1" applyBorder="1"/>
    <xf numFmtId="0" fontId="0" fillId="0" borderId="18" xfId="0" applyBorder="1"/>
    <xf numFmtId="0" fontId="17" fillId="0" borderId="0" xfId="0" applyFont="1"/>
    <xf numFmtId="0" fontId="14" fillId="0" borderId="0" xfId="0" applyFont="1"/>
    <xf numFmtId="0" fontId="0" fillId="11" borderId="9" xfId="0" applyFill="1" applyBorder="1" applyAlignment="1">
      <alignment horizontal="left" vertical="center" wrapText="1"/>
    </xf>
    <xf numFmtId="171" fontId="2" fillId="2" borderId="0" xfId="0" applyNumberFormat="1" applyFont="1" applyFill="1" applyAlignment="1">
      <alignment horizontal="right"/>
    </xf>
    <xf numFmtId="9" fontId="3" fillId="0" borderId="0" xfId="4" applyFont="1"/>
    <xf numFmtId="10" fontId="3" fillId="0" borderId="0" xfId="4" applyNumberFormat="1" applyFont="1"/>
    <xf numFmtId="170" fontId="20" fillId="2" borderId="19" xfId="4" applyNumberFormat="1" applyFont="1" applyFill="1" applyBorder="1" applyAlignment="1" applyProtection="1">
      <alignment horizontal="right"/>
    </xf>
    <xf numFmtId="172" fontId="3" fillId="2" borderId="19" xfId="6" applyNumberFormat="1" applyFont="1" applyFill="1" applyBorder="1" applyAlignment="1" applyProtection="1">
      <alignment horizontal="right"/>
    </xf>
    <xf numFmtId="4" fontId="3" fillId="2" borderId="19" xfId="6" applyNumberFormat="1" applyFont="1" applyFill="1" applyBorder="1" applyAlignment="1" applyProtection="1">
      <alignment horizontal="right"/>
    </xf>
    <xf numFmtId="0" fontId="19" fillId="3" borderId="19" xfId="0" applyFont="1" applyFill="1" applyBorder="1" applyAlignment="1">
      <alignment horizontal="right"/>
    </xf>
    <xf numFmtId="172" fontId="2" fillId="3" borderId="19" xfId="0" applyNumberFormat="1" applyFont="1" applyFill="1" applyBorder="1" applyAlignment="1">
      <alignment horizontal="right"/>
    </xf>
    <xf numFmtId="0" fontId="2" fillId="2" borderId="42" xfId="0" applyFont="1" applyFill="1" applyBorder="1"/>
    <xf numFmtId="0" fontId="19" fillId="2" borderId="42" xfId="0" applyFont="1" applyFill="1" applyBorder="1" applyAlignment="1">
      <alignment horizontal="right"/>
    </xf>
    <xf numFmtId="4" fontId="2" fillId="2" borderId="42" xfId="0" applyNumberFormat="1" applyFont="1" applyFill="1" applyBorder="1" applyAlignment="1">
      <alignment horizontal="right"/>
    </xf>
    <xf numFmtId="0" fontId="2" fillId="12" borderId="0" xfId="0" applyFont="1" applyFill="1"/>
    <xf numFmtId="0" fontId="19" fillId="12" borderId="0" xfId="0" applyFont="1" applyFill="1" applyAlignment="1">
      <alignment horizontal="right"/>
    </xf>
    <xf numFmtId="4" fontId="2" fillId="12" borderId="0" xfId="0" applyNumberFormat="1" applyFont="1" applyFill="1" applyAlignment="1">
      <alignment horizontal="right"/>
    </xf>
    <xf numFmtId="172" fontId="3" fillId="12" borderId="19" xfId="6" applyNumberFormat="1" applyFont="1" applyFill="1" applyBorder="1" applyAlignment="1" applyProtection="1">
      <alignment horizontal="right"/>
    </xf>
    <xf numFmtId="166" fontId="20" fillId="2" borderId="19" xfId="4" applyNumberFormat="1" applyFont="1" applyFill="1" applyBorder="1" applyAlignment="1" applyProtection="1">
      <alignment horizontal="right"/>
    </xf>
    <xf numFmtId="166" fontId="19" fillId="4" borderId="19" xfId="4" applyNumberFormat="1" applyFont="1" applyFill="1" applyBorder="1" applyAlignment="1" applyProtection="1">
      <alignment horizontal="right"/>
    </xf>
    <xf numFmtId="172" fontId="2" fillId="4" borderId="19" xfId="6" applyNumberFormat="1" applyFont="1" applyFill="1" applyBorder="1" applyAlignment="1" applyProtection="1">
      <alignment horizontal="right"/>
    </xf>
    <xf numFmtId="4" fontId="20" fillId="12" borderId="19" xfId="6" applyNumberFormat="1" applyFont="1" applyFill="1" applyBorder="1" applyAlignment="1" applyProtection="1">
      <alignment horizontal="right"/>
    </xf>
    <xf numFmtId="4" fontId="3" fillId="12" borderId="19" xfId="6" applyNumberFormat="1" applyFont="1" applyFill="1" applyBorder="1" applyAlignment="1" applyProtection="1">
      <alignment horizontal="right"/>
    </xf>
    <xf numFmtId="172" fontId="2" fillId="15" borderId="19" xfId="6" applyNumberFormat="1" applyFont="1" applyFill="1" applyBorder="1" applyAlignment="1" applyProtection="1">
      <alignment horizontal="right"/>
    </xf>
    <xf numFmtId="172" fontId="20" fillId="12" borderId="19" xfId="6" applyNumberFormat="1" applyFont="1" applyFill="1" applyBorder="1" applyAlignment="1" applyProtection="1">
      <alignment horizontal="right"/>
    </xf>
    <xf numFmtId="172" fontId="2" fillId="4" borderId="40" xfId="6" applyNumberFormat="1" applyFont="1" applyFill="1" applyBorder="1" applyAlignment="1" applyProtection="1">
      <alignment horizontal="right"/>
    </xf>
    <xf numFmtId="172" fontId="2" fillId="3" borderId="5" xfId="6" applyNumberFormat="1" applyFont="1" applyFill="1" applyBorder="1" applyAlignment="1" applyProtection="1">
      <alignment horizontal="right"/>
    </xf>
    <xf numFmtId="0" fontId="21" fillId="17" borderId="0" xfId="0" applyFont="1" applyFill="1"/>
    <xf numFmtId="166" fontId="21" fillId="17" borderId="0" xfId="4" applyNumberFormat="1" applyFont="1" applyFill="1" applyBorder="1" applyAlignment="1" applyProtection="1">
      <alignment horizontal="right"/>
    </xf>
    <xf numFmtId="172" fontId="21" fillId="17" borderId="0" xfId="6" applyNumberFormat="1" applyFont="1" applyFill="1" applyBorder="1" applyAlignment="1" applyProtection="1">
      <alignment horizontal="right"/>
    </xf>
    <xf numFmtId="0" fontId="2" fillId="2" borderId="41" xfId="0" applyFont="1" applyFill="1" applyBorder="1"/>
    <xf numFmtId="0" fontId="19" fillId="2" borderId="41" xfId="0" applyFont="1" applyFill="1" applyBorder="1" applyAlignment="1">
      <alignment horizontal="right"/>
    </xf>
    <xf numFmtId="4" fontId="2" fillId="2" borderId="41" xfId="0" applyNumberFormat="1" applyFont="1" applyFill="1" applyBorder="1" applyAlignment="1">
      <alignment horizontal="right"/>
    </xf>
    <xf numFmtId="173" fontId="3" fillId="2" borderId="19" xfId="4" applyNumberFormat="1" applyFont="1" applyFill="1" applyBorder="1" applyAlignment="1" applyProtection="1">
      <alignment horizontal="right"/>
    </xf>
    <xf numFmtId="171" fontId="3" fillId="2" borderId="19" xfId="4" applyNumberFormat="1" applyFont="1" applyFill="1" applyBorder="1" applyAlignment="1" applyProtection="1">
      <alignment horizontal="right"/>
    </xf>
    <xf numFmtId="172" fontId="2" fillId="3" borderId="19" xfId="6" applyNumberFormat="1" applyFont="1" applyFill="1" applyBorder="1" applyAlignment="1" applyProtection="1">
      <alignment horizontal="right"/>
    </xf>
    <xf numFmtId="172" fontId="2" fillId="5" borderId="19" xfId="6" applyNumberFormat="1" applyFont="1" applyFill="1" applyBorder="1" applyAlignment="1" applyProtection="1">
      <alignment horizontal="right"/>
    </xf>
    <xf numFmtId="3" fontId="2" fillId="0" borderId="19" xfId="6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 vertical="center"/>
    </xf>
    <xf numFmtId="10" fontId="3" fillId="0" borderId="35" xfId="0" applyNumberFormat="1" applyFont="1" applyBorder="1" applyAlignment="1">
      <alignment horizontal="center" vertical="center"/>
    </xf>
    <xf numFmtId="10" fontId="3" fillId="0" borderId="30" xfId="0" applyNumberFormat="1" applyFont="1" applyBorder="1" applyAlignment="1">
      <alignment horizontal="center" vertical="center"/>
    </xf>
    <xf numFmtId="10" fontId="3" fillId="0" borderId="31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 wrapText="1"/>
    </xf>
    <xf numFmtId="0" fontId="3" fillId="0" borderId="17" xfId="0" applyFont="1" applyBorder="1" applyAlignment="1">
      <alignment vertical="center"/>
    </xf>
    <xf numFmtId="10" fontId="2" fillId="0" borderId="18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5" borderId="8" xfId="0" applyFont="1" applyFill="1" applyBorder="1"/>
    <xf numFmtId="0" fontId="2" fillId="5" borderId="21" xfId="0" applyFont="1" applyFill="1" applyBorder="1"/>
    <xf numFmtId="0" fontId="2" fillId="0" borderId="12" xfId="0" applyFont="1" applyBorder="1"/>
    <xf numFmtId="0" fontId="2" fillId="0" borderId="39" xfId="0" applyFont="1" applyBorder="1"/>
    <xf numFmtId="9" fontId="19" fillId="14" borderId="5" xfId="4" applyFont="1" applyFill="1" applyBorder="1" applyAlignment="1" applyProtection="1">
      <alignment horizontal="center" vertical="center"/>
    </xf>
    <xf numFmtId="171" fontId="2" fillId="14" borderId="5" xfId="0" applyNumberFormat="1" applyFont="1" applyFill="1" applyBorder="1" applyAlignment="1">
      <alignment horizontal="center" vertical="center" wrapText="1"/>
    </xf>
    <xf numFmtId="166" fontId="20" fillId="0" borderId="19" xfId="4" applyNumberFormat="1" applyFont="1" applyFill="1" applyBorder="1" applyAlignment="1" applyProtection="1">
      <alignment horizontal="right"/>
    </xf>
    <xf numFmtId="172" fontId="3" fillId="0" borderId="19" xfId="6" applyNumberFormat="1" applyFont="1" applyFill="1" applyBorder="1" applyAlignment="1" applyProtection="1">
      <alignment horizontal="right"/>
    </xf>
    <xf numFmtId="171" fontId="3" fillId="0" borderId="19" xfId="4" applyNumberFormat="1" applyFont="1" applyFill="1" applyBorder="1" applyAlignment="1" applyProtection="1">
      <alignment horizontal="right"/>
    </xf>
    <xf numFmtId="170" fontId="20" fillId="2" borderId="20" xfId="4" applyNumberFormat="1" applyFont="1" applyFill="1" applyBorder="1" applyAlignment="1" applyProtection="1">
      <alignment horizontal="right"/>
    </xf>
    <xf numFmtId="172" fontId="3" fillId="2" borderId="20" xfId="6" applyNumberFormat="1" applyFont="1" applyFill="1" applyBorder="1" applyAlignment="1" applyProtection="1">
      <alignment horizontal="right"/>
    </xf>
    <xf numFmtId="0" fontId="2" fillId="8" borderId="5" xfId="0" applyFont="1" applyFill="1" applyBorder="1" applyAlignment="1">
      <alignment horizontal="center"/>
    </xf>
    <xf numFmtId="44" fontId="2" fillId="16" borderId="22" xfId="6" applyNumberFormat="1" applyFont="1" applyFill="1" applyBorder="1" applyAlignment="1" applyProtection="1">
      <alignment horizontal="right"/>
    </xf>
    <xf numFmtId="44" fontId="2" fillId="16" borderId="5" xfId="0" applyNumberFormat="1" applyFont="1" applyFill="1" applyBorder="1"/>
    <xf numFmtId="0" fontId="3" fillId="0" borderId="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vertical="center"/>
    </xf>
    <xf numFmtId="0" fontId="3" fillId="0" borderId="48" xfId="0" applyFont="1" applyBorder="1" applyAlignment="1">
      <alignment vertical="center"/>
    </xf>
    <xf numFmtId="10" fontId="3" fillId="0" borderId="0" xfId="0" applyNumberFormat="1" applyFont="1" applyAlignment="1">
      <alignment vertical="center"/>
    </xf>
    <xf numFmtId="10" fontId="3" fillId="0" borderId="49" xfId="0" applyNumberFormat="1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164" fontId="2" fillId="0" borderId="6" xfId="6" applyFont="1" applyBorder="1" applyAlignment="1">
      <alignment horizontal="center" vertical="center"/>
    </xf>
    <xf numFmtId="0" fontId="2" fillId="4" borderId="27" xfId="0" applyFont="1" applyFill="1" applyBorder="1"/>
    <xf numFmtId="0" fontId="2" fillId="4" borderId="23" xfId="0" applyFont="1" applyFill="1" applyBorder="1"/>
    <xf numFmtId="0" fontId="2" fillId="3" borderId="27" xfId="0" applyFont="1" applyFill="1" applyBorder="1"/>
    <xf numFmtId="0" fontId="2" fillId="3" borderId="23" xfId="0" applyFont="1" applyFill="1" applyBorder="1"/>
    <xf numFmtId="0" fontId="2" fillId="2" borderId="8" xfId="0" applyFont="1" applyFill="1" applyBorder="1" applyAlignment="1">
      <alignment horizontal="right"/>
    </xf>
    <xf numFmtId="0" fontId="2" fillId="12" borderId="8" xfId="0" applyFont="1" applyFill="1" applyBorder="1" applyAlignment="1">
      <alignment horizontal="right"/>
    </xf>
    <xf numFmtId="0" fontId="3" fillId="2" borderId="27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2" fillId="0" borderId="8" xfId="0" applyFont="1" applyBorder="1" applyAlignment="1">
      <alignment horizontal="right"/>
    </xf>
    <xf numFmtId="0" fontId="2" fillId="2" borderId="22" xfId="0" applyFont="1" applyFill="1" applyBorder="1" applyAlignment="1">
      <alignment horizontal="right"/>
    </xf>
    <xf numFmtId="0" fontId="2" fillId="12" borderId="22" xfId="0" applyFont="1" applyFill="1" applyBorder="1" applyAlignment="1">
      <alignment horizontal="right"/>
    </xf>
    <xf numFmtId="0" fontId="2" fillId="0" borderId="22" xfId="0" applyFont="1" applyBorder="1" applyAlignment="1">
      <alignment horizontal="right"/>
    </xf>
    <xf numFmtId="0" fontId="2" fillId="13" borderId="8" xfId="0" applyFont="1" applyFill="1" applyBorder="1"/>
    <xf numFmtId="0" fontId="2" fillId="13" borderId="22" xfId="0" applyFont="1" applyFill="1" applyBorder="1"/>
    <xf numFmtId="0" fontId="3" fillId="2" borderId="51" xfId="0" applyFont="1" applyFill="1" applyBorder="1"/>
    <xf numFmtId="0" fontId="3" fillId="2" borderId="27" xfId="0" applyFont="1" applyFill="1" applyBorder="1"/>
    <xf numFmtId="0" fontId="3" fillId="2" borderId="50" xfId="0" applyFont="1" applyFill="1" applyBorder="1"/>
    <xf numFmtId="0" fontId="3" fillId="2" borderId="23" xfId="0" applyFont="1" applyFill="1" applyBorder="1"/>
    <xf numFmtId="0" fontId="20" fillId="2" borderId="27" xfId="0" applyFont="1" applyFill="1" applyBorder="1"/>
    <xf numFmtId="0" fontId="20" fillId="2" borderId="23" xfId="0" applyFont="1" applyFill="1" applyBorder="1"/>
    <xf numFmtId="0" fontId="2" fillId="4" borderId="52" xfId="0" applyFont="1" applyFill="1" applyBorder="1"/>
    <xf numFmtId="0" fontId="2" fillId="3" borderId="8" xfId="0" applyFont="1" applyFill="1" applyBorder="1"/>
    <xf numFmtId="166" fontId="20" fillId="0" borderId="23" xfId="4" applyNumberFormat="1" applyFont="1" applyFill="1" applyBorder="1" applyAlignment="1" applyProtection="1">
      <alignment horizontal="right"/>
    </xf>
    <xf numFmtId="166" fontId="20" fillId="2" borderId="23" xfId="4" applyNumberFormat="1" applyFont="1" applyFill="1" applyBorder="1" applyAlignment="1" applyProtection="1">
      <alignment horizontal="right"/>
    </xf>
    <xf numFmtId="166" fontId="19" fillId="4" borderId="53" xfId="4" applyNumberFormat="1" applyFont="1" applyFill="1" applyBorder="1" applyAlignment="1" applyProtection="1">
      <alignment horizontal="right"/>
    </xf>
    <xf numFmtId="166" fontId="19" fillId="3" borderId="22" xfId="4" applyNumberFormat="1" applyFont="1" applyFill="1" applyBorder="1" applyAlignment="1" applyProtection="1">
      <alignment horizontal="right"/>
    </xf>
    <xf numFmtId="44" fontId="8" fillId="5" borderId="23" xfId="6" applyNumberFormat="1" applyFont="1" applyFill="1" applyBorder="1" applyAlignment="1" applyProtection="1">
      <alignment horizontal="right"/>
    </xf>
    <xf numFmtId="0" fontId="2" fillId="0" borderId="5" xfId="0" applyFont="1" applyBorder="1"/>
    <xf numFmtId="165" fontId="2" fillId="16" borderId="5" xfId="2" applyFont="1" applyFill="1" applyBorder="1"/>
    <xf numFmtId="3" fontId="2" fillId="16" borderId="5" xfId="0" applyNumberFormat="1" applyFont="1" applyFill="1" applyBorder="1" applyAlignment="1">
      <alignment horizontal="center"/>
    </xf>
    <xf numFmtId="10" fontId="2" fillId="16" borderId="5" xfId="4" applyNumberFormat="1" applyFont="1" applyFill="1" applyBorder="1" applyAlignment="1">
      <alignment horizontal="center" vertical="center"/>
    </xf>
    <xf numFmtId="172" fontId="2" fillId="0" borderId="0" xfId="6" applyNumberFormat="1" applyFont="1" applyFill="1" applyBorder="1" applyAlignment="1" applyProtection="1">
      <alignment horizontal="right"/>
    </xf>
    <xf numFmtId="0" fontId="2" fillId="2" borderId="19" xfId="0" applyFont="1" applyFill="1" applyBorder="1"/>
    <xf numFmtId="0" fontId="2" fillId="2" borderId="27" xfId="0" applyFont="1" applyFill="1" applyBorder="1"/>
    <xf numFmtId="0" fontId="2" fillId="2" borderId="28" xfId="0" applyFont="1" applyFill="1" applyBorder="1"/>
    <xf numFmtId="0" fontId="2" fillId="2" borderId="23" xfId="0" applyFont="1" applyFill="1" applyBorder="1"/>
    <xf numFmtId="0" fontId="8" fillId="8" borderId="17" xfId="0" applyFont="1" applyFill="1" applyBorder="1" applyAlignment="1">
      <alignment horizontal="center" vertical="center"/>
    </xf>
    <xf numFmtId="0" fontId="2" fillId="4" borderId="27" xfId="0" applyFont="1" applyFill="1" applyBorder="1"/>
    <xf numFmtId="0" fontId="2" fillId="4" borderId="28" xfId="0" applyFont="1" applyFill="1" applyBorder="1"/>
    <xf numFmtId="0" fontId="2" fillId="4" borderId="23" xfId="0" applyFont="1" applyFill="1" applyBorder="1"/>
    <xf numFmtId="0" fontId="2" fillId="7" borderId="27" xfId="0" applyFont="1" applyFill="1" applyBorder="1"/>
    <xf numFmtId="0" fontId="2" fillId="7" borderId="28" xfId="0" applyFont="1" applyFill="1" applyBorder="1"/>
    <xf numFmtId="0" fontId="2" fillId="7" borderId="23" xfId="0" applyFont="1" applyFill="1" applyBorder="1"/>
    <xf numFmtId="0" fontId="18" fillId="0" borderId="5" xfId="0" applyFont="1" applyBorder="1" applyAlignment="1">
      <alignment horizontal="center" shrinkToFit="1"/>
    </xf>
    <xf numFmtId="0" fontId="8" fillId="18" borderId="24" xfId="0" applyFont="1" applyFill="1" applyBorder="1" applyAlignment="1">
      <alignment horizontal="center" vertical="center"/>
    </xf>
    <xf numFmtId="0" fontId="8" fillId="18" borderId="26" xfId="0" applyFont="1" applyFill="1" applyBorder="1" applyAlignment="1">
      <alignment horizontal="center" vertical="center"/>
    </xf>
    <xf numFmtId="172" fontId="2" fillId="12" borderId="8" xfId="6" applyNumberFormat="1" applyFont="1" applyFill="1" applyBorder="1" applyAlignment="1" applyProtection="1">
      <alignment horizontal="center"/>
    </xf>
    <xf numFmtId="172" fontId="2" fillId="12" borderId="22" xfId="6" applyNumberFormat="1" applyFont="1" applyFill="1" applyBorder="1" applyAlignment="1" applyProtection="1">
      <alignment horizontal="center"/>
    </xf>
    <xf numFmtId="0" fontId="2" fillId="12" borderId="8" xfId="6" applyNumberFormat="1" applyFont="1" applyFill="1" applyBorder="1" applyAlignment="1" applyProtection="1">
      <alignment horizontal="center"/>
    </xf>
    <xf numFmtId="0" fontId="2" fillId="12" borderId="22" xfId="6" applyNumberFormat="1" applyFont="1" applyFill="1" applyBorder="1" applyAlignment="1" applyProtection="1">
      <alignment horizontal="center"/>
    </xf>
    <xf numFmtId="14" fontId="2" fillId="2" borderId="8" xfId="0" applyNumberFormat="1" applyFont="1" applyFill="1" applyBorder="1" applyAlignment="1">
      <alignment horizontal="center"/>
    </xf>
    <xf numFmtId="14" fontId="2" fillId="2" borderId="22" xfId="0" applyNumberFormat="1" applyFont="1" applyFill="1" applyBorder="1" applyAlignment="1">
      <alignment horizontal="center"/>
    </xf>
    <xf numFmtId="0" fontId="2" fillId="6" borderId="19" xfId="0" applyFont="1" applyFill="1" applyBorder="1"/>
    <xf numFmtId="0" fontId="2" fillId="3" borderId="19" xfId="0" applyFont="1" applyFill="1" applyBorder="1"/>
    <xf numFmtId="0" fontId="2" fillId="5" borderId="19" xfId="0" applyFont="1" applyFill="1" applyBorder="1"/>
    <xf numFmtId="0" fontId="2" fillId="0" borderId="0" xfId="0" applyFont="1" applyAlignment="1">
      <alignment horizontal="left"/>
    </xf>
    <xf numFmtId="0" fontId="2" fillId="6" borderId="5" xfId="0" applyFont="1" applyFill="1" applyBorder="1"/>
    <xf numFmtId="0" fontId="3" fillId="0" borderId="46" xfId="0" applyFont="1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2" fillId="8" borderId="17" xfId="0" applyFont="1" applyFill="1" applyBorder="1" applyAlignment="1">
      <alignment horizontal="center" vertical="center"/>
    </xf>
    <xf numFmtId="0" fontId="3" fillId="0" borderId="47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44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0" fillId="0" borderId="3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34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35" xfId="0" applyNumberFormat="1" applyBorder="1" applyAlignment="1">
      <alignment horizontal="center"/>
    </xf>
    <xf numFmtId="2" fontId="0" fillId="0" borderId="30" xfId="0" applyNumberFormat="1" applyBorder="1" applyAlignment="1">
      <alignment horizontal="center"/>
    </xf>
    <xf numFmtId="2" fontId="0" fillId="0" borderId="9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32" xfId="0" applyNumberFormat="1" applyBorder="1" applyAlignment="1">
      <alignment horizontal="center" vertical="center"/>
    </xf>
    <xf numFmtId="2" fontId="0" fillId="0" borderId="29" xfId="0" applyNumberFormat="1" applyBorder="1" applyAlignment="1">
      <alignment horizontal="center" vertical="center"/>
    </xf>
    <xf numFmtId="2" fontId="0" fillId="0" borderId="31" xfId="0" applyNumberFormat="1" applyBorder="1" applyAlignment="1">
      <alignment horizontal="center"/>
    </xf>
    <xf numFmtId="0" fontId="0" fillId="0" borderId="10" xfId="0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2" fontId="0" fillId="0" borderId="35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</cellXfs>
  <cellStyles count="10">
    <cellStyle name="Hiperlink 2" xfId="1" xr:uid="{00000000-0005-0000-0000-000000000000}"/>
    <cellStyle name="Moeda" xfId="2" builtinId="4"/>
    <cellStyle name="Moeda 2" xfId="3" xr:uid="{00000000-0005-0000-0000-000002000000}"/>
    <cellStyle name="Normal" xfId="0" builtinId="0"/>
    <cellStyle name="Porcentagem" xfId="4" builtinId="5"/>
    <cellStyle name="Porcentagem 2" xfId="5" xr:uid="{00000000-0005-0000-0000-000005000000}"/>
    <cellStyle name="Vírgula" xfId="6" builtinId="3"/>
    <cellStyle name="Vírgula 2" xfId="7" xr:uid="{00000000-0005-0000-0000-000007000000}"/>
    <cellStyle name="Vírgula 2 2" xfId="8" xr:uid="{00000000-0005-0000-0000-000008000000}"/>
    <cellStyle name="Vírgula 3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613835</xdr:colOff>
      <xdr:row>0</xdr:row>
      <xdr:rowOff>116416</xdr:rowOff>
    </xdr:from>
    <xdr:to>
      <xdr:col>3</xdr:col>
      <xdr:colOff>533931</xdr:colOff>
      <xdr:row>7</xdr:row>
      <xdr:rowOff>30542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C799EE0-3948-4E5A-9A4D-91A97A0D02A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001" r="15615"/>
        <a:stretch/>
      </xdr:blipFill>
      <xdr:spPr>
        <a:xfrm>
          <a:off x="613835" y="116416"/>
          <a:ext cx="5402263" cy="10253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508000</xdr:colOff>
      <xdr:row>0</xdr:row>
      <xdr:rowOff>84667</xdr:rowOff>
    </xdr:from>
    <xdr:to>
      <xdr:col>3</xdr:col>
      <xdr:colOff>504296</xdr:colOff>
      <xdr:row>6</xdr:row>
      <xdr:rowOff>157543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C292A86-BD31-4AC8-8C71-FB5E15BA42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001" r="15615"/>
        <a:stretch/>
      </xdr:blipFill>
      <xdr:spPr>
        <a:xfrm>
          <a:off x="508000" y="84667"/>
          <a:ext cx="5402263" cy="10253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44</xdr:row>
      <xdr:rowOff>0</xdr:rowOff>
    </xdr:from>
    <xdr:to>
      <xdr:col>7</xdr:col>
      <xdr:colOff>457200</xdr:colOff>
      <xdr:row>45</xdr:row>
      <xdr:rowOff>171450</xdr:rowOff>
    </xdr:to>
    <xdr:pic>
      <xdr:nvPicPr>
        <xdr:cNvPr id="21697" name="Imagem 1">
          <a:extLst>
            <a:ext uri="{FF2B5EF4-FFF2-40B4-BE49-F238E27FC236}">
              <a16:creationId xmlns:a16="http://schemas.microsoft.com/office/drawing/2014/main" id="{AABC365F-CAF1-BD52-030C-894113D22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3325475"/>
          <a:ext cx="44386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180975</xdr:colOff>
      <xdr:row>53</xdr:row>
      <xdr:rowOff>9525</xdr:rowOff>
    </xdr:from>
    <xdr:to>
      <xdr:col>2</xdr:col>
      <xdr:colOff>619125</xdr:colOff>
      <xdr:row>55</xdr:row>
      <xdr:rowOff>9525</xdr:rowOff>
    </xdr:to>
    <xdr:pic>
      <xdr:nvPicPr>
        <xdr:cNvPr id="21698" name="Imagem 2">
          <a:extLst>
            <a:ext uri="{FF2B5EF4-FFF2-40B4-BE49-F238E27FC236}">
              <a16:creationId xmlns:a16="http://schemas.microsoft.com/office/drawing/2014/main" id="{FA955ED2-87EA-7E10-EC8D-C29786FE1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5125700"/>
          <a:ext cx="1647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62</xdr:row>
      <xdr:rowOff>0</xdr:rowOff>
    </xdr:from>
    <xdr:to>
      <xdr:col>2</xdr:col>
      <xdr:colOff>762000</xdr:colOff>
      <xdr:row>63</xdr:row>
      <xdr:rowOff>180975</xdr:rowOff>
    </xdr:to>
    <xdr:pic>
      <xdr:nvPicPr>
        <xdr:cNvPr id="21699" name="Imagem 3">
          <a:extLst>
            <a:ext uri="{FF2B5EF4-FFF2-40B4-BE49-F238E27FC236}">
              <a16:creationId xmlns:a16="http://schemas.microsoft.com/office/drawing/2014/main" id="{86FCD6CC-6DDC-FCBC-469C-47100D143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6744950"/>
          <a:ext cx="16192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76200</xdr:colOff>
      <xdr:row>42</xdr:row>
      <xdr:rowOff>47625</xdr:rowOff>
    </xdr:from>
    <xdr:to>
      <xdr:col>16</xdr:col>
      <xdr:colOff>133350</xdr:colOff>
      <xdr:row>44</xdr:row>
      <xdr:rowOff>38100</xdr:rowOff>
    </xdr:to>
    <xdr:pic>
      <xdr:nvPicPr>
        <xdr:cNvPr id="21700" name="Imagem 4">
          <a:extLst>
            <a:ext uri="{FF2B5EF4-FFF2-40B4-BE49-F238E27FC236}">
              <a16:creationId xmlns:a16="http://schemas.microsoft.com/office/drawing/2014/main" id="{2631044E-C996-862C-D58F-33939448C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0" y="13020675"/>
          <a:ext cx="18859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200025</xdr:colOff>
      <xdr:row>55</xdr:row>
      <xdr:rowOff>66675</xdr:rowOff>
    </xdr:from>
    <xdr:to>
      <xdr:col>15</xdr:col>
      <xdr:colOff>95250</xdr:colOff>
      <xdr:row>57</xdr:row>
      <xdr:rowOff>0</xdr:rowOff>
    </xdr:to>
    <xdr:pic>
      <xdr:nvPicPr>
        <xdr:cNvPr id="21701" name="Imagem 5">
          <a:extLst>
            <a:ext uri="{FF2B5EF4-FFF2-40B4-BE49-F238E27FC236}">
              <a16:creationId xmlns:a16="http://schemas.microsoft.com/office/drawing/2014/main" id="{6D09669F-C0B5-F070-F55E-5CC43E855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5506700"/>
          <a:ext cx="11144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03"/>
  <sheetViews>
    <sheetView showGridLines="0" zoomScaleNormal="100" workbookViewId="0">
      <selection activeCell="H27" sqref="H27:H28"/>
    </sheetView>
  </sheetViews>
  <sheetFormatPr defaultRowHeight="12.75" x14ac:dyDescent="0.2"/>
  <cols>
    <col min="1" max="1" width="56.85546875" style="2" customWidth="1"/>
    <col min="2" max="3" width="12.7109375" style="2" customWidth="1"/>
    <col min="4" max="4" width="19.7109375" style="2" customWidth="1"/>
    <col min="5" max="5" width="17.85546875" style="2" bestFit="1" customWidth="1"/>
    <col min="6" max="6" width="11.5703125" style="2" customWidth="1"/>
    <col min="7" max="8" width="11.42578125" style="2" bestFit="1" customWidth="1"/>
    <col min="9" max="9" width="9.140625" style="2"/>
    <col min="10" max="10" width="10" style="2" bestFit="1" customWidth="1"/>
    <col min="11" max="16384" width="9.140625" style="2"/>
  </cols>
  <sheetData>
    <row r="2" spans="1:4" ht="12.75" customHeight="1" x14ac:dyDescent="0.2">
      <c r="C2" s="97"/>
      <c r="D2" s="97"/>
    </row>
    <row r="3" spans="1:4" ht="12.75" customHeight="1" x14ac:dyDescent="0.2">
      <c r="C3" s="97"/>
      <c r="D3" s="97"/>
    </row>
    <row r="4" spans="1:4" ht="12.75" customHeight="1" x14ac:dyDescent="0.2">
      <c r="C4" s="97"/>
      <c r="D4" s="97"/>
    </row>
    <row r="5" spans="1:4" ht="12.75" customHeight="1" x14ac:dyDescent="0.2">
      <c r="C5" s="97"/>
      <c r="D5" s="97"/>
    </row>
    <row r="6" spans="1:4" ht="12.75" customHeight="1" x14ac:dyDescent="0.2">
      <c r="C6" s="97"/>
      <c r="D6" s="97"/>
    </row>
    <row r="7" spans="1:4" ht="12.75" customHeight="1" x14ac:dyDescent="0.2">
      <c r="C7" s="97"/>
      <c r="D7" s="97"/>
    </row>
    <row r="8" spans="1:4" ht="12.75" customHeight="1" thickBot="1" x14ac:dyDescent="0.25">
      <c r="C8" s="97"/>
      <c r="D8" s="97"/>
    </row>
    <row r="9" spans="1:4" ht="15.75" x14ac:dyDescent="0.2">
      <c r="A9" s="164" t="s">
        <v>190</v>
      </c>
      <c r="B9" s="164"/>
      <c r="C9" s="164"/>
      <c r="D9" s="164"/>
    </row>
    <row r="10" spans="1:4" ht="16.5" thickBot="1" x14ac:dyDescent="0.25">
      <c r="A10" s="165" t="s">
        <v>169</v>
      </c>
      <c r="B10" s="165"/>
      <c r="C10" s="165"/>
      <c r="D10" s="165"/>
    </row>
    <row r="13" spans="1:4" x14ac:dyDescent="0.2">
      <c r="A13" s="124"/>
      <c r="B13" s="129" t="s">
        <v>158</v>
      </c>
      <c r="C13" s="166">
        <v>1621</v>
      </c>
      <c r="D13" s="167"/>
    </row>
    <row r="14" spans="1:4" x14ac:dyDescent="0.2">
      <c r="A14" s="125"/>
      <c r="B14" s="130" t="s">
        <v>159</v>
      </c>
      <c r="C14" s="168" t="s">
        <v>182</v>
      </c>
      <c r="D14" s="169"/>
    </row>
    <row r="15" spans="1:4" x14ac:dyDescent="0.2">
      <c r="A15" s="124"/>
      <c r="B15" s="129" t="s">
        <v>160</v>
      </c>
      <c r="C15" s="170" t="s">
        <v>183</v>
      </c>
      <c r="D15" s="171"/>
    </row>
    <row r="16" spans="1:4" x14ac:dyDescent="0.2">
      <c r="A16" s="128"/>
      <c r="B16" s="131" t="s">
        <v>170</v>
      </c>
      <c r="C16" s="163" t="s">
        <v>188</v>
      </c>
      <c r="D16" s="163"/>
    </row>
    <row r="17" spans="1:4" x14ac:dyDescent="0.2">
      <c r="D17" s="52"/>
    </row>
    <row r="18" spans="1:4" x14ac:dyDescent="0.2">
      <c r="A18" s="132" t="s">
        <v>0</v>
      </c>
      <c r="B18" s="133"/>
      <c r="C18" s="102" t="s">
        <v>1</v>
      </c>
      <c r="D18" s="103" t="s">
        <v>2</v>
      </c>
    </row>
    <row r="19" spans="1:4" x14ac:dyDescent="0.2">
      <c r="A19" s="175"/>
      <c r="B19" s="175"/>
      <c r="C19" s="175"/>
      <c r="D19" s="175"/>
    </row>
    <row r="20" spans="1:4" x14ac:dyDescent="0.2">
      <c r="A20" s="176" t="s">
        <v>3</v>
      </c>
      <c r="B20" s="176"/>
      <c r="C20" s="176"/>
      <c r="D20" s="176"/>
    </row>
    <row r="21" spans="1:4" x14ac:dyDescent="0.2">
      <c r="A21" s="134" t="s">
        <v>186</v>
      </c>
      <c r="B21" s="136"/>
      <c r="C21" s="107" t="s">
        <v>184</v>
      </c>
      <c r="D21" s="108">
        <f>C13</f>
        <v>1621</v>
      </c>
    </row>
    <row r="22" spans="1:4" x14ac:dyDescent="0.2">
      <c r="A22" s="135"/>
      <c r="B22" s="137"/>
      <c r="C22" s="55"/>
      <c r="D22" s="56"/>
    </row>
    <row r="23" spans="1:4" x14ac:dyDescent="0.2">
      <c r="A23" s="135"/>
      <c r="B23" s="137"/>
      <c r="C23" s="55"/>
      <c r="D23" s="57"/>
    </row>
    <row r="24" spans="1:4" x14ac:dyDescent="0.2">
      <c r="A24" s="122" t="s">
        <v>4</v>
      </c>
      <c r="B24" s="123"/>
      <c r="C24" s="58"/>
      <c r="D24" s="59">
        <f>SUM(D21:D23)</f>
        <v>1621</v>
      </c>
    </row>
    <row r="25" spans="1:4" x14ac:dyDescent="0.2">
      <c r="A25" s="60"/>
      <c r="B25" s="60"/>
      <c r="C25" s="61"/>
      <c r="D25" s="62"/>
    </row>
    <row r="26" spans="1:4" x14ac:dyDescent="0.2">
      <c r="A26" s="63"/>
      <c r="B26" s="63"/>
      <c r="C26" s="64"/>
      <c r="D26" s="65"/>
    </row>
    <row r="27" spans="1:4" x14ac:dyDescent="0.2">
      <c r="A27" s="172" t="s">
        <v>5</v>
      </c>
      <c r="B27" s="172"/>
      <c r="C27" s="172"/>
      <c r="D27" s="172"/>
    </row>
    <row r="28" spans="1:4" x14ac:dyDescent="0.2">
      <c r="A28" s="152" t="s">
        <v>6</v>
      </c>
      <c r="B28" s="152"/>
      <c r="C28" s="152"/>
      <c r="D28" s="152"/>
    </row>
    <row r="29" spans="1:4" x14ac:dyDescent="0.2">
      <c r="A29" s="135" t="s">
        <v>7</v>
      </c>
      <c r="B29" s="137"/>
      <c r="C29" s="104">
        <v>0.2</v>
      </c>
      <c r="D29" s="66">
        <f>$C29*D$24</f>
        <v>324.20000000000005</v>
      </c>
    </row>
    <row r="30" spans="1:4" x14ac:dyDescent="0.2">
      <c r="A30" s="135" t="s">
        <v>8</v>
      </c>
      <c r="B30" s="137"/>
      <c r="C30" s="104">
        <v>0.08</v>
      </c>
      <c r="D30" s="66">
        <f t="shared" ref="D30:D36" si="0">C30*D$24</f>
        <v>129.68</v>
      </c>
    </row>
    <row r="31" spans="1:4" x14ac:dyDescent="0.2">
      <c r="A31" s="135" t="s">
        <v>9</v>
      </c>
      <c r="B31" s="137"/>
      <c r="C31" s="104">
        <v>1.4999999999999999E-2</v>
      </c>
      <c r="D31" s="66">
        <f t="shared" si="0"/>
        <v>24.314999999999998</v>
      </c>
    </row>
    <row r="32" spans="1:4" x14ac:dyDescent="0.2">
      <c r="A32" s="135" t="s">
        <v>10</v>
      </c>
      <c r="B32" s="137"/>
      <c r="C32" s="104">
        <v>0.01</v>
      </c>
      <c r="D32" s="66">
        <f t="shared" si="0"/>
        <v>16.21</v>
      </c>
    </row>
    <row r="33" spans="1:8" x14ac:dyDescent="0.2">
      <c r="A33" s="135" t="s">
        <v>11</v>
      </c>
      <c r="B33" s="137"/>
      <c r="C33" s="104">
        <v>2E-3</v>
      </c>
      <c r="D33" s="66">
        <f t="shared" si="0"/>
        <v>3.242</v>
      </c>
    </row>
    <row r="34" spans="1:8" x14ac:dyDescent="0.2">
      <c r="A34" s="135" t="s">
        <v>12</v>
      </c>
      <c r="B34" s="137"/>
      <c r="C34" s="104">
        <v>6.0000000000000001E-3</v>
      </c>
      <c r="D34" s="66">
        <f t="shared" si="0"/>
        <v>9.7260000000000009</v>
      </c>
    </row>
    <row r="35" spans="1:8" x14ac:dyDescent="0.2">
      <c r="A35" s="135" t="s">
        <v>13</v>
      </c>
      <c r="B35" s="137"/>
      <c r="C35" s="104">
        <v>2.5000000000000001E-2</v>
      </c>
      <c r="D35" s="66">
        <f t="shared" si="0"/>
        <v>40.525000000000006</v>
      </c>
    </row>
    <row r="36" spans="1:8" x14ac:dyDescent="0.2">
      <c r="A36" s="135" t="s">
        <v>14</v>
      </c>
      <c r="B36" s="137"/>
      <c r="C36" s="104">
        <v>0.02</v>
      </c>
      <c r="D36" s="66">
        <f t="shared" si="0"/>
        <v>32.42</v>
      </c>
    </row>
    <row r="37" spans="1:8" x14ac:dyDescent="0.2">
      <c r="A37" s="120" t="s">
        <v>15</v>
      </c>
      <c r="B37" s="121"/>
      <c r="C37" s="68">
        <f>SUM(C29:C36)</f>
        <v>0.3580000000000001</v>
      </c>
      <c r="D37" s="69">
        <f>SUM(D29:D36)</f>
        <v>580.31799999999998</v>
      </c>
    </row>
    <row r="38" spans="1:8" x14ac:dyDescent="0.2">
      <c r="A38" s="152" t="s">
        <v>16</v>
      </c>
      <c r="B38" s="152"/>
      <c r="C38" s="152"/>
      <c r="D38" s="152"/>
    </row>
    <row r="39" spans="1:8" x14ac:dyDescent="0.2">
      <c r="A39" s="135" t="s">
        <v>17</v>
      </c>
      <c r="B39" s="137"/>
      <c r="C39" s="104">
        <v>8.3330000000000001E-2</v>
      </c>
      <c r="D39" s="66">
        <f>C39*D$24</f>
        <v>135.07793000000001</v>
      </c>
    </row>
    <row r="40" spans="1:8" x14ac:dyDescent="0.2">
      <c r="A40" s="135" t="s">
        <v>18</v>
      </c>
      <c r="B40" s="137"/>
      <c r="C40" s="104">
        <v>2.7779999999999999E-2</v>
      </c>
      <c r="D40" s="66">
        <f>C40*D$24</f>
        <v>45.031379999999999</v>
      </c>
      <c r="F40" s="53"/>
      <c r="H40" s="54"/>
    </row>
    <row r="41" spans="1:8" x14ac:dyDescent="0.2">
      <c r="A41" s="126" t="s">
        <v>19</v>
      </c>
      <c r="B41" s="127"/>
      <c r="C41" s="67">
        <f>SUM(C39:C40)</f>
        <v>0.11111</v>
      </c>
      <c r="D41" s="66"/>
      <c r="H41" s="54"/>
    </row>
    <row r="42" spans="1:8" x14ac:dyDescent="0.2">
      <c r="A42" s="135" t="s">
        <v>20</v>
      </c>
      <c r="B42" s="137"/>
      <c r="C42" s="104">
        <f>C41*C37</f>
        <v>3.9777380000000008E-2</v>
      </c>
      <c r="D42" s="66">
        <f>C42*D$24</f>
        <v>64.479132980000017</v>
      </c>
    </row>
    <row r="43" spans="1:8" x14ac:dyDescent="0.2">
      <c r="A43" s="120" t="s">
        <v>21</v>
      </c>
      <c r="B43" s="121"/>
      <c r="C43" s="68">
        <f>SUM(C41:C42)</f>
        <v>0.15088738000000002</v>
      </c>
      <c r="D43" s="69">
        <f>SUM(D39:D42)</f>
        <v>244.58844298000002</v>
      </c>
    </row>
    <row r="44" spans="1:8" x14ac:dyDescent="0.2">
      <c r="A44" s="152" t="s">
        <v>22</v>
      </c>
      <c r="B44" s="152"/>
      <c r="C44" s="152"/>
      <c r="D44" s="152"/>
    </row>
    <row r="45" spans="1:8" x14ac:dyDescent="0.2">
      <c r="A45" s="138" t="s">
        <v>23</v>
      </c>
      <c r="B45" s="139"/>
      <c r="C45" s="104">
        <v>5.9999999999999995E-4</v>
      </c>
      <c r="D45" s="70">
        <f>C45*D$24</f>
        <v>0.97259999999999991</v>
      </c>
    </row>
    <row r="46" spans="1:8" x14ac:dyDescent="0.2">
      <c r="A46" s="135" t="s">
        <v>24</v>
      </c>
      <c r="B46" s="137"/>
      <c r="C46" s="104">
        <f>C37*C45</f>
        <v>2.1480000000000004E-4</v>
      </c>
      <c r="D46" s="71">
        <f>C46*D$24</f>
        <v>0.34819080000000008</v>
      </c>
    </row>
    <row r="47" spans="1:8" x14ac:dyDescent="0.2">
      <c r="A47" s="120" t="s">
        <v>25</v>
      </c>
      <c r="B47" s="121"/>
      <c r="C47" s="68">
        <f>SUM(C45:C46)</f>
        <v>8.1479999999999996E-4</v>
      </c>
      <c r="D47" s="72">
        <f>SUM(D45:D46)</f>
        <v>1.3207907999999999</v>
      </c>
    </row>
    <row r="48" spans="1:8" x14ac:dyDescent="0.2">
      <c r="A48" s="152" t="s">
        <v>26</v>
      </c>
      <c r="B48" s="152"/>
      <c r="C48" s="152"/>
      <c r="D48" s="152"/>
    </row>
    <row r="49" spans="1:4" x14ac:dyDescent="0.2">
      <c r="A49" s="135" t="s">
        <v>27</v>
      </c>
      <c r="B49" s="137"/>
      <c r="C49" s="104">
        <v>1.29E-2</v>
      </c>
      <c r="D49" s="66">
        <f>C49*D$24</f>
        <v>20.910900000000002</v>
      </c>
    </row>
    <row r="50" spans="1:4" x14ac:dyDescent="0.2">
      <c r="A50" s="135" t="s">
        <v>176</v>
      </c>
      <c r="B50" s="137"/>
      <c r="C50" s="104">
        <v>1.6000000000000001E-3</v>
      </c>
      <c r="D50" s="66">
        <f>C50*D$24</f>
        <v>2.5935999999999999</v>
      </c>
    </row>
    <row r="51" spans="1:4" x14ac:dyDescent="0.2">
      <c r="A51" s="135" t="s">
        <v>181</v>
      </c>
      <c r="B51" s="137"/>
      <c r="C51" s="104">
        <v>5.9999999999999995E-4</v>
      </c>
      <c r="D51" s="66">
        <f>C51*D$24</f>
        <v>0.97259999999999991</v>
      </c>
    </row>
    <row r="52" spans="1:4" x14ac:dyDescent="0.2">
      <c r="A52" s="135" t="s">
        <v>177</v>
      </c>
      <c r="B52" s="137"/>
      <c r="C52" s="104">
        <v>3.2000000000000001E-2</v>
      </c>
      <c r="D52" s="66">
        <f>C52*D$24</f>
        <v>51.872</v>
      </c>
    </row>
    <row r="53" spans="1:4" x14ac:dyDescent="0.2">
      <c r="A53" s="135" t="s">
        <v>178</v>
      </c>
      <c r="B53" s="137"/>
      <c r="C53" s="104">
        <v>1.67E-2</v>
      </c>
      <c r="D53" s="66">
        <f t="shared" ref="D53:D54" si="1">C53*D$24</f>
        <v>27.070699999999999</v>
      </c>
    </row>
    <row r="54" spans="1:4" x14ac:dyDescent="0.2">
      <c r="A54" s="135" t="s">
        <v>179</v>
      </c>
      <c r="B54" s="137"/>
      <c r="C54" s="104">
        <v>5.5999999999999999E-3</v>
      </c>
      <c r="D54" s="66">
        <f t="shared" si="1"/>
        <v>9.0776000000000003</v>
      </c>
    </row>
    <row r="55" spans="1:4" x14ac:dyDescent="0.2">
      <c r="A55" s="126" t="s">
        <v>19</v>
      </c>
      <c r="B55" s="127"/>
      <c r="C55" s="104">
        <f>SUM(C49:C54)</f>
        <v>6.9399999999999989E-2</v>
      </c>
      <c r="D55" s="66"/>
    </row>
    <row r="56" spans="1:4" x14ac:dyDescent="0.2">
      <c r="A56" s="135" t="s">
        <v>180</v>
      </c>
      <c r="B56" s="137"/>
      <c r="C56" s="104">
        <f>C55*C37</f>
        <v>2.4845200000000001E-2</v>
      </c>
      <c r="D56" s="66">
        <f>C56*D$24</f>
        <v>40.2740692</v>
      </c>
    </row>
    <row r="57" spans="1:4" x14ac:dyDescent="0.2">
      <c r="A57" s="120" t="s">
        <v>28</v>
      </c>
      <c r="B57" s="121"/>
      <c r="C57" s="68">
        <f>SUM(C49:C56)</f>
        <v>0.16364519999999999</v>
      </c>
      <c r="D57" s="69">
        <f>SUM(D49:D56)</f>
        <v>152.77146920000001</v>
      </c>
    </row>
    <row r="58" spans="1:4" x14ac:dyDescent="0.2">
      <c r="A58" s="152" t="s">
        <v>29</v>
      </c>
      <c r="B58" s="152"/>
      <c r="C58" s="152"/>
      <c r="D58" s="152"/>
    </row>
    <row r="59" spans="1:4" x14ac:dyDescent="0.2">
      <c r="A59" s="135" t="s">
        <v>30</v>
      </c>
      <c r="B59" s="137"/>
      <c r="C59" s="142">
        <f>((1/12)*100)%</f>
        <v>8.3333333333333315E-2</v>
      </c>
      <c r="D59" s="66">
        <f>C59*D$24</f>
        <v>135.08333333333331</v>
      </c>
    </row>
    <row r="60" spans="1:4" x14ac:dyDescent="0.2">
      <c r="A60" s="135" t="s">
        <v>195</v>
      </c>
      <c r="B60" s="137"/>
      <c r="C60" s="67">
        <v>1.66E-2</v>
      </c>
      <c r="D60" s="66">
        <f>C60*D$24</f>
        <v>26.9086</v>
      </c>
    </row>
    <row r="61" spans="1:4" x14ac:dyDescent="0.2">
      <c r="A61" s="135" t="s">
        <v>196</v>
      </c>
      <c r="B61" s="137"/>
      <c r="C61" s="143">
        <f>((5/30)/12)*0.015*1</f>
        <v>2.0833333333333332E-4</v>
      </c>
      <c r="D61" s="66">
        <f>C61*D$24</f>
        <v>0.33770833333333333</v>
      </c>
    </row>
    <row r="62" spans="1:4" x14ac:dyDescent="0.2">
      <c r="A62" s="135" t="s">
        <v>197</v>
      </c>
      <c r="B62" s="137"/>
      <c r="C62" s="143">
        <v>2.8E-3</v>
      </c>
      <c r="D62" s="66">
        <f>C62*D$24</f>
        <v>4.5388000000000002</v>
      </c>
    </row>
    <row r="63" spans="1:4" x14ac:dyDescent="0.2">
      <c r="A63" s="135" t="s">
        <v>198</v>
      </c>
      <c r="B63" s="137"/>
      <c r="C63" s="143">
        <v>1.5E-3</v>
      </c>
      <c r="D63" s="66">
        <f>C63*D$24</f>
        <v>2.4315000000000002</v>
      </c>
    </row>
    <row r="64" spans="1:4" x14ac:dyDescent="0.2">
      <c r="A64" s="126" t="s">
        <v>19</v>
      </c>
      <c r="B64" s="127"/>
      <c r="C64" s="143">
        <f>SUM(C59:C63)</f>
        <v>0.10444166666666665</v>
      </c>
      <c r="D64" s="66"/>
    </row>
    <row r="65" spans="1:4" x14ac:dyDescent="0.2">
      <c r="A65" s="138" t="s">
        <v>199</v>
      </c>
      <c r="B65" s="139"/>
      <c r="C65" s="143">
        <f>C64*C37</f>
        <v>3.7390116666666674E-2</v>
      </c>
      <c r="D65" s="73">
        <f>C65*D$24</f>
        <v>60.60937911666668</v>
      </c>
    </row>
    <row r="66" spans="1:4" x14ac:dyDescent="0.2">
      <c r="A66" s="140" t="s">
        <v>31</v>
      </c>
      <c r="B66" s="121"/>
      <c r="C66" s="144">
        <f>SUM(C64:C65)</f>
        <v>0.14183178333333332</v>
      </c>
      <c r="D66" s="74">
        <f>SUM(D59:D65)</f>
        <v>229.90932078333333</v>
      </c>
    </row>
    <row r="67" spans="1:4" x14ac:dyDescent="0.2">
      <c r="A67" s="141" t="s">
        <v>32</v>
      </c>
      <c r="B67" s="123"/>
      <c r="C67" s="145">
        <f>C37+C43+C47+C57+C66</f>
        <v>0.8151791633333334</v>
      </c>
      <c r="D67" s="75">
        <f>D37+D43+D47+D57+D66</f>
        <v>1208.9080237633334</v>
      </c>
    </row>
    <row r="68" spans="1:4" x14ac:dyDescent="0.2">
      <c r="A68" s="76"/>
      <c r="B68" s="76"/>
      <c r="C68" s="77"/>
      <c r="D68" s="78"/>
    </row>
    <row r="69" spans="1:4" x14ac:dyDescent="0.2">
      <c r="A69" s="79"/>
      <c r="B69" s="79"/>
      <c r="C69" s="80"/>
      <c r="D69" s="81"/>
    </row>
    <row r="70" spans="1:4" x14ac:dyDescent="0.2">
      <c r="A70" s="172" t="s">
        <v>175</v>
      </c>
      <c r="B70" s="172"/>
      <c r="C70" s="172"/>
      <c r="D70" s="172"/>
    </row>
    <row r="71" spans="1:4" x14ac:dyDescent="0.2">
      <c r="A71" s="135" t="s">
        <v>187</v>
      </c>
      <c r="B71" s="137"/>
      <c r="C71" s="82"/>
      <c r="D71" s="105">
        <v>236.74</v>
      </c>
    </row>
    <row r="72" spans="1:4" x14ac:dyDescent="0.2">
      <c r="A72" s="135" t="s">
        <v>191</v>
      </c>
      <c r="B72" s="137"/>
      <c r="C72" s="82"/>
      <c r="D72" s="105">
        <v>17.5</v>
      </c>
    </row>
    <row r="73" spans="1:4" x14ac:dyDescent="0.2">
      <c r="A73" s="135"/>
      <c r="B73" s="137"/>
      <c r="C73" s="83"/>
      <c r="D73" s="106"/>
    </row>
    <row r="74" spans="1:4" x14ac:dyDescent="0.2">
      <c r="A74" s="173" t="s">
        <v>33</v>
      </c>
      <c r="B74" s="173"/>
      <c r="C74" s="173"/>
      <c r="D74" s="84">
        <f>SUM(D71:D73)</f>
        <v>254.24</v>
      </c>
    </row>
    <row r="75" spans="1:4" ht="12.75" customHeight="1" x14ac:dyDescent="0.2">
      <c r="A75" s="174" t="s">
        <v>34</v>
      </c>
      <c r="B75" s="174"/>
      <c r="C75" s="174"/>
      <c r="D75" s="85">
        <f>D74+D67+D24</f>
        <v>3084.1480237633332</v>
      </c>
    </row>
    <row r="76" spans="1:4" ht="12.75" customHeight="1" x14ac:dyDescent="0.2">
      <c r="A76" s="153"/>
      <c r="B76" s="154"/>
      <c r="C76" s="154"/>
      <c r="D76" s="155"/>
    </row>
    <row r="77" spans="1:4" ht="12.75" customHeight="1" x14ac:dyDescent="0.2">
      <c r="A77" s="160" t="s">
        <v>35</v>
      </c>
      <c r="B77" s="161"/>
      <c r="C77" s="162"/>
      <c r="D77" s="86">
        <v>10</v>
      </c>
    </row>
    <row r="78" spans="1:4" ht="12.75" customHeight="1" x14ac:dyDescent="0.2">
      <c r="A78" s="157" t="s">
        <v>36</v>
      </c>
      <c r="B78" s="158"/>
      <c r="C78" s="159"/>
      <c r="D78" s="69">
        <f>D75*D77</f>
        <v>30841.480237633332</v>
      </c>
    </row>
    <row r="79" spans="1:4" ht="12.75" customHeight="1" x14ac:dyDescent="0.2">
      <c r="A79" s="1"/>
      <c r="B79" s="1"/>
      <c r="C79" s="1"/>
      <c r="D79" s="151"/>
    </row>
    <row r="81" spans="1:4" ht="13.5" thickBot="1" x14ac:dyDescent="0.25"/>
    <row r="82" spans="1:4" ht="16.5" thickBot="1" x14ac:dyDescent="0.25">
      <c r="A82" s="156" t="s">
        <v>194</v>
      </c>
      <c r="B82" s="156"/>
      <c r="C82" s="156"/>
      <c r="D82" s="156"/>
    </row>
    <row r="83" spans="1:4" x14ac:dyDescent="0.2">
      <c r="C83" s="1"/>
      <c r="D83" s="1"/>
    </row>
    <row r="84" spans="1:4" x14ac:dyDescent="0.2">
      <c r="A84" s="109" t="s">
        <v>171</v>
      </c>
      <c r="B84" s="109" t="s">
        <v>2</v>
      </c>
      <c r="C84" s="109" t="s">
        <v>172</v>
      </c>
      <c r="D84" s="109" t="s">
        <v>173</v>
      </c>
    </row>
    <row r="85" spans="1:4" x14ac:dyDescent="0.2">
      <c r="A85" s="147" t="s">
        <v>189</v>
      </c>
      <c r="B85" s="148">
        <f>D75</f>
        <v>3084.1480237633332</v>
      </c>
      <c r="C85" s="149">
        <f>D77</f>
        <v>10</v>
      </c>
      <c r="D85" s="111">
        <f>+B85*C85</f>
        <v>30841.480237633332</v>
      </c>
    </row>
    <row r="86" spans="1:4" x14ac:dyDescent="0.2">
      <c r="A86" s="100" t="s">
        <v>168</v>
      </c>
      <c r="B86" s="101"/>
      <c r="C86" s="150">
        <f>D103</f>
        <v>0.28010000000000002</v>
      </c>
      <c r="D86" s="110">
        <f>D85*C86</f>
        <v>8638.6986145610972</v>
      </c>
    </row>
    <row r="87" spans="1:4" ht="15.75" x14ac:dyDescent="0.25">
      <c r="A87" s="98" t="s">
        <v>192</v>
      </c>
      <c r="B87" s="99"/>
      <c r="C87" s="99"/>
      <c r="D87" s="146">
        <f>SUM(D85:D86)</f>
        <v>39480.178852194425</v>
      </c>
    </row>
    <row r="89" spans="1:4" ht="15.75" x14ac:dyDescent="0.25">
      <c r="A89" s="98" t="s">
        <v>193</v>
      </c>
      <c r="B89" s="99"/>
      <c r="C89" s="99"/>
      <c r="D89" s="146">
        <f>D87*12</f>
        <v>473762.14622633311</v>
      </c>
    </row>
    <row r="92" spans="1:4" ht="13.5" thickBot="1" x14ac:dyDescent="0.25"/>
    <row r="93" spans="1:4" s="3" customFormat="1" ht="15" customHeight="1" thickBot="1" x14ac:dyDescent="0.25">
      <c r="A93" s="179" t="s">
        <v>161</v>
      </c>
      <c r="B93" s="179"/>
      <c r="C93" s="179"/>
      <c r="D93" s="179"/>
    </row>
    <row r="94" spans="1:4" s="3" customFormat="1" ht="12.75" customHeight="1" thickBot="1" x14ac:dyDescent="0.25">
      <c r="A94" s="87"/>
      <c r="D94" s="4"/>
    </row>
    <row r="95" spans="1:4" s="3" customFormat="1" ht="13.5" customHeight="1" thickBot="1" x14ac:dyDescent="0.25">
      <c r="A95" s="186" t="s">
        <v>171</v>
      </c>
      <c r="B95" s="187"/>
      <c r="C95" s="118" t="s">
        <v>174</v>
      </c>
      <c r="D95" s="119" t="s">
        <v>1</v>
      </c>
    </row>
    <row r="96" spans="1:4" s="3" customFormat="1" ht="13.5" customHeight="1" x14ac:dyDescent="0.2">
      <c r="A96" s="188" t="s">
        <v>153</v>
      </c>
      <c r="B96" s="189"/>
      <c r="C96" s="113" t="s">
        <v>154</v>
      </c>
      <c r="D96" s="88">
        <v>0.03</v>
      </c>
    </row>
    <row r="97" spans="1:4" s="3" customFormat="1" ht="13.5" customHeight="1" x14ac:dyDescent="0.2">
      <c r="A97" s="177" t="s">
        <v>157</v>
      </c>
      <c r="B97" s="178"/>
      <c r="C97" s="112" t="s">
        <v>148</v>
      </c>
      <c r="D97" s="89">
        <v>0.05</v>
      </c>
    </row>
    <row r="98" spans="1:4" s="3" customFormat="1" ht="13.5" customHeight="1" x14ac:dyDescent="0.2">
      <c r="A98" s="177" t="s">
        <v>155</v>
      </c>
      <c r="B98" s="178"/>
      <c r="C98" s="112" t="s">
        <v>156</v>
      </c>
      <c r="D98" s="89">
        <v>1.4999999999999999E-2</v>
      </c>
    </row>
    <row r="99" spans="1:4" s="3" customFormat="1" ht="13.5" customHeight="1" x14ac:dyDescent="0.2">
      <c r="A99" s="180" t="s">
        <v>162</v>
      </c>
      <c r="B99" s="181"/>
      <c r="C99" s="182" t="s">
        <v>163</v>
      </c>
      <c r="D99" s="89">
        <v>0.05</v>
      </c>
    </row>
    <row r="100" spans="1:4" s="3" customFormat="1" ht="13.5" customHeight="1" thickBot="1" x14ac:dyDescent="0.25">
      <c r="A100" s="184" t="s">
        <v>164</v>
      </c>
      <c r="B100" s="185"/>
      <c r="C100" s="183"/>
      <c r="D100" s="90">
        <v>9.2499999999999999E-2</v>
      </c>
    </row>
    <row r="101" spans="1:4" s="3" customFormat="1" ht="14.25" customHeight="1" x14ac:dyDescent="0.2">
      <c r="A101" s="115" t="s">
        <v>165</v>
      </c>
      <c r="C101" s="116"/>
      <c r="D101" s="117"/>
    </row>
    <row r="102" spans="1:4" s="3" customFormat="1" ht="18" customHeight="1" thickBot="1" x14ac:dyDescent="0.25">
      <c r="A102" s="91" t="s">
        <v>166</v>
      </c>
      <c r="B102" s="92"/>
      <c r="C102" s="114"/>
      <c r="D102" s="93"/>
    </row>
    <row r="103" spans="1:4" s="3" customFormat="1" ht="19.5" customHeight="1" thickBot="1" x14ac:dyDescent="0.25">
      <c r="A103" s="94" t="s">
        <v>167</v>
      </c>
      <c r="B103" s="95"/>
      <c r="C103" s="96"/>
      <c r="D103" s="96">
        <f>ROUND((((1+D96)*(1+D97)*(1+D98))/(1-(D99+D100))-1),4)</f>
        <v>0.28010000000000002</v>
      </c>
    </row>
  </sheetData>
  <mergeCells count="29">
    <mergeCell ref="A97:B97"/>
    <mergeCell ref="A98:B98"/>
    <mergeCell ref="A93:D93"/>
    <mergeCell ref="A99:B99"/>
    <mergeCell ref="C99:C100"/>
    <mergeCell ref="A100:B100"/>
    <mergeCell ref="A95:B95"/>
    <mergeCell ref="A96:B96"/>
    <mergeCell ref="A82:D82"/>
    <mergeCell ref="A78:C78"/>
    <mergeCell ref="A77:C77"/>
    <mergeCell ref="C16:D16"/>
    <mergeCell ref="A9:D9"/>
    <mergeCell ref="A10:D10"/>
    <mergeCell ref="C13:D13"/>
    <mergeCell ref="C14:D14"/>
    <mergeCell ref="C15:D15"/>
    <mergeCell ref="A70:D70"/>
    <mergeCell ref="A74:C74"/>
    <mergeCell ref="A75:C75"/>
    <mergeCell ref="A19:D19"/>
    <mergeCell ref="A20:D20"/>
    <mergeCell ref="A27:D27"/>
    <mergeCell ref="A28:D28"/>
    <mergeCell ref="A38:D38"/>
    <mergeCell ref="A44:D44"/>
    <mergeCell ref="A48:D48"/>
    <mergeCell ref="A58:D58"/>
    <mergeCell ref="A76:D76"/>
  </mergeCells>
  <printOptions horizontalCentered="1"/>
  <pageMargins left="0.31496062992125984" right="0.31496062992125984" top="0.59055118110236227" bottom="0.59055118110236227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3DE5E-BBC9-48DB-A02E-777C6B70E583}">
  <dimension ref="A8:H103"/>
  <sheetViews>
    <sheetView showGridLines="0" tabSelected="1" topLeftCell="A31" zoomScaleNormal="100" workbookViewId="0">
      <selection activeCell="F56" sqref="F56"/>
    </sheetView>
  </sheetViews>
  <sheetFormatPr defaultRowHeight="12.75" x14ac:dyDescent="0.2"/>
  <cols>
    <col min="1" max="1" width="55.7109375" style="2" customWidth="1"/>
    <col min="2" max="3" width="12.7109375" style="2" customWidth="1"/>
    <col min="4" max="4" width="19.7109375" style="2" customWidth="1"/>
    <col min="5" max="5" width="17.85546875" style="2" bestFit="1" customWidth="1"/>
    <col min="6" max="6" width="11.5703125" style="2" customWidth="1"/>
    <col min="7" max="8" width="11.42578125" style="2" bestFit="1" customWidth="1"/>
    <col min="9" max="9" width="9.140625" style="2"/>
    <col min="10" max="10" width="10" style="2" bestFit="1" customWidth="1"/>
    <col min="11" max="16384" width="9.140625" style="2"/>
  </cols>
  <sheetData>
    <row r="8" spans="1:4" ht="12.75" customHeight="1" thickBot="1" x14ac:dyDescent="0.25">
      <c r="C8" s="97"/>
      <c r="D8" s="97"/>
    </row>
    <row r="9" spans="1:4" ht="15.75" x14ac:dyDescent="0.2">
      <c r="A9" s="164" t="s">
        <v>190</v>
      </c>
      <c r="B9" s="164"/>
      <c r="C9" s="164"/>
      <c r="D9" s="164"/>
    </row>
    <row r="10" spans="1:4" ht="16.5" thickBot="1" x14ac:dyDescent="0.25">
      <c r="A10" s="165" t="s">
        <v>169</v>
      </c>
      <c r="B10" s="165"/>
      <c r="C10" s="165"/>
      <c r="D10" s="165"/>
    </row>
    <row r="13" spans="1:4" x14ac:dyDescent="0.2">
      <c r="A13" s="124"/>
      <c r="B13" s="129" t="s">
        <v>158</v>
      </c>
      <c r="C13" s="166">
        <v>1621</v>
      </c>
      <c r="D13" s="167"/>
    </row>
    <row r="14" spans="1:4" x14ac:dyDescent="0.2">
      <c r="A14" s="125"/>
      <c r="B14" s="130" t="s">
        <v>159</v>
      </c>
      <c r="C14" s="168" t="s">
        <v>182</v>
      </c>
      <c r="D14" s="169"/>
    </row>
    <row r="15" spans="1:4" x14ac:dyDescent="0.2">
      <c r="A15" s="124"/>
      <c r="B15" s="129" t="s">
        <v>160</v>
      </c>
      <c r="C15" s="170" t="s">
        <v>183</v>
      </c>
      <c r="D15" s="171"/>
    </row>
    <row r="16" spans="1:4" x14ac:dyDescent="0.2">
      <c r="A16" s="128"/>
      <c r="B16" s="131" t="s">
        <v>170</v>
      </c>
      <c r="C16" s="163" t="s">
        <v>185</v>
      </c>
      <c r="D16" s="163"/>
    </row>
    <row r="17" spans="1:4" x14ac:dyDescent="0.2">
      <c r="D17" s="52"/>
    </row>
    <row r="18" spans="1:4" x14ac:dyDescent="0.2">
      <c r="A18" s="132" t="s">
        <v>0</v>
      </c>
      <c r="B18" s="133"/>
      <c r="C18" s="102" t="s">
        <v>1</v>
      </c>
      <c r="D18" s="103" t="s">
        <v>2</v>
      </c>
    </row>
    <row r="19" spans="1:4" x14ac:dyDescent="0.2">
      <c r="A19" s="175"/>
      <c r="B19" s="175"/>
      <c r="C19" s="175"/>
      <c r="D19" s="175"/>
    </row>
    <row r="20" spans="1:4" x14ac:dyDescent="0.2">
      <c r="A20" s="176" t="s">
        <v>3</v>
      </c>
      <c r="B20" s="176"/>
      <c r="C20" s="176"/>
      <c r="D20" s="176"/>
    </row>
    <row r="21" spans="1:4" x14ac:dyDescent="0.2">
      <c r="A21" s="134" t="s">
        <v>186</v>
      </c>
      <c r="B21" s="136"/>
      <c r="C21" s="107" t="s">
        <v>184</v>
      </c>
      <c r="D21" s="108">
        <f>C13</f>
        <v>1621</v>
      </c>
    </row>
    <row r="22" spans="1:4" x14ac:dyDescent="0.2">
      <c r="A22" s="135"/>
      <c r="B22" s="137"/>
      <c r="C22" s="55"/>
      <c r="D22" s="56"/>
    </row>
    <row r="23" spans="1:4" x14ac:dyDescent="0.2">
      <c r="A23" s="135"/>
      <c r="B23" s="137"/>
      <c r="C23" s="55"/>
      <c r="D23" s="57"/>
    </row>
    <row r="24" spans="1:4" x14ac:dyDescent="0.2">
      <c r="A24" s="122" t="s">
        <v>4</v>
      </c>
      <c r="B24" s="123"/>
      <c r="C24" s="58"/>
      <c r="D24" s="59">
        <f>SUM(D21:D23)</f>
        <v>1621</v>
      </c>
    </row>
    <row r="25" spans="1:4" x14ac:dyDescent="0.2">
      <c r="A25" s="60"/>
      <c r="B25" s="60"/>
      <c r="C25" s="61"/>
      <c r="D25" s="62"/>
    </row>
    <row r="26" spans="1:4" x14ac:dyDescent="0.2">
      <c r="A26" s="63"/>
      <c r="B26" s="63"/>
      <c r="C26" s="64"/>
      <c r="D26" s="65"/>
    </row>
    <row r="27" spans="1:4" x14ac:dyDescent="0.2">
      <c r="A27" s="172" t="s">
        <v>5</v>
      </c>
      <c r="B27" s="172"/>
      <c r="C27" s="172"/>
      <c r="D27" s="172"/>
    </row>
    <row r="28" spans="1:4" x14ac:dyDescent="0.2">
      <c r="A28" s="152" t="s">
        <v>6</v>
      </c>
      <c r="B28" s="152"/>
      <c r="C28" s="152"/>
      <c r="D28" s="152"/>
    </row>
    <row r="29" spans="1:4" x14ac:dyDescent="0.2">
      <c r="A29" s="135" t="s">
        <v>7</v>
      </c>
      <c r="B29" s="137"/>
      <c r="C29" s="104">
        <v>0.2</v>
      </c>
      <c r="D29" s="66">
        <f>$C29*D$24</f>
        <v>324.20000000000005</v>
      </c>
    </row>
    <row r="30" spans="1:4" x14ac:dyDescent="0.2">
      <c r="A30" s="135" t="s">
        <v>8</v>
      </c>
      <c r="B30" s="137"/>
      <c r="C30" s="104">
        <v>0.08</v>
      </c>
      <c r="D30" s="66">
        <f t="shared" ref="D30:D36" si="0">C30*D$24</f>
        <v>129.68</v>
      </c>
    </row>
    <row r="31" spans="1:4" x14ac:dyDescent="0.2">
      <c r="A31" s="135" t="s">
        <v>9</v>
      </c>
      <c r="B31" s="137"/>
      <c r="C31" s="104">
        <v>1.4999999999999999E-2</v>
      </c>
      <c r="D31" s="66">
        <f t="shared" si="0"/>
        <v>24.314999999999998</v>
      </c>
    </row>
    <row r="32" spans="1:4" x14ac:dyDescent="0.2">
      <c r="A32" s="135" t="s">
        <v>10</v>
      </c>
      <c r="B32" s="137"/>
      <c r="C32" s="104">
        <v>0.01</v>
      </c>
      <c r="D32" s="66">
        <f t="shared" si="0"/>
        <v>16.21</v>
      </c>
    </row>
    <row r="33" spans="1:8" x14ac:dyDescent="0.2">
      <c r="A33" s="135" t="s">
        <v>11</v>
      </c>
      <c r="B33" s="137"/>
      <c r="C33" s="104">
        <v>2E-3</v>
      </c>
      <c r="D33" s="66">
        <f t="shared" si="0"/>
        <v>3.242</v>
      </c>
    </row>
    <row r="34" spans="1:8" x14ac:dyDescent="0.2">
      <c r="A34" s="135" t="s">
        <v>12</v>
      </c>
      <c r="B34" s="137"/>
      <c r="C34" s="104">
        <v>6.0000000000000001E-3</v>
      </c>
      <c r="D34" s="66">
        <f t="shared" si="0"/>
        <v>9.7260000000000009</v>
      </c>
    </row>
    <row r="35" spans="1:8" x14ac:dyDescent="0.2">
      <c r="A35" s="135" t="s">
        <v>13</v>
      </c>
      <c r="B35" s="137"/>
      <c r="C35" s="104">
        <v>2.5000000000000001E-2</v>
      </c>
      <c r="D35" s="66">
        <f t="shared" si="0"/>
        <v>40.525000000000006</v>
      </c>
    </row>
    <row r="36" spans="1:8" x14ac:dyDescent="0.2">
      <c r="A36" s="135" t="s">
        <v>14</v>
      </c>
      <c r="B36" s="137"/>
      <c r="C36" s="104">
        <v>0.02</v>
      </c>
      <c r="D36" s="66">
        <f t="shared" si="0"/>
        <v>32.42</v>
      </c>
    </row>
    <row r="37" spans="1:8" x14ac:dyDescent="0.2">
      <c r="A37" s="120" t="s">
        <v>15</v>
      </c>
      <c r="B37" s="121"/>
      <c r="C37" s="68">
        <f>SUM(C29:C36)</f>
        <v>0.3580000000000001</v>
      </c>
      <c r="D37" s="69">
        <f>SUM(D29:D36)</f>
        <v>580.31799999999998</v>
      </c>
    </row>
    <row r="38" spans="1:8" x14ac:dyDescent="0.2">
      <c r="A38" s="152" t="s">
        <v>16</v>
      </c>
      <c r="B38" s="152"/>
      <c r="C38" s="152"/>
      <c r="D38" s="152"/>
    </row>
    <row r="39" spans="1:8" x14ac:dyDescent="0.2">
      <c r="A39" s="135" t="s">
        <v>17</v>
      </c>
      <c r="B39" s="137"/>
      <c r="C39" s="104">
        <v>8.3330000000000001E-2</v>
      </c>
      <c r="D39" s="66">
        <f>C39*D$24</f>
        <v>135.07793000000001</v>
      </c>
    </row>
    <row r="40" spans="1:8" x14ac:dyDescent="0.2">
      <c r="A40" s="135" t="s">
        <v>18</v>
      </c>
      <c r="B40" s="137"/>
      <c r="C40" s="104">
        <v>2.7779999999999999E-2</v>
      </c>
      <c r="D40" s="66">
        <f>C40*D$24</f>
        <v>45.031379999999999</v>
      </c>
      <c r="F40" s="53"/>
      <c r="H40" s="54"/>
    </row>
    <row r="41" spans="1:8" x14ac:dyDescent="0.2">
      <c r="A41" s="126" t="s">
        <v>19</v>
      </c>
      <c r="B41" s="127"/>
      <c r="C41" s="67">
        <f>SUM(C39:C40)</f>
        <v>0.11111</v>
      </c>
      <c r="D41" s="66"/>
      <c r="H41" s="54"/>
    </row>
    <row r="42" spans="1:8" x14ac:dyDescent="0.2">
      <c r="A42" s="135" t="s">
        <v>20</v>
      </c>
      <c r="B42" s="137"/>
      <c r="C42" s="104">
        <f>C41*C37</f>
        <v>3.9777380000000008E-2</v>
      </c>
      <c r="D42" s="66">
        <f>C42*D$24</f>
        <v>64.479132980000017</v>
      </c>
    </row>
    <row r="43" spans="1:8" x14ac:dyDescent="0.2">
      <c r="A43" s="120" t="s">
        <v>21</v>
      </c>
      <c r="B43" s="121"/>
      <c r="C43" s="68">
        <f>SUM(C41:C42)</f>
        <v>0.15088738000000002</v>
      </c>
      <c r="D43" s="69">
        <f>SUM(D39:D42)</f>
        <v>244.58844298000002</v>
      </c>
    </row>
    <row r="44" spans="1:8" x14ac:dyDescent="0.2">
      <c r="A44" s="152" t="s">
        <v>22</v>
      </c>
      <c r="B44" s="152"/>
      <c r="C44" s="152"/>
      <c r="D44" s="152"/>
    </row>
    <row r="45" spans="1:8" x14ac:dyDescent="0.2">
      <c r="A45" s="138" t="s">
        <v>23</v>
      </c>
      <c r="B45" s="139"/>
      <c r="C45" s="104">
        <v>5.9999999999999995E-4</v>
      </c>
      <c r="D45" s="70">
        <f>C45*D$24</f>
        <v>0.97259999999999991</v>
      </c>
    </row>
    <row r="46" spans="1:8" x14ac:dyDescent="0.2">
      <c r="A46" s="135" t="s">
        <v>24</v>
      </c>
      <c r="B46" s="137"/>
      <c r="C46" s="104">
        <f>C37*C45</f>
        <v>2.1480000000000004E-4</v>
      </c>
      <c r="D46" s="71">
        <f>C46*D$24</f>
        <v>0.34819080000000008</v>
      </c>
    </row>
    <row r="47" spans="1:8" x14ac:dyDescent="0.2">
      <c r="A47" s="120" t="s">
        <v>25</v>
      </c>
      <c r="B47" s="121"/>
      <c r="C47" s="68">
        <f>SUM(C45:C46)</f>
        <v>8.1479999999999996E-4</v>
      </c>
      <c r="D47" s="72">
        <f>SUM(D45:D46)</f>
        <v>1.3207907999999999</v>
      </c>
    </row>
    <row r="48" spans="1:8" x14ac:dyDescent="0.2">
      <c r="A48" s="152" t="s">
        <v>26</v>
      </c>
      <c r="B48" s="152"/>
      <c r="C48" s="152"/>
      <c r="D48" s="152"/>
    </row>
    <row r="49" spans="1:4" x14ac:dyDescent="0.2">
      <c r="A49" s="135" t="s">
        <v>27</v>
      </c>
      <c r="B49" s="137"/>
      <c r="C49" s="104">
        <v>1.29E-2</v>
      </c>
      <c r="D49" s="66">
        <f>C49*D$24</f>
        <v>20.910900000000002</v>
      </c>
    </row>
    <row r="50" spans="1:4" x14ac:dyDescent="0.2">
      <c r="A50" s="135" t="s">
        <v>176</v>
      </c>
      <c r="B50" s="137"/>
      <c r="C50" s="104">
        <v>1.6000000000000001E-3</v>
      </c>
      <c r="D50" s="66">
        <f>C50*D$24</f>
        <v>2.5935999999999999</v>
      </c>
    </row>
    <row r="51" spans="1:4" x14ac:dyDescent="0.2">
      <c r="A51" s="135" t="s">
        <v>181</v>
      </c>
      <c r="B51" s="137"/>
      <c r="C51" s="104">
        <v>5.9999999999999995E-4</v>
      </c>
      <c r="D51" s="66">
        <f>C51*D$24</f>
        <v>0.97259999999999991</v>
      </c>
    </row>
    <row r="52" spans="1:4" x14ac:dyDescent="0.2">
      <c r="A52" s="135" t="s">
        <v>177</v>
      </c>
      <c r="B52" s="137"/>
      <c r="C52" s="104">
        <v>3.2000000000000001E-2</v>
      </c>
      <c r="D52" s="66">
        <f>C52*D$24</f>
        <v>51.872</v>
      </c>
    </row>
    <row r="53" spans="1:4" x14ac:dyDescent="0.2">
      <c r="A53" s="135" t="s">
        <v>178</v>
      </c>
      <c r="B53" s="137"/>
      <c r="C53" s="104">
        <v>1.67E-2</v>
      </c>
      <c r="D53" s="66">
        <f t="shared" ref="D53:D54" si="1">C53*D$24</f>
        <v>27.070699999999999</v>
      </c>
    </row>
    <row r="54" spans="1:4" x14ac:dyDescent="0.2">
      <c r="A54" s="135" t="s">
        <v>179</v>
      </c>
      <c r="B54" s="137"/>
      <c r="C54" s="104">
        <v>5.5999999999999999E-3</v>
      </c>
      <c r="D54" s="66">
        <f t="shared" si="1"/>
        <v>9.0776000000000003</v>
      </c>
    </row>
    <row r="55" spans="1:4" x14ac:dyDescent="0.2">
      <c r="A55" s="126" t="s">
        <v>19</v>
      </c>
      <c r="B55" s="127"/>
      <c r="C55" s="104">
        <f>SUM(C49:C54)</f>
        <v>6.9399999999999989E-2</v>
      </c>
      <c r="D55" s="66"/>
    </row>
    <row r="56" spans="1:4" x14ac:dyDescent="0.2">
      <c r="A56" s="135" t="s">
        <v>180</v>
      </c>
      <c r="B56" s="137"/>
      <c r="C56" s="104">
        <f>C55*C37</f>
        <v>2.4845200000000001E-2</v>
      </c>
      <c r="D56" s="66">
        <f>C56*D$24</f>
        <v>40.2740692</v>
      </c>
    </row>
    <row r="57" spans="1:4" x14ac:dyDescent="0.2">
      <c r="A57" s="120" t="s">
        <v>28</v>
      </c>
      <c r="B57" s="121"/>
      <c r="C57" s="68">
        <f>SUM(C49:C56)</f>
        <v>0.16364519999999999</v>
      </c>
      <c r="D57" s="69">
        <f>SUM(D49:D56)</f>
        <v>152.77146920000001</v>
      </c>
    </row>
    <row r="58" spans="1:4" x14ac:dyDescent="0.2">
      <c r="A58" s="152" t="s">
        <v>29</v>
      </c>
      <c r="B58" s="152"/>
      <c r="C58" s="152"/>
      <c r="D58" s="152"/>
    </row>
    <row r="59" spans="1:4" x14ac:dyDescent="0.2">
      <c r="A59" s="135" t="s">
        <v>30</v>
      </c>
      <c r="B59" s="137"/>
      <c r="C59" s="142">
        <f>((1/12)*100)%</f>
        <v>8.3333333333333315E-2</v>
      </c>
      <c r="D59" s="66">
        <f>C59*D$24</f>
        <v>135.08333333333331</v>
      </c>
    </row>
    <row r="60" spans="1:4" x14ac:dyDescent="0.2">
      <c r="A60" s="135" t="s">
        <v>195</v>
      </c>
      <c r="B60" s="137"/>
      <c r="C60" s="67">
        <v>1.66E-2</v>
      </c>
      <c r="D60" s="66">
        <f>C60*D$24</f>
        <v>26.9086</v>
      </c>
    </row>
    <row r="61" spans="1:4" x14ac:dyDescent="0.2">
      <c r="A61" s="135" t="s">
        <v>196</v>
      </c>
      <c r="B61" s="137"/>
      <c r="C61" s="143">
        <f>((5/30)/12)*0.015*1</f>
        <v>2.0833333333333332E-4</v>
      </c>
      <c r="D61" s="66">
        <f>C61*D$24</f>
        <v>0.33770833333333333</v>
      </c>
    </row>
    <row r="62" spans="1:4" x14ac:dyDescent="0.2">
      <c r="A62" s="135" t="s">
        <v>197</v>
      </c>
      <c r="B62" s="137"/>
      <c r="C62" s="143">
        <v>2.8E-3</v>
      </c>
      <c r="D62" s="66">
        <f>C62*D$24</f>
        <v>4.5388000000000002</v>
      </c>
    </row>
    <row r="63" spans="1:4" x14ac:dyDescent="0.2">
      <c r="A63" s="135" t="s">
        <v>198</v>
      </c>
      <c r="B63" s="137"/>
      <c r="C63" s="143">
        <v>1.5E-3</v>
      </c>
      <c r="D63" s="66">
        <f>C63*D$24</f>
        <v>2.4315000000000002</v>
      </c>
    </row>
    <row r="64" spans="1:4" x14ac:dyDescent="0.2">
      <c r="A64" s="126" t="s">
        <v>19</v>
      </c>
      <c r="B64" s="127"/>
      <c r="C64" s="143">
        <f>SUM(C59:C63)</f>
        <v>0.10444166666666665</v>
      </c>
      <c r="D64" s="66"/>
    </row>
    <row r="65" spans="1:4" x14ac:dyDescent="0.2">
      <c r="A65" s="138" t="s">
        <v>199</v>
      </c>
      <c r="B65" s="139"/>
      <c r="C65" s="143">
        <f>C64*C37</f>
        <v>3.7390116666666674E-2</v>
      </c>
      <c r="D65" s="73">
        <f>C65*D$24</f>
        <v>60.60937911666668</v>
      </c>
    </row>
    <row r="66" spans="1:4" x14ac:dyDescent="0.2">
      <c r="A66" s="140" t="s">
        <v>31</v>
      </c>
      <c r="B66" s="121"/>
      <c r="C66" s="144">
        <f>SUM(C64:C65)</f>
        <v>0.14183178333333332</v>
      </c>
      <c r="D66" s="74">
        <f>SUM(D59:D65)</f>
        <v>229.90932078333333</v>
      </c>
    </row>
    <row r="67" spans="1:4" x14ac:dyDescent="0.2">
      <c r="A67" s="141" t="s">
        <v>32</v>
      </c>
      <c r="B67" s="123"/>
      <c r="C67" s="145">
        <f>C37+C43+C47+C57+C66</f>
        <v>0.8151791633333334</v>
      </c>
      <c r="D67" s="75">
        <f>D37+D43+D47+D57+D66</f>
        <v>1208.9080237633334</v>
      </c>
    </row>
    <row r="68" spans="1:4" x14ac:dyDescent="0.2">
      <c r="A68" s="76"/>
      <c r="B68" s="76"/>
      <c r="C68" s="77"/>
      <c r="D68" s="78"/>
    </row>
    <row r="69" spans="1:4" x14ac:dyDescent="0.2">
      <c r="A69" s="79"/>
      <c r="B69" s="79"/>
      <c r="C69" s="80"/>
      <c r="D69" s="81"/>
    </row>
    <row r="70" spans="1:4" x14ac:dyDescent="0.2">
      <c r="A70" s="172" t="s">
        <v>175</v>
      </c>
      <c r="B70" s="172"/>
      <c r="C70" s="172"/>
      <c r="D70" s="172"/>
    </row>
    <row r="71" spans="1:4" x14ac:dyDescent="0.2">
      <c r="A71" s="135" t="s">
        <v>187</v>
      </c>
      <c r="B71" s="137"/>
      <c r="C71" s="82"/>
      <c r="D71" s="105">
        <v>236.74</v>
      </c>
    </row>
    <row r="72" spans="1:4" x14ac:dyDescent="0.2">
      <c r="A72" s="135" t="s">
        <v>191</v>
      </c>
      <c r="B72" s="137"/>
      <c r="C72" s="82"/>
      <c r="D72" s="105">
        <v>17.5</v>
      </c>
    </row>
    <row r="73" spans="1:4" x14ac:dyDescent="0.2">
      <c r="A73" s="135"/>
      <c r="B73" s="137"/>
      <c r="C73" s="83"/>
      <c r="D73" s="106"/>
    </row>
    <row r="74" spans="1:4" x14ac:dyDescent="0.2">
      <c r="A74" s="173" t="s">
        <v>33</v>
      </c>
      <c r="B74" s="173"/>
      <c r="C74" s="173"/>
      <c r="D74" s="84">
        <f>SUM(D71:D73)</f>
        <v>254.24</v>
      </c>
    </row>
    <row r="75" spans="1:4" ht="12.75" customHeight="1" x14ac:dyDescent="0.2">
      <c r="A75" s="174" t="s">
        <v>34</v>
      </c>
      <c r="B75" s="174"/>
      <c r="C75" s="174"/>
      <c r="D75" s="85">
        <f>D74+D67+D24</f>
        <v>3084.1480237633332</v>
      </c>
    </row>
    <row r="76" spans="1:4" ht="12.75" customHeight="1" x14ac:dyDescent="0.2">
      <c r="A76" s="153"/>
      <c r="B76" s="154"/>
      <c r="C76" s="154"/>
      <c r="D76" s="155"/>
    </row>
    <row r="77" spans="1:4" ht="12.75" customHeight="1" x14ac:dyDescent="0.2">
      <c r="A77" s="160" t="s">
        <v>35</v>
      </c>
      <c r="B77" s="161"/>
      <c r="C77" s="162"/>
      <c r="D77" s="86">
        <v>10</v>
      </c>
    </row>
    <row r="78" spans="1:4" ht="12.75" customHeight="1" x14ac:dyDescent="0.2">
      <c r="A78" s="157" t="s">
        <v>36</v>
      </c>
      <c r="B78" s="158"/>
      <c r="C78" s="159"/>
      <c r="D78" s="69">
        <f>D75*D77</f>
        <v>30841.480237633332</v>
      </c>
    </row>
    <row r="79" spans="1:4" ht="12.75" customHeight="1" x14ac:dyDescent="0.2">
      <c r="A79" s="1"/>
      <c r="B79" s="1"/>
      <c r="C79" s="1"/>
      <c r="D79" s="151"/>
    </row>
    <row r="81" spans="1:4" ht="13.5" thickBot="1" x14ac:dyDescent="0.25"/>
    <row r="82" spans="1:4" ht="16.5" thickBot="1" x14ac:dyDescent="0.25">
      <c r="A82" s="156" t="s">
        <v>194</v>
      </c>
      <c r="B82" s="156"/>
      <c r="C82" s="156"/>
      <c r="D82" s="156"/>
    </row>
    <row r="83" spans="1:4" x14ac:dyDescent="0.2">
      <c r="C83" s="1"/>
      <c r="D83" s="1"/>
    </row>
    <row r="84" spans="1:4" x14ac:dyDescent="0.2">
      <c r="A84" s="109" t="s">
        <v>171</v>
      </c>
      <c r="B84" s="109" t="s">
        <v>2</v>
      </c>
      <c r="C84" s="109" t="s">
        <v>172</v>
      </c>
      <c r="D84" s="109" t="s">
        <v>173</v>
      </c>
    </row>
    <row r="85" spans="1:4" x14ac:dyDescent="0.2">
      <c r="A85" s="147" t="s">
        <v>189</v>
      </c>
      <c r="B85" s="148">
        <f>D75</f>
        <v>3084.1480237633332</v>
      </c>
      <c r="C85" s="149">
        <f>D77</f>
        <v>10</v>
      </c>
      <c r="D85" s="111">
        <f>+B85*C85</f>
        <v>30841.480237633332</v>
      </c>
    </row>
    <row r="86" spans="1:4" x14ac:dyDescent="0.2">
      <c r="A86" s="100" t="s">
        <v>168</v>
      </c>
      <c r="B86" s="101"/>
      <c r="C86" s="150">
        <f>D103</f>
        <v>0.28010000000000002</v>
      </c>
      <c r="D86" s="110">
        <f>D85*C86</f>
        <v>8638.6986145610972</v>
      </c>
    </row>
    <row r="87" spans="1:4" ht="15.75" x14ac:dyDescent="0.25">
      <c r="A87" s="98" t="s">
        <v>192</v>
      </c>
      <c r="B87" s="99"/>
      <c r="C87" s="99"/>
      <c r="D87" s="146">
        <f>SUM(D85:D86)</f>
        <v>39480.178852194425</v>
      </c>
    </row>
    <row r="89" spans="1:4" ht="15.75" x14ac:dyDescent="0.25">
      <c r="A89" s="98" t="s">
        <v>193</v>
      </c>
      <c r="B89" s="99"/>
      <c r="C89" s="99"/>
      <c r="D89" s="146">
        <f>D87*12</f>
        <v>473762.14622633311</v>
      </c>
    </row>
    <row r="92" spans="1:4" ht="13.5" thickBot="1" x14ac:dyDescent="0.25"/>
    <row r="93" spans="1:4" s="3" customFormat="1" ht="15" customHeight="1" thickBot="1" x14ac:dyDescent="0.25">
      <c r="A93" s="179" t="s">
        <v>161</v>
      </c>
      <c r="B93" s="179"/>
      <c r="C93" s="179"/>
      <c r="D93" s="179"/>
    </row>
    <row r="94" spans="1:4" s="3" customFormat="1" ht="12.75" customHeight="1" thickBot="1" x14ac:dyDescent="0.25">
      <c r="A94" s="87"/>
      <c r="D94" s="4"/>
    </row>
    <row r="95" spans="1:4" s="3" customFormat="1" ht="13.5" customHeight="1" thickBot="1" x14ac:dyDescent="0.25">
      <c r="A95" s="186" t="s">
        <v>171</v>
      </c>
      <c r="B95" s="187"/>
      <c r="C95" s="118" t="s">
        <v>174</v>
      </c>
      <c r="D95" s="119" t="s">
        <v>1</v>
      </c>
    </row>
    <row r="96" spans="1:4" s="3" customFormat="1" ht="13.5" customHeight="1" x14ac:dyDescent="0.2">
      <c r="A96" s="188" t="s">
        <v>153</v>
      </c>
      <c r="B96" s="189"/>
      <c r="C96" s="113" t="s">
        <v>154</v>
      </c>
      <c r="D96" s="88">
        <v>0.03</v>
      </c>
    </row>
    <row r="97" spans="1:4" s="3" customFormat="1" ht="13.5" customHeight="1" x14ac:dyDescent="0.2">
      <c r="A97" s="177" t="s">
        <v>157</v>
      </c>
      <c r="B97" s="178"/>
      <c r="C97" s="112" t="s">
        <v>148</v>
      </c>
      <c r="D97" s="89">
        <v>0.05</v>
      </c>
    </row>
    <row r="98" spans="1:4" s="3" customFormat="1" ht="13.5" customHeight="1" x14ac:dyDescent="0.2">
      <c r="A98" s="177" t="s">
        <v>155</v>
      </c>
      <c r="B98" s="178"/>
      <c r="C98" s="112" t="s">
        <v>156</v>
      </c>
      <c r="D98" s="89">
        <v>1.4999999999999999E-2</v>
      </c>
    </row>
    <row r="99" spans="1:4" s="3" customFormat="1" ht="13.5" customHeight="1" x14ac:dyDescent="0.2">
      <c r="A99" s="180" t="s">
        <v>162</v>
      </c>
      <c r="B99" s="181"/>
      <c r="C99" s="182" t="s">
        <v>163</v>
      </c>
      <c r="D99" s="89">
        <v>0.05</v>
      </c>
    </row>
    <row r="100" spans="1:4" s="3" customFormat="1" ht="13.5" customHeight="1" thickBot="1" x14ac:dyDescent="0.25">
      <c r="A100" s="184" t="s">
        <v>164</v>
      </c>
      <c r="B100" s="185"/>
      <c r="C100" s="183"/>
      <c r="D100" s="90">
        <v>9.2499999999999999E-2</v>
      </c>
    </row>
    <row r="101" spans="1:4" s="3" customFormat="1" ht="14.25" customHeight="1" x14ac:dyDescent="0.2">
      <c r="A101" s="115" t="s">
        <v>165</v>
      </c>
      <c r="C101" s="116"/>
      <c r="D101" s="117"/>
    </row>
    <row r="102" spans="1:4" s="3" customFormat="1" ht="18" customHeight="1" thickBot="1" x14ac:dyDescent="0.25">
      <c r="A102" s="91" t="s">
        <v>166</v>
      </c>
      <c r="B102" s="92"/>
      <c r="C102" s="114"/>
      <c r="D102" s="93"/>
    </row>
    <row r="103" spans="1:4" s="3" customFormat="1" ht="19.5" customHeight="1" thickBot="1" x14ac:dyDescent="0.25">
      <c r="A103" s="94" t="s">
        <v>167</v>
      </c>
      <c r="B103" s="95"/>
      <c r="C103" s="96"/>
      <c r="D103" s="96">
        <f>ROUND((((1+D96)*(1+D97)*(1+D98))/(1-(D99+D100))-1),4)</f>
        <v>0.28010000000000002</v>
      </c>
    </row>
  </sheetData>
  <mergeCells count="29">
    <mergeCell ref="A99:B99"/>
    <mergeCell ref="C99:C100"/>
    <mergeCell ref="A100:B100"/>
    <mergeCell ref="A93:D93"/>
    <mergeCell ref="A95:B95"/>
    <mergeCell ref="A96:B96"/>
    <mergeCell ref="A97:B97"/>
    <mergeCell ref="A98:B98"/>
    <mergeCell ref="A74:C74"/>
    <mergeCell ref="A70:D70"/>
    <mergeCell ref="A75:C75"/>
    <mergeCell ref="A76:D76"/>
    <mergeCell ref="A78:C78"/>
    <mergeCell ref="A82:D82"/>
    <mergeCell ref="A44:D44"/>
    <mergeCell ref="A9:D9"/>
    <mergeCell ref="A10:D10"/>
    <mergeCell ref="C13:D13"/>
    <mergeCell ref="C14:D14"/>
    <mergeCell ref="C15:D15"/>
    <mergeCell ref="C16:D16"/>
    <mergeCell ref="A19:D19"/>
    <mergeCell ref="A20:D20"/>
    <mergeCell ref="A27:D27"/>
    <mergeCell ref="A28:D28"/>
    <mergeCell ref="A38:D38"/>
    <mergeCell ref="A77:C77"/>
    <mergeCell ref="A48:D48"/>
    <mergeCell ref="A58:D58"/>
  </mergeCells>
  <printOptions horizontalCentered="1"/>
  <pageMargins left="0.31496062992125984" right="0.31496062992125984" top="0.59055118110236227" bottom="0.59055118110236227" header="0.31496062992125984" footer="0.31496062992125984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AB71"/>
  <sheetViews>
    <sheetView workbookViewId="0">
      <selection activeCell="E5" sqref="A4:E5"/>
    </sheetView>
  </sheetViews>
  <sheetFormatPr defaultRowHeight="12.75" x14ac:dyDescent="0.2"/>
  <sheetData>
    <row r="2" spans="1:28" ht="15" x14ac:dyDescent="0.25">
      <c r="B2" s="6" t="s">
        <v>37</v>
      </c>
      <c r="C2" s="5" t="s">
        <v>38</v>
      </c>
      <c r="D2" s="7">
        <f>J4</f>
        <v>0.50617101367939665</v>
      </c>
      <c r="E2" s="5" t="s">
        <v>39</v>
      </c>
      <c r="I2">
        <v>820</v>
      </c>
      <c r="J2">
        <f>I2*1000</f>
        <v>820000</v>
      </c>
    </row>
    <row r="3" spans="1:28" ht="15" x14ac:dyDescent="0.25">
      <c r="B3" s="5" t="s">
        <v>40</v>
      </c>
      <c r="C3" s="5"/>
      <c r="D3" s="8">
        <f>(((57027-52735)*100)/52735)/7</f>
        <v>1.1626867491094284</v>
      </c>
      <c r="E3" s="5" t="s">
        <v>41</v>
      </c>
      <c r="J3">
        <f>J2/O36</f>
        <v>15.1851304103819</v>
      </c>
    </row>
    <row r="4" spans="1:28" x14ac:dyDescent="0.2">
      <c r="J4" s="9">
        <f>J3/30</f>
        <v>0.50617101367939665</v>
      </c>
      <c r="M4" s="10"/>
    </row>
    <row r="6" spans="1:28" ht="13.5" thickBot="1" x14ac:dyDescent="0.25"/>
    <row r="7" spans="1:28" ht="90.75" thickBot="1" x14ac:dyDescent="0.25">
      <c r="A7" s="11" t="s">
        <v>42</v>
      </c>
      <c r="B7" s="12" t="s">
        <v>43</v>
      </c>
      <c r="C7" s="12" t="s">
        <v>44</v>
      </c>
      <c r="D7" s="12" t="s">
        <v>45</v>
      </c>
      <c r="E7" s="12" t="s">
        <v>46</v>
      </c>
      <c r="F7" s="12" t="s">
        <v>47</v>
      </c>
      <c r="G7" s="12" t="s">
        <v>48</v>
      </c>
      <c r="H7" s="12" t="s">
        <v>49</v>
      </c>
      <c r="I7" s="12" t="s">
        <v>50</v>
      </c>
      <c r="J7" s="12" t="s">
        <v>51</v>
      </c>
      <c r="K7" s="13" t="s">
        <v>52</v>
      </c>
      <c r="L7" s="13" t="s">
        <v>53</v>
      </c>
      <c r="M7" s="13" t="s">
        <v>54</v>
      </c>
      <c r="N7" s="13" t="s">
        <v>55</v>
      </c>
      <c r="O7" s="13" t="s">
        <v>56</v>
      </c>
      <c r="P7" s="13" t="s">
        <v>57</v>
      </c>
      <c r="Q7" s="13" t="s">
        <v>57</v>
      </c>
      <c r="R7" s="13" t="s">
        <v>58</v>
      </c>
      <c r="S7" s="14" t="s">
        <v>59</v>
      </c>
      <c r="T7" s="13" t="s">
        <v>60</v>
      </c>
      <c r="U7" s="14" t="s">
        <v>61</v>
      </c>
      <c r="V7" s="13" t="s">
        <v>62</v>
      </c>
      <c r="W7" s="13" t="s">
        <v>63</v>
      </c>
      <c r="X7" s="13" t="s">
        <v>64</v>
      </c>
      <c r="Y7" s="13" t="s">
        <v>65</v>
      </c>
      <c r="Z7" s="13" t="s">
        <v>66</v>
      </c>
      <c r="AA7" s="15" t="s">
        <v>67</v>
      </c>
      <c r="AB7" s="16" t="s">
        <v>68</v>
      </c>
    </row>
    <row r="8" spans="1:28" ht="13.5" thickBot="1" x14ac:dyDescent="0.25">
      <c r="A8" s="196" t="s">
        <v>69</v>
      </c>
      <c r="B8" s="192" t="s">
        <v>70</v>
      </c>
      <c r="C8" s="17" t="s">
        <v>71</v>
      </c>
      <c r="D8" s="190" t="s">
        <v>72</v>
      </c>
      <c r="E8" s="190" t="s">
        <v>73</v>
      </c>
      <c r="F8" s="190" t="s">
        <v>73</v>
      </c>
      <c r="G8" s="190" t="s">
        <v>73</v>
      </c>
      <c r="H8" s="190" t="s">
        <v>73</v>
      </c>
      <c r="I8" s="190" t="s">
        <v>73</v>
      </c>
      <c r="J8" s="190" t="s">
        <v>73</v>
      </c>
      <c r="K8" s="192">
        <v>107.25</v>
      </c>
      <c r="L8" s="190">
        <v>26.25</v>
      </c>
      <c r="M8" s="194">
        <f>K8-(2*26.25)</f>
        <v>54.75</v>
      </c>
      <c r="N8" s="18">
        <v>4795</v>
      </c>
      <c r="O8" s="19">
        <f>N8*((($D$3*7)/100)+1)</f>
        <v>5185.255807338579</v>
      </c>
      <c r="P8" s="20">
        <f>($D$2*O8)/1000</f>
        <v>2.6246261881875466</v>
      </c>
      <c r="Q8" s="194">
        <f>SUM(P8:P9)</f>
        <v>5.1009158389405105</v>
      </c>
      <c r="R8" s="202">
        <f>Q8*7</f>
        <v>35.706410872583575</v>
      </c>
      <c r="S8" s="202">
        <f>R8/V8</f>
        <v>5.9510684787639292</v>
      </c>
      <c r="T8" s="194">
        <f>M8+M10</f>
        <v>74.289999999999992</v>
      </c>
      <c r="U8" s="194">
        <f>S8+S10</f>
        <v>8.6753155149702739</v>
      </c>
      <c r="V8" s="192">
        <v>6</v>
      </c>
      <c r="W8" s="194">
        <f>K8*V8</f>
        <v>643.5</v>
      </c>
      <c r="X8" s="202" t="str">
        <f>IF(S8&lt;5.796, "OK", "FALSO")</f>
        <v>FALSO</v>
      </c>
      <c r="Y8" s="192">
        <v>1</v>
      </c>
      <c r="Z8" s="194">
        <f>2*L8*V8*Y8</f>
        <v>315</v>
      </c>
      <c r="AA8" s="204">
        <f>M8*V8</f>
        <v>328.5</v>
      </c>
      <c r="AB8" s="206">
        <f>Z8+AA8</f>
        <v>643.5</v>
      </c>
    </row>
    <row r="9" spans="1:28" ht="26.25" thickBot="1" x14ac:dyDescent="0.25">
      <c r="A9" s="197"/>
      <c r="B9" s="193"/>
      <c r="C9" s="21" t="s">
        <v>74</v>
      </c>
      <c r="D9" s="191"/>
      <c r="E9" s="191"/>
      <c r="F9" s="191"/>
      <c r="G9" s="191"/>
      <c r="H9" s="191"/>
      <c r="I9" s="191"/>
      <c r="J9" s="191"/>
      <c r="K9" s="193"/>
      <c r="L9" s="191"/>
      <c r="M9" s="195"/>
      <c r="N9" s="22">
        <v>4524</v>
      </c>
      <c r="O9" s="19">
        <f t="shared" ref="O9:O35" si="0">N9*((($D$3*7)/100)+1)</f>
        <v>4892.1996397079729</v>
      </c>
      <c r="P9" s="20">
        <f t="shared" ref="P9:P35" si="1">($D$2*O9)/1000</f>
        <v>2.4762896507529635</v>
      </c>
      <c r="Q9" s="195"/>
      <c r="R9" s="203"/>
      <c r="S9" s="203"/>
      <c r="T9" s="195"/>
      <c r="U9" s="195"/>
      <c r="V9" s="193"/>
      <c r="W9" s="195"/>
      <c r="X9" s="203"/>
      <c r="Y9" s="193"/>
      <c r="Z9" s="195"/>
      <c r="AA9" s="205"/>
      <c r="AB9" s="207"/>
    </row>
    <row r="10" spans="1:28" ht="26.25" thickBot="1" x14ac:dyDescent="0.25">
      <c r="A10" s="197"/>
      <c r="B10" s="193" t="s">
        <v>75</v>
      </c>
      <c r="C10" s="21" t="s">
        <v>76</v>
      </c>
      <c r="D10" s="200" t="s">
        <v>72</v>
      </c>
      <c r="E10" s="200" t="s">
        <v>73</v>
      </c>
      <c r="F10" s="200"/>
      <c r="G10" s="200" t="s">
        <v>73</v>
      </c>
      <c r="H10" s="200"/>
      <c r="I10" s="200" t="s">
        <v>73</v>
      </c>
      <c r="J10" s="200"/>
      <c r="K10" s="193">
        <v>72</v>
      </c>
      <c r="L10" s="200">
        <v>26.23</v>
      </c>
      <c r="M10" s="193">
        <f>K10-(2*26.23)</f>
        <v>19.54</v>
      </c>
      <c r="N10" s="22">
        <v>1176</v>
      </c>
      <c r="O10" s="19">
        <f t="shared" si="0"/>
        <v>1271.712373186688</v>
      </c>
      <c r="P10" s="20">
        <f t="shared" si="1"/>
        <v>0.64370394104453699</v>
      </c>
      <c r="Q10" s="195">
        <f>SUM(P10:P11)</f>
        <v>1.1675344440884332</v>
      </c>
      <c r="R10" s="209">
        <f>Q10*7</f>
        <v>8.1727411086190322</v>
      </c>
      <c r="S10" s="209">
        <f>R10/V10</f>
        <v>2.7242470362063442</v>
      </c>
      <c r="T10" s="195"/>
      <c r="U10" s="195"/>
      <c r="V10" s="193">
        <v>3</v>
      </c>
      <c r="W10" s="195">
        <f>K10*V10</f>
        <v>216</v>
      </c>
      <c r="X10" s="209" t="str">
        <f>IF(S10&lt;5.796, "OK", "FALSO")</f>
        <v>OK</v>
      </c>
      <c r="Y10" s="193">
        <v>1</v>
      </c>
      <c r="Z10" s="195">
        <f>2*L10*V10*Y10</f>
        <v>157.38</v>
      </c>
      <c r="AA10" s="205">
        <f>M10*V10</f>
        <v>58.62</v>
      </c>
      <c r="AB10" s="207">
        <f>Z10+AA10</f>
        <v>216</v>
      </c>
    </row>
    <row r="11" spans="1:28" ht="26.25" thickBot="1" x14ac:dyDescent="0.25">
      <c r="A11" s="198"/>
      <c r="B11" s="199"/>
      <c r="C11" s="23" t="s">
        <v>77</v>
      </c>
      <c r="D11" s="201"/>
      <c r="E11" s="201"/>
      <c r="F11" s="201"/>
      <c r="G11" s="201"/>
      <c r="H11" s="201"/>
      <c r="I11" s="201"/>
      <c r="J11" s="201"/>
      <c r="K11" s="199"/>
      <c r="L11" s="201"/>
      <c r="M11" s="199"/>
      <c r="N11" s="24">
        <v>957</v>
      </c>
      <c r="O11" s="19">
        <f t="shared" si="0"/>
        <v>1034.8883853228406</v>
      </c>
      <c r="P11" s="20">
        <f t="shared" si="1"/>
        <v>0.52383050304389622</v>
      </c>
      <c r="Q11" s="208"/>
      <c r="R11" s="210"/>
      <c r="S11" s="210"/>
      <c r="T11" s="208"/>
      <c r="U11" s="208"/>
      <c r="V11" s="199"/>
      <c r="W11" s="208"/>
      <c r="X11" s="210"/>
      <c r="Y11" s="199"/>
      <c r="Z11" s="208"/>
      <c r="AA11" s="211"/>
      <c r="AB11" s="212"/>
    </row>
    <row r="12" spans="1:28" ht="26.25" thickBot="1" x14ac:dyDescent="0.25">
      <c r="A12" s="196" t="s">
        <v>78</v>
      </c>
      <c r="B12" s="192" t="s">
        <v>79</v>
      </c>
      <c r="C12" s="17" t="s">
        <v>80</v>
      </c>
      <c r="D12" s="190" t="s">
        <v>81</v>
      </c>
      <c r="E12" s="190"/>
      <c r="F12" s="190" t="s">
        <v>73</v>
      </c>
      <c r="G12" s="190"/>
      <c r="H12" s="190" t="s">
        <v>73</v>
      </c>
      <c r="I12" s="190"/>
      <c r="J12" s="190" t="s">
        <v>73</v>
      </c>
      <c r="K12" s="194">
        <v>85</v>
      </c>
      <c r="L12" s="202">
        <v>32.1</v>
      </c>
      <c r="M12" s="194">
        <f>K12-(2*32.1)</f>
        <v>20.799999999999997</v>
      </c>
      <c r="N12" s="18">
        <v>2490</v>
      </c>
      <c r="O12" s="19">
        <f t="shared" si="0"/>
        <v>2692.6563003697729</v>
      </c>
      <c r="P12" s="20">
        <f t="shared" si="1"/>
        <v>1.3629445690483819</v>
      </c>
      <c r="Q12" s="194">
        <f>SUM(P12:P14)</f>
        <v>1.664543949588807</v>
      </c>
      <c r="R12" s="202">
        <f>Q12*7</f>
        <v>11.651807647121649</v>
      </c>
      <c r="S12" s="202">
        <f>R12/V12</f>
        <v>3.883935882373883</v>
      </c>
      <c r="T12" s="194">
        <f>M12+M15+M19+M34</f>
        <v>155.15800000000002</v>
      </c>
      <c r="U12" s="194">
        <f>S12+S15+S19+S34</f>
        <v>23.5948146961444</v>
      </c>
      <c r="V12" s="190">
        <v>3</v>
      </c>
      <c r="W12" s="202">
        <f>K12*V12</f>
        <v>255</v>
      </c>
      <c r="X12" s="202" t="str">
        <f>IF(S12&lt;5.796, "OK", "FALSO")</f>
        <v>OK</v>
      </c>
      <c r="Y12" s="192">
        <v>1</v>
      </c>
      <c r="Z12" s="194">
        <f>2*L12*V12*Y12</f>
        <v>192.60000000000002</v>
      </c>
      <c r="AA12" s="204">
        <f>M12*V12</f>
        <v>62.399999999999991</v>
      </c>
      <c r="AB12" s="216">
        <f>Z12+AA12</f>
        <v>255</v>
      </c>
    </row>
    <row r="13" spans="1:28" ht="26.25" thickBot="1" x14ac:dyDescent="0.25">
      <c r="A13" s="197"/>
      <c r="B13" s="193"/>
      <c r="C13" s="21" t="s">
        <v>82</v>
      </c>
      <c r="D13" s="213"/>
      <c r="E13" s="213"/>
      <c r="F13" s="213"/>
      <c r="G13" s="213"/>
      <c r="H13" s="213"/>
      <c r="I13" s="213"/>
      <c r="J13" s="213"/>
      <c r="K13" s="195"/>
      <c r="L13" s="214"/>
      <c r="M13" s="195"/>
      <c r="N13" s="22">
        <v>351</v>
      </c>
      <c r="O13" s="19">
        <f t="shared" si="0"/>
        <v>379.5672134256186</v>
      </c>
      <c r="P13" s="20">
        <f t="shared" si="1"/>
        <v>0.19212592117910926</v>
      </c>
      <c r="Q13" s="195"/>
      <c r="R13" s="214"/>
      <c r="S13" s="214"/>
      <c r="T13" s="195"/>
      <c r="U13" s="195"/>
      <c r="V13" s="213"/>
      <c r="W13" s="214"/>
      <c r="X13" s="214"/>
      <c r="Y13" s="193"/>
      <c r="Z13" s="195"/>
      <c r="AA13" s="205"/>
      <c r="AB13" s="215"/>
    </row>
    <row r="14" spans="1:28" ht="15.75" thickBot="1" x14ac:dyDescent="0.3">
      <c r="A14" s="197"/>
      <c r="B14" s="193"/>
      <c r="C14" s="21" t="s">
        <v>83</v>
      </c>
      <c r="D14" s="191"/>
      <c r="E14" s="191"/>
      <c r="F14" s="191"/>
      <c r="G14" s="191"/>
      <c r="H14" s="191"/>
      <c r="I14" s="191"/>
      <c r="J14" s="191"/>
      <c r="K14" s="195"/>
      <c r="L14" s="203"/>
      <c r="M14" s="195"/>
      <c r="N14" s="25">
        <v>200</v>
      </c>
      <c r="O14" s="19">
        <f t="shared" si="0"/>
        <v>216.27761448753199</v>
      </c>
      <c r="P14" s="20">
        <f t="shared" si="1"/>
        <v>0.10947345936131583</v>
      </c>
      <c r="Q14" s="195"/>
      <c r="R14" s="203"/>
      <c r="S14" s="203"/>
      <c r="T14" s="195"/>
      <c r="U14" s="195"/>
      <c r="V14" s="191"/>
      <c r="W14" s="203"/>
      <c r="X14" s="203"/>
      <c r="Y14" s="193"/>
      <c r="Z14" s="195"/>
      <c r="AA14" s="205"/>
      <c r="AB14" s="215"/>
    </row>
    <row r="15" spans="1:28" ht="39" thickBot="1" x14ac:dyDescent="0.25">
      <c r="A15" s="197"/>
      <c r="B15" s="193" t="s">
        <v>84</v>
      </c>
      <c r="C15" s="21" t="s">
        <v>85</v>
      </c>
      <c r="D15" s="200" t="s">
        <v>81</v>
      </c>
      <c r="E15" s="200"/>
      <c r="F15" s="200" t="s">
        <v>73</v>
      </c>
      <c r="G15" s="200"/>
      <c r="H15" s="200" t="s">
        <v>73</v>
      </c>
      <c r="I15" s="200"/>
      <c r="J15" s="200" t="s">
        <v>73</v>
      </c>
      <c r="K15" s="195">
        <v>121.614</v>
      </c>
      <c r="L15" s="209">
        <v>29.683</v>
      </c>
      <c r="M15" s="195">
        <f>K15-(2*29.683)</f>
        <v>62.248000000000005</v>
      </c>
      <c r="N15" s="22">
        <v>2330</v>
      </c>
      <c r="O15" s="19">
        <f t="shared" si="0"/>
        <v>2519.6342087797475</v>
      </c>
      <c r="P15" s="20">
        <f t="shared" si="1"/>
        <v>1.2753658015593294</v>
      </c>
      <c r="Q15" s="195">
        <f>SUM(P15:P18)</f>
        <v>4.3953593933568307</v>
      </c>
      <c r="R15" s="209">
        <f>Q15*7</f>
        <v>30.767515753497815</v>
      </c>
      <c r="S15" s="209">
        <f>R15/V15</f>
        <v>10.255838584499271</v>
      </c>
      <c r="T15" s="195"/>
      <c r="U15" s="195"/>
      <c r="V15" s="200">
        <v>3</v>
      </c>
      <c r="W15" s="209">
        <f>K15*V15</f>
        <v>364.84199999999998</v>
      </c>
      <c r="X15" s="209" t="str">
        <f>IF(S15&lt;5.796, "OK", "FALSO")</f>
        <v>FALSO</v>
      </c>
      <c r="Y15" s="193">
        <v>1</v>
      </c>
      <c r="Z15" s="195">
        <f>2*L15*V15*Y15</f>
        <v>178.09800000000001</v>
      </c>
      <c r="AA15" s="205">
        <f>M15*V15</f>
        <v>186.74400000000003</v>
      </c>
      <c r="AB15" s="215">
        <f>Z15+AA15</f>
        <v>364.84200000000004</v>
      </c>
    </row>
    <row r="16" spans="1:28" ht="26.25" thickBot="1" x14ac:dyDescent="0.25">
      <c r="A16" s="197"/>
      <c r="B16" s="193"/>
      <c r="C16" s="21" t="s">
        <v>86</v>
      </c>
      <c r="D16" s="213"/>
      <c r="E16" s="213"/>
      <c r="F16" s="213"/>
      <c r="G16" s="213"/>
      <c r="H16" s="213"/>
      <c r="I16" s="213"/>
      <c r="J16" s="213"/>
      <c r="K16" s="195"/>
      <c r="L16" s="214"/>
      <c r="M16" s="193"/>
      <c r="N16" s="22">
        <v>2134</v>
      </c>
      <c r="O16" s="19">
        <f t="shared" si="0"/>
        <v>2307.6821465819662</v>
      </c>
      <c r="P16" s="20">
        <f t="shared" si="1"/>
        <v>1.1680818113852398</v>
      </c>
      <c r="Q16" s="195"/>
      <c r="R16" s="214"/>
      <c r="S16" s="214"/>
      <c r="T16" s="195"/>
      <c r="U16" s="195"/>
      <c r="V16" s="213"/>
      <c r="W16" s="214"/>
      <c r="X16" s="214"/>
      <c r="Y16" s="193"/>
      <c r="Z16" s="195"/>
      <c r="AA16" s="205"/>
      <c r="AB16" s="215"/>
    </row>
    <row r="17" spans="1:28" ht="26.25" thickBot="1" x14ac:dyDescent="0.25">
      <c r="A17" s="197"/>
      <c r="B17" s="193"/>
      <c r="C17" s="21" t="s">
        <v>87</v>
      </c>
      <c r="D17" s="213"/>
      <c r="E17" s="213"/>
      <c r="F17" s="213"/>
      <c r="G17" s="213"/>
      <c r="H17" s="213"/>
      <c r="I17" s="213"/>
      <c r="J17" s="213"/>
      <c r="K17" s="195"/>
      <c r="L17" s="214"/>
      <c r="M17" s="193"/>
      <c r="N17" s="22">
        <v>2361</v>
      </c>
      <c r="O17" s="19">
        <f t="shared" si="0"/>
        <v>2553.157239025315</v>
      </c>
      <c r="P17" s="20">
        <f t="shared" si="1"/>
        <v>1.2923341877603334</v>
      </c>
      <c r="Q17" s="195"/>
      <c r="R17" s="214"/>
      <c r="S17" s="214"/>
      <c r="T17" s="195"/>
      <c r="U17" s="195"/>
      <c r="V17" s="213"/>
      <c r="W17" s="214"/>
      <c r="X17" s="214"/>
      <c r="Y17" s="193"/>
      <c r="Z17" s="195"/>
      <c r="AA17" s="205"/>
      <c r="AB17" s="215"/>
    </row>
    <row r="18" spans="1:28" ht="26.25" thickBot="1" x14ac:dyDescent="0.25">
      <c r="A18" s="197"/>
      <c r="B18" s="193"/>
      <c r="C18" s="21" t="s">
        <v>88</v>
      </c>
      <c r="D18" s="191"/>
      <c r="E18" s="191"/>
      <c r="F18" s="191"/>
      <c r="G18" s="191"/>
      <c r="H18" s="191"/>
      <c r="I18" s="191"/>
      <c r="J18" s="191"/>
      <c r="K18" s="195"/>
      <c r="L18" s="203"/>
      <c r="M18" s="193"/>
      <c r="N18" s="22">
        <v>1205</v>
      </c>
      <c r="O18" s="19">
        <f t="shared" si="0"/>
        <v>1303.0726272873801</v>
      </c>
      <c r="P18" s="20">
        <f t="shared" si="1"/>
        <v>0.65957759265192784</v>
      </c>
      <c r="Q18" s="195"/>
      <c r="R18" s="203"/>
      <c r="S18" s="203"/>
      <c r="T18" s="195"/>
      <c r="U18" s="195"/>
      <c r="V18" s="191"/>
      <c r="W18" s="203"/>
      <c r="X18" s="203"/>
      <c r="Y18" s="193"/>
      <c r="Z18" s="195"/>
      <c r="AA18" s="205"/>
      <c r="AB18" s="215"/>
    </row>
    <row r="19" spans="1:28" ht="13.5" thickBot="1" x14ac:dyDescent="0.25">
      <c r="A19" s="197"/>
      <c r="B19" s="200" t="s">
        <v>89</v>
      </c>
      <c r="C19" s="21" t="s">
        <v>90</v>
      </c>
      <c r="D19" s="200" t="s">
        <v>81</v>
      </c>
      <c r="E19" s="200"/>
      <c r="F19" s="200" t="s">
        <v>73</v>
      </c>
      <c r="G19" s="200"/>
      <c r="H19" s="200" t="s">
        <v>73</v>
      </c>
      <c r="I19" s="200"/>
      <c r="J19" s="200" t="s">
        <v>73</v>
      </c>
      <c r="K19" s="193">
        <v>116.45</v>
      </c>
      <c r="L19" s="200">
        <v>24.37</v>
      </c>
      <c r="M19" s="193">
        <f>K19-(2*24.37)</f>
        <v>67.710000000000008</v>
      </c>
      <c r="N19" s="22">
        <v>3151</v>
      </c>
      <c r="O19" s="19">
        <f t="shared" si="0"/>
        <v>3407.4538162510662</v>
      </c>
      <c r="P19" s="20">
        <f t="shared" si="1"/>
        <v>1.7247543522375308</v>
      </c>
      <c r="Q19" s="195">
        <f>SUM(P19:P23)</f>
        <v>3.7483712485314538</v>
      </c>
      <c r="R19" s="209">
        <f>Q19*7</f>
        <v>26.238598739720175</v>
      </c>
      <c r="S19" s="209">
        <f>R19/V19</f>
        <v>8.7461995799067243</v>
      </c>
      <c r="T19" s="195"/>
      <c r="U19" s="195"/>
      <c r="V19" s="200">
        <v>3</v>
      </c>
      <c r="W19" s="209">
        <f>K19*V19</f>
        <v>349.35</v>
      </c>
      <c r="X19" s="209" t="str">
        <f>IF(S19&lt;5.796, "OK", "FALSO")</f>
        <v>FALSO</v>
      </c>
      <c r="Y19" s="193">
        <v>1</v>
      </c>
      <c r="Z19" s="193">
        <f>2*L19*V19*Y19</f>
        <v>146.22</v>
      </c>
      <c r="AA19" s="219">
        <f>M19*V19</f>
        <v>203.13000000000002</v>
      </c>
      <c r="AB19" s="217">
        <f>Z19+AA19</f>
        <v>349.35</v>
      </c>
    </row>
    <row r="20" spans="1:28" ht="26.25" thickBot="1" x14ac:dyDescent="0.25">
      <c r="A20" s="197"/>
      <c r="B20" s="213"/>
      <c r="C20" s="21" t="s">
        <v>91</v>
      </c>
      <c r="D20" s="213"/>
      <c r="E20" s="213"/>
      <c r="F20" s="213"/>
      <c r="G20" s="213"/>
      <c r="H20" s="213"/>
      <c r="I20" s="213"/>
      <c r="J20" s="213"/>
      <c r="K20" s="193"/>
      <c r="L20" s="213"/>
      <c r="M20" s="193"/>
      <c r="N20" s="22">
        <v>200</v>
      </c>
      <c r="O20" s="19">
        <f t="shared" si="0"/>
        <v>216.27761448753199</v>
      </c>
      <c r="P20" s="20">
        <f t="shared" si="1"/>
        <v>0.10947345936131583</v>
      </c>
      <c r="Q20" s="195"/>
      <c r="R20" s="214"/>
      <c r="S20" s="214"/>
      <c r="T20" s="195"/>
      <c r="U20" s="195"/>
      <c r="V20" s="213"/>
      <c r="W20" s="214"/>
      <c r="X20" s="214"/>
      <c r="Y20" s="193"/>
      <c r="Z20" s="193"/>
      <c r="AA20" s="219"/>
      <c r="AB20" s="217"/>
    </row>
    <row r="21" spans="1:28" ht="26.25" thickBot="1" x14ac:dyDescent="0.25">
      <c r="A21" s="197"/>
      <c r="B21" s="213"/>
      <c r="C21" s="21" t="s">
        <v>92</v>
      </c>
      <c r="D21" s="213"/>
      <c r="E21" s="213"/>
      <c r="F21" s="213"/>
      <c r="G21" s="213"/>
      <c r="H21" s="213"/>
      <c r="I21" s="213"/>
      <c r="J21" s="213"/>
      <c r="K21" s="193"/>
      <c r="L21" s="213"/>
      <c r="M21" s="193"/>
      <c r="N21" s="22">
        <v>1997</v>
      </c>
      <c r="O21" s="19">
        <f t="shared" si="0"/>
        <v>2159.5319806580069</v>
      </c>
      <c r="P21" s="20">
        <f t="shared" si="1"/>
        <v>1.0930924917227385</v>
      </c>
      <c r="Q21" s="195"/>
      <c r="R21" s="214"/>
      <c r="S21" s="214"/>
      <c r="T21" s="195"/>
      <c r="U21" s="195"/>
      <c r="V21" s="213"/>
      <c r="W21" s="214"/>
      <c r="X21" s="214"/>
      <c r="Y21" s="193"/>
      <c r="Z21" s="193"/>
      <c r="AA21" s="219"/>
      <c r="AB21" s="217"/>
    </row>
    <row r="22" spans="1:28" ht="13.5" thickBot="1" x14ac:dyDescent="0.25">
      <c r="A22" s="197"/>
      <c r="B22" s="213"/>
      <c r="C22" s="21" t="s">
        <v>93</v>
      </c>
      <c r="D22" s="213"/>
      <c r="E22" s="213"/>
      <c r="F22" s="213"/>
      <c r="G22" s="213"/>
      <c r="H22" s="213"/>
      <c r="I22" s="213"/>
      <c r="J22" s="213"/>
      <c r="K22" s="193"/>
      <c r="L22" s="213"/>
      <c r="M22" s="193"/>
      <c r="N22" s="22">
        <v>300</v>
      </c>
      <c r="O22" s="19">
        <f t="shared" si="0"/>
        <v>324.41642173129799</v>
      </c>
      <c r="P22" s="20">
        <f t="shared" si="1"/>
        <v>0.16421018904197374</v>
      </c>
      <c r="Q22" s="195"/>
      <c r="R22" s="214"/>
      <c r="S22" s="214"/>
      <c r="T22" s="195"/>
      <c r="U22" s="195"/>
      <c r="V22" s="213"/>
      <c r="W22" s="214"/>
      <c r="X22" s="214"/>
      <c r="Y22" s="193"/>
      <c r="Z22" s="193"/>
      <c r="AA22" s="219"/>
      <c r="AB22" s="217"/>
    </row>
    <row r="23" spans="1:28" ht="26.25" thickBot="1" x14ac:dyDescent="0.25">
      <c r="A23" s="198"/>
      <c r="B23" s="201"/>
      <c r="C23" s="23" t="s">
        <v>94</v>
      </c>
      <c r="D23" s="201"/>
      <c r="E23" s="201"/>
      <c r="F23" s="201"/>
      <c r="G23" s="201"/>
      <c r="H23" s="201"/>
      <c r="I23" s="201"/>
      <c r="J23" s="201"/>
      <c r="K23" s="199"/>
      <c r="L23" s="201"/>
      <c r="M23" s="199"/>
      <c r="N23" s="24">
        <v>1200</v>
      </c>
      <c r="O23" s="19">
        <f t="shared" si="0"/>
        <v>1297.6656869251919</v>
      </c>
      <c r="P23" s="20">
        <f t="shared" si="1"/>
        <v>0.65684075616789495</v>
      </c>
      <c r="Q23" s="208"/>
      <c r="R23" s="210"/>
      <c r="S23" s="210"/>
      <c r="T23" s="208"/>
      <c r="U23" s="208"/>
      <c r="V23" s="201"/>
      <c r="W23" s="210"/>
      <c r="X23" s="210"/>
      <c r="Y23" s="199"/>
      <c r="Z23" s="199"/>
      <c r="AA23" s="220"/>
      <c r="AB23" s="218"/>
    </row>
    <row r="24" spans="1:28" ht="26.25" thickBot="1" x14ac:dyDescent="0.25">
      <c r="A24" s="196" t="s">
        <v>95</v>
      </c>
      <c r="B24" s="192" t="s">
        <v>96</v>
      </c>
      <c r="C24" s="17" t="s">
        <v>97</v>
      </c>
      <c r="D24" s="190" t="s">
        <v>81</v>
      </c>
      <c r="E24" s="190" t="s">
        <v>73</v>
      </c>
      <c r="F24" s="190"/>
      <c r="G24" s="190" t="s">
        <v>73</v>
      </c>
      <c r="H24" s="190"/>
      <c r="I24" s="190" t="s">
        <v>73</v>
      </c>
      <c r="J24" s="190"/>
      <c r="K24" s="194">
        <v>146</v>
      </c>
      <c r="L24" s="202">
        <v>29.452999999999999</v>
      </c>
      <c r="M24" s="194">
        <f>K24-(2*29.453)</f>
        <v>87.093999999999994</v>
      </c>
      <c r="N24" s="18">
        <v>2692</v>
      </c>
      <c r="O24" s="19">
        <f t="shared" si="0"/>
        <v>2911.0966910021803</v>
      </c>
      <c r="P24" s="20">
        <f t="shared" si="1"/>
        <v>1.4735127630033109</v>
      </c>
      <c r="Q24" s="194">
        <f>SUM(P24:P28)</f>
        <v>3.806939549289758</v>
      </c>
      <c r="R24" s="202">
        <f>Q24*7</f>
        <v>26.648576845028305</v>
      </c>
      <c r="S24" s="202">
        <f>R24/V24</f>
        <v>8.8828589483427685</v>
      </c>
      <c r="T24" s="194">
        <f>M24+M29+M31+M35</f>
        <v>252.31399999999999</v>
      </c>
      <c r="U24" s="194">
        <f>S24+S29+S31+S35</f>
        <v>26.540015664494998</v>
      </c>
      <c r="V24" s="190">
        <v>3</v>
      </c>
      <c r="W24" s="202">
        <f>K24*V24</f>
        <v>438</v>
      </c>
      <c r="X24" s="202"/>
      <c r="Y24" s="192">
        <v>1</v>
      </c>
      <c r="Z24" s="192">
        <f>2*L24*V24*Y24</f>
        <v>176.71799999999999</v>
      </c>
      <c r="AA24" s="221">
        <f>M24*V24</f>
        <v>261.28199999999998</v>
      </c>
      <c r="AB24" s="222">
        <f>Z24+AA24</f>
        <v>438</v>
      </c>
    </row>
    <row r="25" spans="1:28" ht="26.25" thickBot="1" x14ac:dyDescent="0.25">
      <c r="A25" s="197"/>
      <c r="B25" s="193"/>
      <c r="C25" s="21" t="s">
        <v>98</v>
      </c>
      <c r="D25" s="213"/>
      <c r="E25" s="213"/>
      <c r="F25" s="213"/>
      <c r="G25" s="213"/>
      <c r="H25" s="213"/>
      <c r="I25" s="213"/>
      <c r="J25" s="213"/>
      <c r="K25" s="195"/>
      <c r="L25" s="214"/>
      <c r="M25" s="193"/>
      <c r="N25" s="22">
        <v>1084</v>
      </c>
      <c r="O25" s="19">
        <f t="shared" si="0"/>
        <v>1172.2246705224234</v>
      </c>
      <c r="P25" s="20">
        <f t="shared" si="1"/>
        <v>0.59334614973833177</v>
      </c>
      <c r="Q25" s="195"/>
      <c r="R25" s="214"/>
      <c r="S25" s="214"/>
      <c r="T25" s="195"/>
      <c r="U25" s="195"/>
      <c r="V25" s="213"/>
      <c r="W25" s="214"/>
      <c r="X25" s="214"/>
      <c r="Y25" s="193"/>
      <c r="Z25" s="193"/>
      <c r="AA25" s="219"/>
      <c r="AB25" s="217"/>
    </row>
    <row r="26" spans="1:28" ht="26.25" thickBot="1" x14ac:dyDescent="0.25">
      <c r="A26" s="197"/>
      <c r="B26" s="193"/>
      <c r="C26" s="21" t="s">
        <v>99</v>
      </c>
      <c r="D26" s="213"/>
      <c r="E26" s="213"/>
      <c r="F26" s="213"/>
      <c r="G26" s="213"/>
      <c r="H26" s="213"/>
      <c r="I26" s="213"/>
      <c r="J26" s="213"/>
      <c r="K26" s="195"/>
      <c r="L26" s="214"/>
      <c r="M26" s="193"/>
      <c r="N26" s="22">
        <v>2413</v>
      </c>
      <c r="O26" s="19">
        <f t="shared" si="0"/>
        <v>2609.3894187920732</v>
      </c>
      <c r="P26" s="20">
        <f t="shared" si="1"/>
        <v>1.3207972871942755</v>
      </c>
      <c r="Q26" s="195"/>
      <c r="R26" s="214"/>
      <c r="S26" s="214"/>
      <c r="T26" s="195"/>
      <c r="U26" s="195"/>
      <c r="V26" s="213"/>
      <c r="W26" s="214"/>
      <c r="X26" s="214"/>
      <c r="Y26" s="193"/>
      <c r="Z26" s="193"/>
      <c r="AA26" s="219"/>
      <c r="AB26" s="217"/>
    </row>
    <row r="27" spans="1:28" ht="26.25" thickBot="1" x14ac:dyDescent="0.25">
      <c r="A27" s="197"/>
      <c r="B27" s="193"/>
      <c r="C27" s="21" t="s">
        <v>100</v>
      </c>
      <c r="D27" s="213"/>
      <c r="E27" s="213"/>
      <c r="F27" s="213"/>
      <c r="G27" s="213"/>
      <c r="H27" s="213"/>
      <c r="I27" s="213"/>
      <c r="J27" s="213"/>
      <c r="K27" s="195"/>
      <c r="L27" s="214"/>
      <c r="M27" s="193"/>
      <c r="N27" s="22">
        <v>552</v>
      </c>
      <c r="O27" s="19">
        <f t="shared" si="0"/>
        <v>596.92621598558821</v>
      </c>
      <c r="P27" s="20">
        <f t="shared" si="1"/>
        <v>0.30214674783723167</v>
      </c>
      <c r="Q27" s="195"/>
      <c r="R27" s="214"/>
      <c r="S27" s="214"/>
      <c r="T27" s="195"/>
      <c r="U27" s="195"/>
      <c r="V27" s="213"/>
      <c r="W27" s="214"/>
      <c r="X27" s="214"/>
      <c r="Y27" s="193"/>
      <c r="Z27" s="193"/>
      <c r="AA27" s="219"/>
      <c r="AB27" s="217"/>
    </row>
    <row r="28" spans="1:28" ht="26.25" thickBot="1" x14ac:dyDescent="0.25">
      <c r="A28" s="197"/>
      <c r="B28" s="193"/>
      <c r="C28" s="21" t="s">
        <v>101</v>
      </c>
      <c r="D28" s="191"/>
      <c r="E28" s="191"/>
      <c r="F28" s="191"/>
      <c r="G28" s="191"/>
      <c r="H28" s="191"/>
      <c r="I28" s="191"/>
      <c r="J28" s="191"/>
      <c r="K28" s="195"/>
      <c r="L28" s="203"/>
      <c r="M28" s="193"/>
      <c r="N28" s="22">
        <v>214</v>
      </c>
      <c r="O28" s="19">
        <f t="shared" si="0"/>
        <v>231.41704750165923</v>
      </c>
      <c r="P28" s="20">
        <f t="shared" si="1"/>
        <v>0.11713660151660794</v>
      </c>
      <c r="Q28" s="195"/>
      <c r="R28" s="203"/>
      <c r="S28" s="203"/>
      <c r="T28" s="195"/>
      <c r="U28" s="195"/>
      <c r="V28" s="191"/>
      <c r="W28" s="203"/>
      <c r="X28" s="203"/>
      <c r="Y28" s="193"/>
      <c r="Z28" s="193"/>
      <c r="AA28" s="219"/>
      <c r="AB28" s="217"/>
    </row>
    <row r="29" spans="1:28" ht="26.25" thickBot="1" x14ac:dyDescent="0.25">
      <c r="A29" s="197"/>
      <c r="B29" s="193" t="s">
        <v>102</v>
      </c>
      <c r="C29" s="21" t="s">
        <v>103</v>
      </c>
      <c r="D29" s="200" t="s">
        <v>81</v>
      </c>
      <c r="E29" s="200" t="s">
        <v>73</v>
      </c>
      <c r="F29" s="200"/>
      <c r="G29" s="200" t="s">
        <v>73</v>
      </c>
      <c r="H29" s="200"/>
      <c r="I29" s="200" t="s">
        <v>73</v>
      </c>
      <c r="J29" s="200"/>
      <c r="K29" s="193">
        <v>96.55</v>
      </c>
      <c r="L29" s="200">
        <v>29.17</v>
      </c>
      <c r="M29" s="193">
        <f>K29-(2*29.17)</f>
        <v>38.209999999999994</v>
      </c>
      <c r="N29" s="22">
        <v>3367</v>
      </c>
      <c r="O29" s="19">
        <f t="shared" si="0"/>
        <v>3641.033639897601</v>
      </c>
      <c r="P29" s="20">
        <f t="shared" si="1"/>
        <v>1.8429856883477518</v>
      </c>
      <c r="Q29" s="195">
        <f>SUM(P29:P30)</f>
        <v>3.1539303641995087</v>
      </c>
      <c r="R29" s="209">
        <f>Q29*7</f>
        <v>22.077512549396559</v>
      </c>
      <c r="S29" s="209">
        <f>R29/V29</f>
        <v>7.3591708497988533</v>
      </c>
      <c r="T29" s="195"/>
      <c r="U29" s="195"/>
      <c r="V29" s="200">
        <v>3</v>
      </c>
      <c r="W29" s="209">
        <f>K29*V29</f>
        <v>289.64999999999998</v>
      </c>
      <c r="X29" s="209"/>
      <c r="Y29" s="193">
        <v>1</v>
      </c>
      <c r="Z29" s="193">
        <f>2*L29*V29*Y29</f>
        <v>175.02</v>
      </c>
      <c r="AA29" s="219">
        <f>M29*V29</f>
        <v>114.62999999999998</v>
      </c>
      <c r="AB29" s="217">
        <f>Z29+AA29</f>
        <v>289.64999999999998</v>
      </c>
    </row>
    <row r="30" spans="1:28" ht="26.25" thickBot="1" x14ac:dyDescent="0.25">
      <c r="A30" s="197"/>
      <c r="B30" s="193"/>
      <c r="C30" s="21" t="s">
        <v>104</v>
      </c>
      <c r="D30" s="191"/>
      <c r="E30" s="191"/>
      <c r="F30" s="191"/>
      <c r="G30" s="191"/>
      <c r="H30" s="191"/>
      <c r="I30" s="191"/>
      <c r="J30" s="191"/>
      <c r="K30" s="193"/>
      <c r="L30" s="191"/>
      <c r="M30" s="193"/>
      <c r="N30" s="22">
        <v>2395</v>
      </c>
      <c r="O30" s="19">
        <f t="shared" si="0"/>
        <v>2589.9244334881955</v>
      </c>
      <c r="P30" s="20">
        <f t="shared" si="1"/>
        <v>1.3109446758517569</v>
      </c>
      <c r="Q30" s="195"/>
      <c r="R30" s="203"/>
      <c r="S30" s="203"/>
      <c r="T30" s="195"/>
      <c r="U30" s="195"/>
      <c r="V30" s="191"/>
      <c r="W30" s="203"/>
      <c r="X30" s="203"/>
      <c r="Y30" s="193"/>
      <c r="Z30" s="193"/>
      <c r="AA30" s="219"/>
      <c r="AB30" s="217"/>
    </row>
    <row r="31" spans="1:28" ht="13.5" thickBot="1" x14ac:dyDescent="0.25">
      <c r="A31" s="197"/>
      <c r="B31" s="193" t="s">
        <v>105</v>
      </c>
      <c r="C31" s="21" t="s">
        <v>106</v>
      </c>
      <c r="D31" s="200" t="s">
        <v>81</v>
      </c>
      <c r="E31" s="200" t="s">
        <v>73</v>
      </c>
      <c r="F31" s="200"/>
      <c r="G31" s="200" t="s">
        <v>73</v>
      </c>
      <c r="H31" s="200"/>
      <c r="I31" s="200" t="s">
        <v>73</v>
      </c>
      <c r="J31" s="200"/>
      <c r="K31" s="193">
        <v>160.76</v>
      </c>
      <c r="L31" s="200">
        <v>30.4</v>
      </c>
      <c r="M31" s="193">
        <f>K31-(2*30.4)</f>
        <v>99.96</v>
      </c>
      <c r="N31" s="22">
        <v>5638</v>
      </c>
      <c r="O31" s="19">
        <f t="shared" si="0"/>
        <v>6096.8659524035265</v>
      </c>
      <c r="P31" s="20">
        <f t="shared" si="1"/>
        <v>3.0860568193954934</v>
      </c>
      <c r="Q31" s="195">
        <f>SUM(P31:P33)</f>
        <v>4.0850021360675006</v>
      </c>
      <c r="R31" s="209">
        <f>Q31*7</f>
        <v>28.595014952472503</v>
      </c>
      <c r="S31" s="209">
        <f>R31/V31</f>
        <v>9.5316716508241672</v>
      </c>
      <c r="T31" s="195"/>
      <c r="U31" s="195"/>
      <c r="V31" s="200">
        <v>3</v>
      </c>
      <c r="W31" s="209">
        <f>K31*V31</f>
        <v>482.28</v>
      </c>
      <c r="X31" s="209"/>
      <c r="Y31" s="193">
        <v>1</v>
      </c>
      <c r="Z31" s="193">
        <f>2*L31*V31*Y31</f>
        <v>182.39999999999998</v>
      </c>
      <c r="AA31" s="219">
        <f>M31*V31</f>
        <v>299.88</v>
      </c>
      <c r="AB31" s="217">
        <f>Z31+AA31</f>
        <v>482.28</v>
      </c>
    </row>
    <row r="32" spans="1:28" ht="39" thickBot="1" x14ac:dyDescent="0.25">
      <c r="A32" s="197"/>
      <c r="B32" s="193"/>
      <c r="C32" s="21" t="s">
        <v>107</v>
      </c>
      <c r="D32" s="213"/>
      <c r="E32" s="213"/>
      <c r="F32" s="213"/>
      <c r="G32" s="213"/>
      <c r="H32" s="213"/>
      <c r="I32" s="213"/>
      <c r="J32" s="213"/>
      <c r="K32" s="193"/>
      <c r="L32" s="213"/>
      <c r="M32" s="193"/>
      <c r="N32" s="22">
        <v>1825</v>
      </c>
      <c r="O32" s="19">
        <f t="shared" si="0"/>
        <v>1973.5332321987294</v>
      </c>
      <c r="P32" s="20">
        <f t="shared" si="1"/>
        <v>0.99894531667200692</v>
      </c>
      <c r="Q32" s="195"/>
      <c r="R32" s="214"/>
      <c r="S32" s="214"/>
      <c r="T32" s="195"/>
      <c r="U32" s="195"/>
      <c r="V32" s="213"/>
      <c r="W32" s="214"/>
      <c r="X32" s="214"/>
      <c r="Y32" s="193"/>
      <c r="Z32" s="193"/>
      <c r="AA32" s="219"/>
      <c r="AB32" s="217"/>
    </row>
    <row r="33" spans="1:28" ht="39" thickBot="1" x14ac:dyDescent="0.25">
      <c r="A33" s="198"/>
      <c r="B33" s="199"/>
      <c r="C33" s="51" t="s">
        <v>108</v>
      </c>
      <c r="D33" s="201"/>
      <c r="E33" s="201"/>
      <c r="F33" s="201"/>
      <c r="G33" s="201"/>
      <c r="H33" s="201"/>
      <c r="I33" s="201"/>
      <c r="J33" s="201"/>
      <c r="K33" s="199"/>
      <c r="L33" s="201"/>
      <c r="M33" s="199"/>
      <c r="N33" s="24">
        <v>0</v>
      </c>
      <c r="O33" s="19">
        <f t="shared" si="0"/>
        <v>0</v>
      </c>
      <c r="P33" s="20">
        <f t="shared" si="1"/>
        <v>0</v>
      </c>
      <c r="Q33" s="208"/>
      <c r="R33" s="210"/>
      <c r="S33" s="210"/>
      <c r="T33" s="208"/>
      <c r="U33" s="208"/>
      <c r="V33" s="201"/>
      <c r="W33" s="210"/>
      <c r="X33" s="210"/>
      <c r="Y33" s="199"/>
      <c r="Z33" s="199"/>
      <c r="AA33" s="220"/>
      <c r="AB33" s="218"/>
    </row>
    <row r="34" spans="1:28" ht="51.75" thickBot="1" x14ac:dyDescent="0.3">
      <c r="A34" s="26" t="s">
        <v>78</v>
      </c>
      <c r="B34" s="27" t="s">
        <v>109</v>
      </c>
      <c r="C34" s="28" t="s">
        <v>110</v>
      </c>
      <c r="D34" s="29" t="s">
        <v>81</v>
      </c>
      <c r="E34" s="29"/>
      <c r="F34" s="29"/>
      <c r="G34" s="29"/>
      <c r="H34" s="29" t="s">
        <v>73</v>
      </c>
      <c r="I34" s="29"/>
      <c r="J34" s="29"/>
      <c r="K34" s="29">
        <v>4.4000000000000004</v>
      </c>
      <c r="L34" s="29" t="s">
        <v>111</v>
      </c>
      <c r="M34" s="29">
        <f>K34-0</f>
        <v>4.4000000000000004</v>
      </c>
      <c r="N34" s="30">
        <v>185</v>
      </c>
      <c r="O34" s="19">
        <f t="shared" si="0"/>
        <v>200.05679340096708</v>
      </c>
      <c r="P34" s="20">
        <f t="shared" si="1"/>
        <v>0.10126294990921714</v>
      </c>
      <c r="Q34" s="31">
        <f>P34</f>
        <v>0.10126294990921714</v>
      </c>
      <c r="R34" s="31">
        <f>Q34*7</f>
        <v>0.70884064936451996</v>
      </c>
      <c r="S34" s="31">
        <f>R34/V34</f>
        <v>0.70884064936451996</v>
      </c>
      <c r="T34" s="31">
        <f>M34</f>
        <v>4.4000000000000004</v>
      </c>
      <c r="U34" s="32"/>
      <c r="V34" s="29">
        <v>1</v>
      </c>
      <c r="W34" s="31">
        <f>K34*V34</f>
        <v>4.4000000000000004</v>
      </c>
      <c r="X34" s="31"/>
      <c r="Y34" s="29">
        <v>1</v>
      </c>
      <c r="Z34" s="29" t="s">
        <v>111</v>
      </c>
      <c r="AA34" s="33">
        <f>M34*V34</f>
        <v>4.4000000000000004</v>
      </c>
      <c r="AB34" s="34">
        <f>AA34</f>
        <v>4.4000000000000004</v>
      </c>
    </row>
    <row r="35" spans="1:28" ht="39" thickBot="1" x14ac:dyDescent="0.3">
      <c r="A35" s="26" t="s">
        <v>112</v>
      </c>
      <c r="B35" s="27" t="s">
        <v>113</v>
      </c>
      <c r="C35" s="28" t="s">
        <v>114</v>
      </c>
      <c r="D35" s="29" t="s">
        <v>81</v>
      </c>
      <c r="E35" s="29"/>
      <c r="F35" s="29"/>
      <c r="G35" s="29" t="s">
        <v>73</v>
      </c>
      <c r="H35" s="29"/>
      <c r="I35" s="29"/>
      <c r="J35" s="29"/>
      <c r="K35" s="29">
        <v>27.05</v>
      </c>
      <c r="L35" s="29" t="s">
        <v>111</v>
      </c>
      <c r="M35" s="29">
        <f>K35-0</f>
        <v>27.05</v>
      </c>
      <c r="N35" s="30">
        <v>200</v>
      </c>
      <c r="O35" s="19">
        <f t="shared" si="0"/>
        <v>216.27761448753199</v>
      </c>
      <c r="P35" s="20">
        <f t="shared" si="1"/>
        <v>0.10947345936131583</v>
      </c>
      <c r="Q35" s="31">
        <f>P35</f>
        <v>0.10947345936131583</v>
      </c>
      <c r="R35" s="31">
        <f>Q35*7</f>
        <v>0.76631421552921086</v>
      </c>
      <c r="S35" s="31">
        <f>R35/V35</f>
        <v>0.76631421552921086</v>
      </c>
      <c r="T35" s="31">
        <f>M35</f>
        <v>27.05</v>
      </c>
      <c r="U35" s="32"/>
      <c r="V35" s="29">
        <v>1</v>
      </c>
      <c r="W35" s="31">
        <f>K35*V35</f>
        <v>27.05</v>
      </c>
      <c r="X35" s="31"/>
      <c r="Y35" s="29">
        <v>1</v>
      </c>
      <c r="Z35" s="29" t="s">
        <v>111</v>
      </c>
      <c r="AA35" s="33">
        <f>M35*V35</f>
        <v>27.05</v>
      </c>
      <c r="AB35" s="34">
        <f>AA35</f>
        <v>27.05</v>
      </c>
    </row>
    <row r="36" spans="1:28" ht="15.75" thickBot="1" x14ac:dyDescent="0.3">
      <c r="K36" s="10"/>
      <c r="L36" s="10">
        <f>SUM(L8:L35)</f>
        <v>227.65600000000003</v>
      </c>
      <c r="M36" s="7"/>
      <c r="N36">
        <f>SUM(N8:N35)</f>
        <v>49936</v>
      </c>
      <c r="O36" s="35">
        <f>SUM(O8:O35)</f>
        <v>54000.194785246982</v>
      </c>
      <c r="P36" s="10">
        <f>SUM(P8:P35)</f>
        <v>27.333333333333332</v>
      </c>
      <c r="Q36" t="s">
        <v>115</v>
      </c>
      <c r="R36" s="10"/>
      <c r="Z36" s="36">
        <f>SUM(Z8:Z35)</f>
        <v>1523.4360000000001</v>
      </c>
      <c r="AA36" s="36">
        <f>SUM(AA8:AA35)</f>
        <v>1546.6359999999997</v>
      </c>
      <c r="AB36" s="37">
        <f>Z36+AA36</f>
        <v>3070.0720000000001</v>
      </c>
    </row>
    <row r="37" spans="1:28" x14ac:dyDescent="0.2">
      <c r="P37" s="10">
        <f>P36*30</f>
        <v>820</v>
      </c>
      <c r="Q37" t="s">
        <v>116</v>
      </c>
    </row>
    <row r="38" spans="1:28" ht="15" x14ac:dyDescent="0.25">
      <c r="K38" t="s">
        <v>117</v>
      </c>
      <c r="L38" s="7">
        <f>L36/8</f>
        <v>28.457000000000004</v>
      </c>
      <c r="M38" s="5" t="s">
        <v>118</v>
      </c>
      <c r="R38" s="38"/>
      <c r="Z38" s="10">
        <f>Z36*4</f>
        <v>6093.7440000000006</v>
      </c>
      <c r="AA38" s="10">
        <f>AA36*4</f>
        <v>6186.543999999999</v>
      </c>
      <c r="AB38">
        <f>AB36*4</f>
        <v>12280.288</v>
      </c>
    </row>
    <row r="39" spans="1:28" ht="15" x14ac:dyDescent="0.25">
      <c r="E39" s="10"/>
      <c r="L39">
        <f>N36-N14-N22-N23-N34-N35</f>
        <v>47851</v>
      </c>
      <c r="N39">
        <f>SUM(N24:N33)</f>
        <v>20180</v>
      </c>
      <c r="Q39" s="39"/>
      <c r="R39" s="38"/>
    </row>
    <row r="41" spans="1:28" ht="15" x14ac:dyDescent="0.25">
      <c r="N41" s="5" t="s">
        <v>119</v>
      </c>
      <c r="O41" s="5"/>
    </row>
    <row r="42" spans="1:28" x14ac:dyDescent="0.2">
      <c r="R42">
        <v>19498</v>
      </c>
    </row>
    <row r="43" spans="1:28" ht="15" x14ac:dyDescent="0.25">
      <c r="K43" s="5" t="s">
        <v>120</v>
      </c>
      <c r="R43">
        <f>N39-R42</f>
        <v>682</v>
      </c>
      <c r="V43" s="10"/>
      <c r="W43" s="10"/>
    </row>
    <row r="45" spans="1:28" ht="15" x14ac:dyDescent="0.25">
      <c r="K45" s="5"/>
      <c r="L45" s="40"/>
      <c r="V45" s="10"/>
      <c r="W45" s="10"/>
    </row>
    <row r="47" spans="1:28" ht="18" x14ac:dyDescent="0.35">
      <c r="K47" t="s">
        <v>121</v>
      </c>
      <c r="L47" s="35">
        <v>10</v>
      </c>
      <c r="N47" t="s">
        <v>122</v>
      </c>
      <c r="P47" s="41">
        <f>(U8*L47*B68)/((T8*B70)+(U8*L47*B71))</f>
        <v>0.68297003971203929</v>
      </c>
      <c r="R47">
        <v>1.1000000000000001</v>
      </c>
    </row>
    <row r="48" spans="1:28" ht="15" x14ac:dyDescent="0.25">
      <c r="A48" t="s">
        <v>123</v>
      </c>
      <c r="B48">
        <v>230</v>
      </c>
      <c r="C48" t="s">
        <v>124</v>
      </c>
      <c r="K48" s="5"/>
      <c r="L48" s="40"/>
    </row>
    <row r="49" spans="1:26" x14ac:dyDescent="0.2">
      <c r="A49" t="s">
        <v>125</v>
      </c>
      <c r="B49">
        <v>4</v>
      </c>
    </row>
    <row r="50" spans="1:26" ht="18" x14ac:dyDescent="0.35">
      <c r="A50" t="s">
        <v>126</v>
      </c>
      <c r="B50" s="10">
        <f>15*0.8</f>
        <v>12</v>
      </c>
      <c r="C50" t="s">
        <v>127</v>
      </c>
      <c r="K50" t="s">
        <v>128</v>
      </c>
      <c r="L50">
        <v>10</v>
      </c>
      <c r="N50" t="s">
        <v>129</v>
      </c>
      <c r="P50" s="41">
        <f>(U12*L50*B68)/((T12*B70)+(U12*L50*B71))</f>
        <v>0.85847461401926806</v>
      </c>
      <c r="V50" s="10"/>
      <c r="Z50" s="10"/>
    </row>
    <row r="51" spans="1:26" ht="15.75" thickBot="1" x14ac:dyDescent="0.3">
      <c r="K51" s="5"/>
      <c r="L51" s="40"/>
      <c r="V51" s="10"/>
      <c r="Y51" s="10"/>
      <c r="Z51" s="10"/>
    </row>
    <row r="52" spans="1:26" ht="15.75" thickBot="1" x14ac:dyDescent="0.3">
      <c r="A52" s="42" t="s">
        <v>130</v>
      </c>
      <c r="B52" s="43">
        <f>(B48*B49*B50)/1000</f>
        <v>11.04</v>
      </c>
      <c r="C52" s="44" t="s">
        <v>131</v>
      </c>
      <c r="V52" s="10"/>
      <c r="Z52" s="10"/>
    </row>
    <row r="53" spans="1:26" ht="18" x14ac:dyDescent="0.35">
      <c r="K53" t="s">
        <v>132</v>
      </c>
      <c r="L53" s="10">
        <f>(((M24+M29+M31)*12)+(M35*25))/(M24+M29+M31+M35)</f>
        <v>13.39369991359972</v>
      </c>
      <c r="N53" t="s">
        <v>133</v>
      </c>
      <c r="P53" s="41">
        <f>(U24*L53*B68)/((T24*B70)+(U24*L53*B71))</f>
        <v>0.80418449037003592</v>
      </c>
    </row>
    <row r="54" spans="1:26" x14ac:dyDescent="0.2">
      <c r="Z54" s="10"/>
    </row>
    <row r="57" spans="1:26" x14ac:dyDescent="0.2">
      <c r="A57" t="s">
        <v>134</v>
      </c>
      <c r="B57" s="10">
        <f>L38</f>
        <v>28.457000000000004</v>
      </c>
      <c r="C57" t="s">
        <v>135</v>
      </c>
    </row>
    <row r="58" spans="1:26" x14ac:dyDescent="0.2">
      <c r="A58" t="s">
        <v>136</v>
      </c>
      <c r="B58">
        <v>60</v>
      </c>
      <c r="C58" t="s">
        <v>137</v>
      </c>
    </row>
    <row r="59" spans="1:26" x14ac:dyDescent="0.2">
      <c r="A59" t="s">
        <v>138</v>
      </c>
      <c r="B59">
        <v>0.33</v>
      </c>
      <c r="C59" t="s">
        <v>139</v>
      </c>
    </row>
    <row r="60" spans="1:26" ht="19.5" thickBot="1" x14ac:dyDescent="0.4">
      <c r="K60" t="s">
        <v>140</v>
      </c>
      <c r="L60" s="45">
        <v>0.1</v>
      </c>
      <c r="N60" s="46" t="s">
        <v>141</v>
      </c>
      <c r="P60" s="10">
        <f>U8/(P47*B70)</f>
        <v>1.1505739916396922</v>
      </c>
      <c r="R60">
        <v>2</v>
      </c>
    </row>
    <row r="61" spans="1:26" ht="16.5" thickBot="1" x14ac:dyDescent="0.3">
      <c r="A61" s="42" t="s">
        <v>142</v>
      </c>
      <c r="B61" s="47">
        <f>((2*B57)/B58)+B59</f>
        <v>1.2785666666666669</v>
      </c>
      <c r="C61" s="48"/>
      <c r="N61" s="46"/>
    </row>
    <row r="62" spans="1:26" ht="15.75" x14ac:dyDescent="0.25">
      <c r="N62" s="49"/>
      <c r="O62" s="5"/>
      <c r="P62" s="7"/>
    </row>
    <row r="63" spans="1:26" ht="15.75" x14ac:dyDescent="0.25">
      <c r="N63" s="46"/>
    </row>
    <row r="64" spans="1:26" ht="15.75" x14ac:dyDescent="0.25">
      <c r="N64" s="46"/>
    </row>
    <row r="65" spans="1:18" ht="18.75" x14ac:dyDescent="0.35">
      <c r="N65" s="46" t="s">
        <v>143</v>
      </c>
      <c r="P65" s="10">
        <f>U12/(P50*B70)</f>
        <v>2.4895453414677999</v>
      </c>
      <c r="R65">
        <v>3</v>
      </c>
    </row>
    <row r="66" spans="1:18" ht="15.75" x14ac:dyDescent="0.25">
      <c r="A66" t="s">
        <v>144</v>
      </c>
      <c r="B66" t="s">
        <v>145</v>
      </c>
      <c r="N66" s="46"/>
    </row>
    <row r="67" spans="1:18" ht="15.75" x14ac:dyDescent="0.25">
      <c r="A67" s="50" t="s">
        <v>146</v>
      </c>
      <c r="B67" t="s">
        <v>145</v>
      </c>
      <c r="N67" s="49"/>
      <c r="O67" s="5"/>
      <c r="P67" s="7"/>
    </row>
    <row r="68" spans="1:18" ht="15.75" x14ac:dyDescent="0.25">
      <c r="A68" t="s">
        <v>147</v>
      </c>
      <c r="B68">
        <v>7.33</v>
      </c>
      <c r="C68" t="s">
        <v>139</v>
      </c>
      <c r="N68" s="46"/>
    </row>
    <row r="69" spans="1:18" ht="15.75" x14ac:dyDescent="0.25">
      <c r="A69" t="s">
        <v>148</v>
      </c>
      <c r="B69" t="s">
        <v>145</v>
      </c>
      <c r="N69" s="46"/>
    </row>
    <row r="70" spans="1:18" ht="18.75" x14ac:dyDescent="0.35">
      <c r="A70" t="s">
        <v>149</v>
      </c>
      <c r="B70">
        <f>B52</f>
        <v>11.04</v>
      </c>
      <c r="C70" t="s">
        <v>150</v>
      </c>
      <c r="N70" s="46" t="s">
        <v>151</v>
      </c>
      <c r="P70" s="10">
        <f>U24/(P53*B70)</f>
        <v>2.9893475376845777</v>
      </c>
      <c r="R70">
        <v>3</v>
      </c>
    </row>
    <row r="71" spans="1:18" ht="15.75" x14ac:dyDescent="0.25">
      <c r="A71" t="s">
        <v>152</v>
      </c>
      <c r="B71" s="10">
        <f>B61</f>
        <v>1.2785666666666669</v>
      </c>
      <c r="C71" t="s">
        <v>139</v>
      </c>
      <c r="N71" s="46"/>
    </row>
  </sheetData>
  <mergeCells count="177">
    <mergeCell ref="AA31:AA33"/>
    <mergeCell ref="AB31:AB33"/>
    <mergeCell ref="K31:K33"/>
    <mergeCell ref="L31:L33"/>
    <mergeCell ref="M31:M33"/>
    <mergeCell ref="Q31:Q33"/>
    <mergeCell ref="R31:R33"/>
    <mergeCell ref="S31:S33"/>
    <mergeCell ref="V31:V33"/>
    <mergeCell ref="W31:W33"/>
    <mergeCell ref="X31:X33"/>
    <mergeCell ref="Y31:Y33"/>
    <mergeCell ref="T24:T33"/>
    <mergeCell ref="U24:U33"/>
    <mergeCell ref="V24:V28"/>
    <mergeCell ref="W24:W28"/>
    <mergeCell ref="AA24:AA28"/>
    <mergeCell ref="AB24:AB28"/>
    <mergeCell ref="X24:X28"/>
    <mergeCell ref="Y24:Y28"/>
    <mergeCell ref="K24:K28"/>
    <mergeCell ref="L24:L28"/>
    <mergeCell ref="M24:M28"/>
    <mergeCell ref="Q24:Q28"/>
    <mergeCell ref="J29:J30"/>
    <mergeCell ref="K29:K30"/>
    <mergeCell ref="L29:L30"/>
    <mergeCell ref="M29:M30"/>
    <mergeCell ref="Z31:Z33"/>
    <mergeCell ref="Z24:Z28"/>
    <mergeCell ref="B31:B33"/>
    <mergeCell ref="D31:D33"/>
    <mergeCell ref="E31:E33"/>
    <mergeCell ref="F31:F33"/>
    <mergeCell ref="G31:G33"/>
    <mergeCell ref="H31:H33"/>
    <mergeCell ref="I31:I33"/>
    <mergeCell ref="J31:J33"/>
    <mergeCell ref="S29:S30"/>
    <mergeCell ref="Q29:Q30"/>
    <mergeCell ref="R29:R30"/>
    <mergeCell ref="B29:B30"/>
    <mergeCell ref="D29:D30"/>
    <mergeCell ref="E29:E30"/>
    <mergeCell ref="F29:F30"/>
    <mergeCell ref="G29:G30"/>
    <mergeCell ref="H29:H30"/>
    <mergeCell ref="I29:I30"/>
    <mergeCell ref="R24:R28"/>
    <mergeCell ref="S24:S28"/>
    <mergeCell ref="AA29:AA30"/>
    <mergeCell ref="AB29:AB30"/>
    <mergeCell ref="V29:V30"/>
    <mergeCell ref="W29:W30"/>
    <mergeCell ref="X29:X30"/>
    <mergeCell ref="Y29:Y30"/>
    <mergeCell ref="Z29:Z30"/>
    <mergeCell ref="W15:W18"/>
    <mergeCell ref="X15:X18"/>
    <mergeCell ref="Y15:Y18"/>
    <mergeCell ref="Z15:Z18"/>
    <mergeCell ref="AA15:AA18"/>
    <mergeCell ref="AB19:AB23"/>
    <mergeCell ref="A24:A33"/>
    <mergeCell ref="B24:B28"/>
    <mergeCell ref="D24:D28"/>
    <mergeCell ref="E24:E28"/>
    <mergeCell ref="F24:F28"/>
    <mergeCell ref="G24:G28"/>
    <mergeCell ref="H24:H28"/>
    <mergeCell ref="I24:I28"/>
    <mergeCell ref="J24:J28"/>
    <mergeCell ref="V19:V23"/>
    <mergeCell ref="W19:W23"/>
    <mergeCell ref="X19:X23"/>
    <mergeCell ref="Y19:Y23"/>
    <mergeCell ref="Z19:Z23"/>
    <mergeCell ref="AA19:AA23"/>
    <mergeCell ref="I19:I23"/>
    <mergeCell ref="J19:J23"/>
    <mergeCell ref="K19:K23"/>
    <mergeCell ref="AB15:AB18"/>
    <mergeCell ref="L15:L18"/>
    <mergeCell ref="M15:M18"/>
    <mergeCell ref="Q15:Q18"/>
    <mergeCell ref="R15:R18"/>
    <mergeCell ref="S15:S18"/>
    <mergeCell ref="V15:V18"/>
    <mergeCell ref="AB12:AB14"/>
    <mergeCell ref="B15:B18"/>
    <mergeCell ref="D15:D18"/>
    <mergeCell ref="E15:E18"/>
    <mergeCell ref="F15:F18"/>
    <mergeCell ref="G15:G18"/>
    <mergeCell ref="H15:H18"/>
    <mergeCell ref="I15:I18"/>
    <mergeCell ref="J15:J18"/>
    <mergeCell ref="K15:K18"/>
    <mergeCell ref="V12:V14"/>
    <mergeCell ref="W12:W14"/>
    <mergeCell ref="X12:X14"/>
    <mergeCell ref="Y12:Y14"/>
    <mergeCell ref="Z12:Z14"/>
    <mergeCell ref="AA12:AA14"/>
    <mergeCell ref="M12:M14"/>
    <mergeCell ref="T12:T23"/>
    <mergeCell ref="U12:U23"/>
    <mergeCell ref="R19:R23"/>
    <mergeCell ref="S19:S23"/>
    <mergeCell ref="G12:G14"/>
    <mergeCell ref="H12:H14"/>
    <mergeCell ref="I12:I14"/>
    <mergeCell ref="J12:J14"/>
    <mergeCell ref="K12:K14"/>
    <mergeCell ref="L12:L14"/>
    <mergeCell ref="G19:G23"/>
    <mergeCell ref="H19:H23"/>
    <mergeCell ref="L19:L23"/>
    <mergeCell ref="M19:M23"/>
    <mergeCell ref="Q19:Q23"/>
    <mergeCell ref="A12:A23"/>
    <mergeCell ref="B12:B14"/>
    <mergeCell ref="D12:D14"/>
    <mergeCell ref="E12:E14"/>
    <mergeCell ref="F12:F14"/>
    <mergeCell ref="M10:M11"/>
    <mergeCell ref="Q10:Q11"/>
    <mergeCell ref="R10:R11"/>
    <mergeCell ref="S10:S11"/>
    <mergeCell ref="G10:G11"/>
    <mergeCell ref="H10:H11"/>
    <mergeCell ref="I10:I11"/>
    <mergeCell ref="J10:J11"/>
    <mergeCell ref="K10:K11"/>
    <mergeCell ref="L10:L11"/>
    <mergeCell ref="Q12:Q14"/>
    <mergeCell ref="R12:R14"/>
    <mergeCell ref="S12:S14"/>
    <mergeCell ref="E19:E23"/>
    <mergeCell ref="F19:F23"/>
    <mergeCell ref="B19:B23"/>
    <mergeCell ref="D19:D23"/>
    <mergeCell ref="W8:W9"/>
    <mergeCell ref="X8:X9"/>
    <mergeCell ref="Y8:Y9"/>
    <mergeCell ref="Z8:Z9"/>
    <mergeCell ref="AA8:AA9"/>
    <mergeCell ref="AB8:AB9"/>
    <mergeCell ref="Q8:Q9"/>
    <mergeCell ref="R8:R9"/>
    <mergeCell ref="S8:S9"/>
    <mergeCell ref="T8:T11"/>
    <mergeCell ref="U8:U11"/>
    <mergeCell ref="V8:V9"/>
    <mergeCell ref="X10:X11"/>
    <mergeCell ref="Y10:Y11"/>
    <mergeCell ref="Z10:Z11"/>
    <mergeCell ref="AA10:AA11"/>
    <mergeCell ref="AB10:AB11"/>
    <mergeCell ref="V10:V11"/>
    <mergeCell ref="W10:W11"/>
    <mergeCell ref="H8:H9"/>
    <mergeCell ref="I8:I9"/>
    <mergeCell ref="J8:J9"/>
    <mergeCell ref="K8:K9"/>
    <mergeCell ref="L8:L9"/>
    <mergeCell ref="M8:M9"/>
    <mergeCell ref="A8:A11"/>
    <mergeCell ref="B8:B9"/>
    <mergeCell ref="D8:D9"/>
    <mergeCell ref="E8:E9"/>
    <mergeCell ref="F8:F9"/>
    <mergeCell ref="G8:G9"/>
    <mergeCell ref="B10:B11"/>
    <mergeCell ref="D10:D11"/>
    <mergeCell ref="E10:E11"/>
    <mergeCell ref="F10:F11"/>
  </mergeCells>
  <pageMargins left="0.51181102362204722" right="0.51181102362204722" top="0.78740157480314965" bottom="0.78740157480314965" header="0.31496062992125984" footer="0.31496062992125984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MONITOR DE ALUNOS</vt:lpstr>
      <vt:lpstr>COZINHEIRA</vt:lpstr>
      <vt:lpstr>DR Anterior</vt:lpstr>
    </vt:vector>
  </TitlesOfParts>
  <Manager/>
  <Company>Cavalcante Consultores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Como calcular o custo da mão de obra</dc:title>
  <dc:subject/>
  <dc:creator>Afonso Tobias</dc:creator>
  <cp:keywords/>
  <dc:description/>
  <cp:lastModifiedBy>Prefeitura Municipal de Agudos do Sul</cp:lastModifiedBy>
  <cp:revision/>
  <cp:lastPrinted>2026-05-04T13:57:57Z</cp:lastPrinted>
  <dcterms:created xsi:type="dcterms:W3CDTF">2007-10-10T08:07:22Z</dcterms:created>
  <dcterms:modified xsi:type="dcterms:W3CDTF">2026-05-04T14:17:32Z</dcterms:modified>
  <cp:category/>
  <cp:contentStatus/>
</cp:coreProperties>
</file>