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EstaPasta_de_trabalho"/>
  <mc:AlternateContent xmlns:mc="http://schemas.openxmlformats.org/markup-compatibility/2006">
    <mc:Choice Requires="x15">
      <x15ac:absPath xmlns:x15ac="http://schemas.microsoft.com/office/spreadsheetml/2010/11/ac" url="Z:\CONCORRÊNCIA 2026\16-26 Pavimentação em Vias Urbanas do Município de Marialva\"/>
    </mc:Choice>
  </mc:AlternateContent>
  <xr:revisionPtr revIDLastSave="0" documentId="8_{E613CF37-537B-4E02-A56E-9C70474CC5A2}" xr6:coauthVersionLast="47" xr6:coauthVersionMax="47" xr10:uidLastSave="{00000000-0000-0000-0000-000000000000}"/>
  <workbookProtection workbookAlgorithmName="SHA-512" workbookHashValue="2CGv4nnnet8Onb1/EGHyKY5Gq0bthvXHV44h+YqceeaN4KAYFjbnwaX+4eTTOQkZM3IPcxlaIQ8e0lhC/mK3eg==" workbookSaltValue="OyZaQgYw2cpQeoJbwiXnqw==" workbookSpinCount="100000" lockStructure="1"/>
  <bookViews>
    <workbookView xWindow="20370" yWindow="-990" windowWidth="29040" windowHeight="1572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BM!$C$15:$C$35</definedName>
    <definedName name="_xlnm._FilterDatabase" localSheetId="6" hidden="1">CÁLCULO!$C$15:$C$35</definedName>
    <definedName name="_xlnm._FilterDatabase" localSheetId="8" hidden="1">CRONO!$G$13:$G$46</definedName>
    <definedName name="_xlnm._FilterDatabase" localSheetId="7" hidden="1">CRONOPLE!$A$13:$A$34</definedName>
    <definedName name="_xlnm._FilterDatabase" localSheetId="5" hidden="1">EVENTOS!$A$13:$A$27</definedName>
    <definedName name="_xlnm._FilterDatabase" localSheetId="4" hidden="1">ORÇAMENTO!$L$15:$L$35</definedName>
    <definedName name="_xlnm._FilterDatabase" localSheetId="10" hidden="1">PLE!$A$13:$A$36</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BM!$D$1:$O$50</definedName>
    <definedName name="_xlnm.Print_Area" localSheetId="6">CÁLCULO!$E$6:$AI$43</definedName>
    <definedName name="_xlnm.Print_Area" localSheetId="8">CRONO!$I$1:$AG$46</definedName>
    <definedName name="_xlnm.Print_Area" localSheetId="5">EVENTOS!$C$2:$Z$27</definedName>
    <definedName name="_xlnm.Print_Area" localSheetId="1">MENU!$A$1:$I$25</definedName>
    <definedName name="_xlnm.Print_Area" localSheetId="13">OFÍCIO!$A$1:$G$56</definedName>
    <definedName name="_xlnm.Print_Area" localSheetId="4">ORÇAMENTO!$O$1:$Y$52</definedName>
    <definedName name="_xlnm.Print_Area" localSheetId="10">PLE!$B$3:$AG$37</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BM!$C$15:$C$35</definedName>
    <definedName name="BM.firstrow" hidden="1">BM!$15:$15</definedName>
    <definedName name="BM.FormulaMed" hidden="1">BM!$AO$7</definedName>
    <definedName name="BM.lastrow" hidden="1">BM!$35:$35</definedName>
    <definedName name="BM.LinhaPadrão" hidden="1">BM!$14:$14</definedName>
    <definedName name="BM.MaxMed" hidden="1">IF(RegimeExecucao="Global",1,BM!$G1)</definedName>
    <definedName name="BM.MCAIXA.Filter" hidden="1">BM!$C$15:$Z$35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CÁLCULO!$35:$35</definedName>
    <definedName name="CÁLCULO.LinhaPadrão" hidden="1">CÁLCULO!$14:$14</definedName>
    <definedName name="CÁLCULO.margemrow" hidden="1">CÁLCULO!$43:$43</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CÁLCULO!$35:$35</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CÁLCULO!$35:$35</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CÁLCULO!$35:$35</definedName>
    <definedName name="CÁLCULO.nEvento" hidden="1">CÁLCULO!$M$12</definedName>
    <definedName name="CÁLCULO.NúmeroDeEventos" hidden="1">IF(AUTOEVENTO&lt;&gt;"manual",MAX(CÁLCULO!$M$15:$M$35),MAX(OFFSET(EVENTOS!$C$1:$C$20,1,0)))</definedName>
    <definedName name="CÁLCULO.NúmeroDeFrentes" hidden="1">COLUMN(CÁLCULO!$AI$15)-COLUMN(CÁLCULO!$Q$15)</definedName>
    <definedName name="CÁLCULO.Título" hidden="1">CÁLCULO!$F$6</definedName>
    <definedName name="CÁLCULO.TotalAdmLocal" hidden="1">IF(AUTOEVENTO="manual",SUMIF(CÁLCULO!$M$15:$M$35,1,ORÇAMENTO!$X$15:$X$35),0)</definedName>
    <definedName name="CRONO.ColAux" hidden="1">CRONO!$M:$R</definedName>
    <definedName name="CRONO.ColunaPadrão" hidden="1">CRONO!$E:$E</definedName>
    <definedName name="CRONO.Erro" hidden="1">CRONO!$K$10</definedName>
    <definedName name="CRONO.Filtro" hidden="1">CRONO!$G$13:$G$46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CRONO!$29:$29</definedName>
    <definedName name="CRONO.lastrow2" hidden="1">CRONO!$41:$41</definedName>
    <definedName name="CRONO.LinhaPadrão" hidden="1">CRONO!$1:$3</definedName>
    <definedName name="CRONO.LinhasNecessarias" hidden="1">COUNTIF(QCI!$B$13:$B$24,"Manual")+COUNTIF(QCI!$B$13:$B$24,"SemiAuto")+COUNT(ORÇAMENTO.ListaCrono)</definedName>
    <definedName name="CRONO.Lista.AdmLocal" hidden="1">CRONO!$A$13:$A$29</definedName>
    <definedName name="CRONO.Lista.Níveis" hidden="1">CRONO!$A$9:$A$11</definedName>
    <definedName name="CRONO.margemrow" hidden="1">CRONO!$46:$46</definedName>
    <definedName name="CRONO.MaxParc" hidden="1">CRONO!$H1048576+CRONO!A1</definedName>
    <definedName name="CRONO.NivelExibicao" hidden="1">CRONO!$H$10</definedName>
    <definedName name="CRONO.Parcela1" hidden="1">CRONO!$U$12:$U$13</definedName>
    <definedName name="CRONO.ParcelaFinal" hidden="1">MATCH(100%,CRONO!$U$35:$AG$35,0)</definedName>
    <definedName name="CRONO.Título" hidden="1">CRONO!$S$4</definedName>
    <definedName name="CRONOPLE.ColunaPadrão" hidden="1">CRONOPLE!$E:$E</definedName>
    <definedName name="CRONOPLE.Erro" hidden="1">CRONOPLE!$B$6</definedName>
    <definedName name="CRONOPLE.Filtro" hidden="1">CRONOPLE!$A$13:$A$34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CRONOPLE!$20:$20</definedName>
    <definedName name="CRONOPLE.lastrow2" hidden="1">CRONOPLE!$29:$29</definedName>
    <definedName name="CRONOPLE.LinhaPadrão" hidden="1">CRONOPLE!$1:$1</definedName>
    <definedName name="CRONOPLE.Lista.AdmLocal" hidden="1">CRONOPLE!$F$15:$F$20</definedName>
    <definedName name="CRONOPLE.margemrow" hidden="1">CRONOPLE!$36:$36</definedName>
    <definedName name="CRONOPLE.Título" hidden="1">CRONOPLE!$G$2</definedName>
    <definedName name="CRONOPLE.ValorDoEvento" hidden="1">SUMIF(CÁLCULO!$M$15:$M$35,CRONOPLE!$B1,OFFSET(CÁLCULO!$AI$15:$AI$35,0,CRONOPLE!A$12))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EVENTOS!$A$13:$A$27</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EVENTOS!$20:$20</definedName>
    <definedName name="EVENTOS.LinhaPadrão" hidden="1">EVENTOS!$1:$1</definedName>
    <definedName name="EVENTOS.Lista" hidden="1">EVENTOS!$C$15:OFFSET(EVENTOS!$C$20,-1,0)</definedName>
    <definedName name="EVENTOS.Lista.Agrupar" hidden="1">EVENTOS!$B$6:$B$9</definedName>
    <definedName name="EVENTOS.ListaValidacao" hidden="1">EVENTOS!$B$15:OFFSET(EVENTOS!$B$20,-1,0)</definedName>
    <definedName name="EVENTOS.Manual.Preenchidos" hidden="1">EVENTOS!$C$10</definedName>
    <definedName name="EVENTOS.MargemRow" hidden="1">EVENTOS!$27:$27</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BM!$D$38</definedName>
    <definedName name="Import.BMAFAcumulado" hidden="1">OFFSET(BM!$R$15,1,0):OFFSET(BM!$R$35,-1,0)</definedName>
    <definedName name="Import.BMArred" hidden="1">BM!$A$9</definedName>
    <definedName name="Import.CNPJ" hidden="1">DADOS!$C$39</definedName>
    <definedName name="Import.Código" hidden="1">OFFSET(ORÇAMENTO!$Q$15,1,0):OFFSET(ORÇAMENTO!$Q$35,-1,0)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OFFSET(CRONOPLE!$F$15,1,1):OFFSET(CRONOPLE!$AF$20,-1,-1)</definedName>
    <definedName name="Import.CTEF" hidden="1">DADOS!$C$37</definedName>
    <definedName name="Import.CustoUnitário" hidden="1">OFFSET(ORÇAMENTO!$U$15,1,0):OFFSET(ORÇAMENTO!$U$35,-1,0)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OFFSET(EVENTOS!$D$15,1,0):OFFSET(EVENTOS!$D$20,-1,0)</definedName>
    <definedName name="Import.Fonte" hidden="1">OFFSET(ORÇAMENTO!$P$15,1,0):OFFSET(ORÇAMENTO!$P$35,-1,0)</definedName>
    <definedName name="Import.FrenteDeObra" hidden="1">CÁLCULO!$Q$12:OFFSET(CÁLCULO!$AI$12,0,-1)</definedName>
    <definedName name="Import.MacrosserviçoAdmLocal" hidden="1">CRONO!$H$40</definedName>
    <definedName name="Import.Município" hidden="1">DADOS!$C$6</definedName>
    <definedName name="Import.Nível" hidden="1">OFFSET(ORÇAMENTO!$M$15,1,0):OFFSET(ORÇAMENTO!$M$35,-1,0)</definedName>
    <definedName name="Import.Ofício.Dest" hidden="1">OFÍCIO!$B$11</definedName>
    <definedName name="Import.Ofício.GIGOV" hidden="1">OFÍCIO!$C$11</definedName>
    <definedName name="Import.Ofício.Num" hidden="1">OFÍCIO!$C$6</definedName>
    <definedName name="Import.OpcaoBDI" hidden="1">OFFSET(ORÇAMENTO!$V$15,1,0):OFFSET(ORÇAMENTO!$V$35,-1,0)</definedName>
    <definedName name="Import.ORÇAMENTO.DivRecurso" hidden="1">OFFSET(ORÇAMENTO!$Y$15,1,0):OFFSET(ORÇAMENTO!$Y$35,-1,0)</definedName>
    <definedName name="Import.ORÇAMENTO.Obs" hidden="1">ORÇAMENTO!$O$41</definedName>
    <definedName name="Import.PLE" hidden="1">OFFSET(PLE!$G$15,1,1):OFFSET(PLE!$AG$20,-1,-1)</definedName>
    <definedName name="Import.PLE.Datas" hidden="1">PLE!$I$23:$AF$23</definedName>
    <definedName name="Import.PLQ" hidden="1">OFFSET(CÁLCULO!$P$15,1,1):OFFSET(CÁLCULO!$AI$35,-1,-1)</definedName>
    <definedName name="Import.PLQ.MemCalc" hidden="1">OFFSET(CÁLCULO!$I$15,1,0):OFFSET(CÁLCULO!$I$35,-1,0)</definedName>
    <definedName name="Import.PLQ.nAgrupEvent" hidden="1">OFFSET(CÁLCULO!$K$15,1,0):OFFSET(CÁLCULO!$K$35,-1,0)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OFFSET(ORÇAMENTO!$S$15,1,0):OFFSET(ORÇAMENTO!$S$35,-1,0)</definedName>
    <definedName name="Import.UnitarioLicitado" hidden="1">OFFSET(ORÇAMENTO!$AL$15,1,0):OFFSET(ORÇAMENTO!$AL$35,-1,0)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ORÇAMENTO!$L$15:$L$35</definedName>
    <definedName name="ORÇAMENTO.firstrow" hidden="1">ORÇAMENTO!$15:$15</definedName>
    <definedName name="ORÇAMENTO.Fonte" hidden="1">ORÇAMENTO!$P1</definedName>
    <definedName name="ORÇAMENTO.lastrow" hidden="1">ORÇAMENTO!$35:$35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OFFSET(ORÇAMENTO!$AD$15,1,0):OFFSET(ORÇAMENTO!$AD$35,-1,0)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OFFSET(ORÇAMENTO!$P$15,1,0):OFFSET(ORÇAMENTO!$S$35,-1,0)</definedName>
    <definedName name="ORÇAMENTO.PasteFormat2" hidden="1">OFFSET(ORÇAMENTO!$U$15,1,0):OFFSET(ORÇAMENTO!$V$35,-1,0)</definedName>
    <definedName name="ORÇAMENTO.PrecoUnitarioLicitado" hidden="1">ORÇAMENTO!$AL1</definedName>
    <definedName name="ORÇAMENTO.QuantBM" hidden="1">ORÇAMENTO!$AJ1</definedName>
    <definedName name="ORÇAMENTO.RangeQuant" hidden="1">OFFSET(ORÇAMENTO!$T$15,1,0):OFFSET(ORÇAMENTO!$T$35,-1,0)</definedName>
    <definedName name="ORÇAMENTO.SumCPMANUAL" hidden="1">SUMIF(ORÇAMENTO!$Z$15:$Z$35,"CP",ORÇAMENTO!$AA$15:$AA$35)</definedName>
    <definedName name="ORÇAMENTO.SumINVMANUAL" hidden="1">SUMIF(ORÇAMENTO!$Z$15:$Z$35,"RP",ORÇAMENTO!$X$15:$X$35)+SUMIF(ORÇAMENTO!$Z$15:$Z$35,"CP",ORÇAMENTO!$X$15:$X$35)+SUMIF(ORÇAMENTO!$Z$15:$Z$35,"OU",ORÇAMENTO!$X$15:$X$35)</definedName>
    <definedName name="ORÇAMENTO.SumOUTROSMANUAL" hidden="1">SUMIF(ORÇAMENTO!$Z$15:$Z$35,"OU",ORÇAMENTO!$AB$15:$AB$35)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PLE!$A$13:$A$36</definedName>
    <definedName name="PLE.FirstCol" hidden="1">PLE!$G:$G</definedName>
    <definedName name="PLE.firstrow" hidden="1">PLE!$15:$15</definedName>
    <definedName name="PLE.FrenteRow" hidden="1">PLE!$11:$11</definedName>
    <definedName name="PLE.LastCol" hidden="1">PLE!$AG:$AG</definedName>
    <definedName name="PLE.lastrow" hidden="1">PLE!$20:$20</definedName>
    <definedName name="PLE.LinhaPadrão" hidden="1">PLE!$1:$1</definedName>
    <definedName name="PLE.margemrow" hidden="1">PLE!$37:$37</definedName>
    <definedName name="PLE.Medicao" hidden="1">PLE!$J$9</definedName>
    <definedName name="PLE.MEDIÇÕES.firstrow" hidden="1">PLE!$21:$21</definedName>
    <definedName name="PLE.MEDIÇÕES.lastrow" hidden="1">PLE!$31:$31</definedName>
    <definedName name="PLE.MEDIÇÕES.LinhaPadrão" hidden="1">PLE!$21:$28</definedName>
    <definedName name="PLE.Título" hidden="1">PLE!$H$3</definedName>
    <definedName name="PLE.ValorDoEvento" hidden="1">SUMIF(CÁLCULO!$M$15:$M$35,PLE!$B1,OFFSET(CÁLCULO!$AI$15:$AI$35,0,PLE!A$12))</definedName>
    <definedName name="PO.ValoresBDI" hidden="1">OFFSET(ORÇAMENTO!$AH$15,1,0):OFFSET(ORÇAMENTO!$AH$35,-1,0)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5" i="12" l="1" a="1"/>
  <c r="G25" i="12" a="1"/>
  <c r="F25" i="12" a="1"/>
  <c r="A25" i="5"/>
  <c r="H24" i="12" a="1"/>
  <c r="G24" i="12" a="1"/>
  <c r="F24" i="12" a="1"/>
  <c r="A24" i="5"/>
  <c r="H32" i="12" a="1"/>
  <c r="G32" i="12" a="1"/>
  <c r="F32" i="12" a="1"/>
  <c r="A32" i="5"/>
  <c r="H31" i="12" l="1" a="1"/>
  <c r="G31" i="12" a="1"/>
  <c r="F31" i="12" a="1"/>
  <c r="A31" i="5"/>
  <c r="H30" i="12" l="1" a="1"/>
  <c r="G30" i="12" a="1"/>
  <c r="F30" i="12" a="1"/>
  <c r="A30" i="5"/>
  <c r="H17" i="12" l="1" a="1"/>
  <c r="G17" i="12" a="1"/>
  <c r="F17" i="12" a="1"/>
  <c r="A17" i="5"/>
  <c r="H19" i="12" a="1"/>
  <c r="G19" i="12" a="1"/>
  <c r="F19" i="12" a="1"/>
  <c r="A19" i="5"/>
  <c r="H29" i="12" a="1"/>
  <c r="G29" i="12" a="1"/>
  <c r="F29" i="12" a="1"/>
  <c r="A29" i="5"/>
  <c r="H27" i="12" a="1"/>
  <c r="G27" i="12" a="1"/>
  <c r="F27" i="12" a="1"/>
  <c r="A27" i="5"/>
  <c r="H21" i="12" a="1"/>
  <c r="G21" i="12" a="1"/>
  <c r="F21" i="12" a="1"/>
  <c r="A21" i="5"/>
  <c r="H23" i="12" a="1"/>
  <c r="G23" i="12" a="1"/>
  <c r="F23" i="12" a="1"/>
  <c r="H22" i="12" a="1"/>
  <c r="G22" i="12" a="1"/>
  <c r="F22" i="12" a="1"/>
  <c r="H20" i="12" a="1"/>
  <c r="G20" i="12" a="1"/>
  <c r="F20" i="12" a="1"/>
  <c r="A23" i="5"/>
  <c r="A22" i="5"/>
  <c r="A20" i="5"/>
  <c r="H18" i="12" a="1"/>
  <c r="G18" i="12" a="1"/>
  <c r="F18" i="12" a="1"/>
  <c r="A18" i="5"/>
  <c r="CM15" i="6" l="1"/>
  <c r="CL15" i="6"/>
  <c r="CK15" i="6"/>
  <c r="CJ15" i="6"/>
  <c r="CI15" i="6"/>
  <c r="CH15" i="6"/>
  <c r="CG15" i="6"/>
  <c r="CF15" i="6"/>
  <c r="BT15" i="6"/>
  <c r="BS15" i="6"/>
  <c r="BR15" i="6"/>
  <c r="BQ15" i="6"/>
  <c r="BP15" i="6"/>
  <c r="BO15" i="6"/>
  <c r="BN15" i="6"/>
  <c r="BM15" i="6"/>
  <c r="AB41" i="6" a="1"/>
  <c r="AB43" i="6" s="1"/>
  <c r="AC10" i="6"/>
  <c r="AA10" i="6"/>
  <c r="AB41" i="6" l="1"/>
  <c r="AB42" i="6"/>
  <c r="H26" i="12" a="1"/>
  <c r="G26" i="12" a="1"/>
  <c r="F26" i="12" a="1"/>
  <c r="A26" i="5"/>
  <c r="C192" i="3" l="1"/>
  <c r="H23" i="13"/>
  <c r="G23" i="13"/>
  <c r="H22" i="13"/>
  <c r="G22" i="13"/>
  <c r="H21" i="13"/>
  <c r="G21" i="13"/>
  <c r="H20" i="13"/>
  <c r="G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S20" i="11"/>
  <c r="J20" i="11"/>
  <c r="I20" i="13" s="1"/>
  <c r="D20" i="11"/>
  <c r="E20" i="13" s="1"/>
  <c r="A20" i="11"/>
  <c r="S19" i="11"/>
  <c r="J19" i="11"/>
  <c r="I19" i="13" s="1"/>
  <c r="D19" i="11"/>
  <c r="S18" i="11"/>
  <c r="J18" i="11"/>
  <c r="I18" i="13" s="1"/>
  <c r="D18" i="11"/>
  <c r="A18" i="11" s="1"/>
  <c r="S17" i="11"/>
  <c r="J17" i="11"/>
  <c r="I17" i="13" s="1"/>
  <c r="D17" i="11"/>
  <c r="E17" i="13" s="1"/>
  <c r="S16" i="11"/>
  <c r="J16" i="11"/>
  <c r="I16" i="13" s="1"/>
  <c r="D16" i="11"/>
  <c r="E16" i="13" s="1"/>
  <c r="S15" i="11"/>
  <c r="J15" i="11"/>
  <c r="I15" i="13" s="1"/>
  <c r="D15" i="11"/>
  <c r="E15" i="13" s="1"/>
  <c r="S14" i="11"/>
  <c r="D14" i="11"/>
  <c r="E14" i="13" s="1"/>
  <c r="A14" i="11"/>
  <c r="B14" i="8"/>
  <c r="B17" i="8" s="1"/>
  <c r="A19" i="7"/>
  <c r="A18" i="7"/>
  <c r="A17" i="7"/>
  <c r="A16" i="7"/>
  <c r="L16" i="6"/>
  <c r="A34" i="5"/>
  <c r="A33" i="5"/>
  <c r="A28" i="5"/>
  <c r="C16" i="5"/>
  <c r="F16" i="5" s="1"/>
  <c r="A16" i="5"/>
  <c r="R101" i="4"/>
  <c r="J105" i="4"/>
  <c r="J102" i="4"/>
  <c r="J101" i="4"/>
  <c r="J65" i="4"/>
  <c r="J62" i="4"/>
  <c r="J61" i="4"/>
  <c r="C188" i="3"/>
  <c r="A21" i="11" l="1"/>
  <c r="A16" i="11"/>
  <c r="A23" i="11"/>
  <c r="E18" i="13"/>
  <c r="A15" i="11"/>
  <c r="G16" i="5"/>
  <c r="I16" i="5"/>
  <c r="N16" i="5"/>
  <c r="D16" i="6" s="1"/>
  <c r="B16" i="5"/>
  <c r="A16" i="12"/>
  <c r="B16" i="6"/>
  <c r="E16" i="12"/>
  <c r="H16" i="5"/>
  <c r="W16" i="5" a="1"/>
  <c r="H16" i="12" s="1" a="1"/>
  <c r="AE16" i="5" a="1"/>
  <c r="B20" i="8"/>
  <c r="E19" i="13"/>
  <c r="A19" i="11"/>
  <c r="A17" i="11"/>
  <c r="C184" i="3"/>
  <c r="C183" i="3"/>
  <c r="C181" i="3"/>
  <c r="L17" i="6" l="1"/>
  <c r="B23" i="8"/>
  <c r="M16" i="6"/>
  <c r="H16" i="6" a="1"/>
  <c r="T16" i="5" s="1"/>
  <c r="G16" i="12" s="1" a="1"/>
  <c r="G16" i="6"/>
  <c r="N16" i="6"/>
  <c r="AD16" i="5"/>
  <c r="E16" i="5"/>
  <c r="F16" i="6"/>
  <c r="AC35" i="5" a="1"/>
  <c r="C17" i="5" l="1"/>
  <c r="B17" i="6" s="1"/>
  <c r="L18" i="6"/>
  <c r="B26" i="8"/>
  <c r="B14" i="11"/>
  <c r="L14" i="6"/>
  <c r="AE7" i="10" a="1"/>
  <c r="AE6" i="10" a="1"/>
  <c r="V7" i="10" a="1"/>
  <c r="V6" i="10" a="1"/>
  <c r="D42" i="12" a="1"/>
  <c r="AB15" i="12" a="1"/>
  <c r="Q12" i="12" a="1"/>
  <c r="X13" i="12" a="1"/>
  <c r="W13" i="12" a="1"/>
  <c r="V13" i="12" a="1"/>
  <c r="J12" i="12" a="1"/>
  <c r="I8" i="12" a="1"/>
  <c r="I7" i="12" a="1"/>
  <c r="A7" i="12" a="1"/>
  <c r="E2" i="12" a="1"/>
  <c r="AF8" i="8" a="1"/>
  <c r="AF7" i="8" a="1"/>
  <c r="S4" i="8" a="1"/>
  <c r="Z8" i="8" a="1"/>
  <c r="Z7" i="8" a="1"/>
  <c r="D15" i="6" a="1"/>
  <c r="J120" i="4" a="1"/>
  <c r="J80" i="4" a="1"/>
  <c r="J40" i="4" a="1"/>
  <c r="D36" i="2" a="1"/>
  <c r="D41" i="2" a="1"/>
  <c r="D40" i="2" a="1"/>
  <c r="D39" i="2" a="1"/>
  <c r="D38" i="2" a="1"/>
  <c r="D37" i="2" a="1"/>
  <c r="G18" i="15" a="1"/>
  <c r="G10" i="15" a="1"/>
  <c r="E22" i="15" a="1"/>
  <c r="E18" i="15" a="1"/>
  <c r="E12" i="15" a="1"/>
  <c r="E10" i="15" a="1"/>
  <c r="E24" i="15" a="1"/>
  <c r="C18" i="15" a="1"/>
  <c r="C14" i="15" a="1"/>
  <c r="C12" i="15" a="1"/>
  <c r="C10" i="15" a="1"/>
  <c r="N15" i="5" a="1"/>
  <c r="M15" i="5" a="1"/>
  <c r="F10" i="5" a="1"/>
  <c r="F11" i="5" s="1" a="1"/>
  <c r="F9" i="5" a="1"/>
  <c r="O8" i="5" s="1" a="1"/>
  <c r="F8" i="5" a="1"/>
  <c r="A14" i="5"/>
  <c r="C165" i="3"/>
  <c r="G11" i="5" a="1"/>
  <c r="A17" i="12" l="1"/>
  <c r="AE17" i="5" a="1"/>
  <c r="H17" i="5"/>
  <c r="AD17" i="5"/>
  <c r="G17" i="5"/>
  <c r="F17" i="5"/>
  <c r="N17" i="5"/>
  <c r="B17" i="5"/>
  <c r="C18" i="5"/>
  <c r="L19" i="6"/>
  <c r="L20" i="6" s="1"/>
  <c r="L21" i="6" s="1"/>
  <c r="E26" i="12"/>
  <c r="C14" i="13"/>
  <c r="K14" i="11" a="1"/>
  <c r="J14" i="13" s="1"/>
  <c r="G14" i="11"/>
  <c r="F14" i="13" s="1"/>
  <c r="AF16" i="5" a="1"/>
  <c r="B14" i="6"/>
  <c r="AF17" i="5" a="1"/>
  <c r="F18" i="5" l="1"/>
  <c r="B18" i="5"/>
  <c r="B18" i="6"/>
  <c r="D17" i="6"/>
  <c r="G18" i="5"/>
  <c r="H18" i="5"/>
  <c r="AE18" i="5" a="1"/>
  <c r="AD18" i="5"/>
  <c r="D18" i="5"/>
  <c r="B18" i="12" s="1"/>
  <c r="N18" i="5"/>
  <c r="D18" i="6" s="1"/>
  <c r="G18" i="6" s="1"/>
  <c r="K18" i="5"/>
  <c r="J18" i="5"/>
  <c r="A18" i="12"/>
  <c r="E17" i="5"/>
  <c r="C19" i="5"/>
  <c r="L22" i="6"/>
  <c r="AG16" i="5" a="1"/>
  <c r="S16" i="5" a="1"/>
  <c r="F14" i="6"/>
  <c r="D14" i="6"/>
  <c r="C171" i="3"/>
  <c r="C170" i="3"/>
  <c r="C169" i="3"/>
  <c r="C166" i="3"/>
  <c r="C160" i="3"/>
  <c r="C159" i="3"/>
  <c r="E18" i="5" l="1"/>
  <c r="E19" i="5" s="1"/>
  <c r="B19" i="6"/>
  <c r="A19" i="12"/>
  <c r="AE19" i="5" a="1"/>
  <c r="AD19" i="5"/>
  <c r="G19" i="5"/>
  <c r="N19" i="5"/>
  <c r="D19" i="6" s="1"/>
  <c r="F19" i="5"/>
  <c r="H19" i="5"/>
  <c r="B19" i="5"/>
  <c r="L23" i="6"/>
  <c r="L24" i="6" s="1"/>
  <c r="L25" i="6" s="1"/>
  <c r="F16" i="12" a="1"/>
  <c r="G14" i="6"/>
  <c r="H14" i="6" a="1"/>
  <c r="X9" i="5"/>
  <c r="W9" i="5"/>
  <c r="V9" i="5"/>
  <c r="U9" i="5"/>
  <c r="T9" i="5"/>
  <c r="AG17" i="5" a="1"/>
  <c r="S17" i="5" a="1"/>
  <c r="G17" i="6" s="1"/>
  <c r="C20" i="5"/>
  <c r="AE20" i="5" s="1" a="1"/>
  <c r="C177" i="3"/>
  <c r="C175" i="3"/>
  <c r="G19" i="6" l="1"/>
  <c r="E17" i="12"/>
  <c r="F17" i="6"/>
  <c r="G20" i="5"/>
  <c r="B20" i="5"/>
  <c r="C21" i="5" s="1"/>
  <c r="G21" i="5" s="1"/>
  <c r="F20" i="5"/>
  <c r="N20" i="5"/>
  <c r="D20" i="6" s="1"/>
  <c r="J20" i="5"/>
  <c r="AD20" i="5"/>
  <c r="A20" i="12"/>
  <c r="K20" i="5"/>
  <c r="B20" i="6"/>
  <c r="H20" i="5"/>
  <c r="D20" i="5"/>
  <c r="B20" i="12" s="1"/>
  <c r="E20" i="5"/>
  <c r="E21" i="12"/>
  <c r="C157" i="3"/>
  <c r="C173" i="3"/>
  <c r="C167" i="3"/>
  <c r="C164" i="3"/>
  <c r="C163" i="3"/>
  <c r="C161" i="3"/>
  <c r="F21" i="5" l="1"/>
  <c r="K17" i="5" s="1"/>
  <c r="E21" i="5"/>
  <c r="AD21" i="5"/>
  <c r="H21" i="5"/>
  <c r="B21" i="6"/>
  <c r="AF21" i="5" a="1"/>
  <c r="S21" i="5" s="1" a="1"/>
  <c r="B21" i="5"/>
  <c r="AE21" i="5" a="1"/>
  <c r="C22" i="5"/>
  <c r="A21" i="12"/>
  <c r="N21" i="5"/>
  <c r="D21" i="6" s="1"/>
  <c r="G21" i="6" s="1"/>
  <c r="F21" i="6"/>
  <c r="G20" i="6"/>
  <c r="L26" i="6"/>
  <c r="C153" i="3"/>
  <c r="C151" i="3"/>
  <c r="A22" i="12" l="1"/>
  <c r="AG21" i="5" a="1"/>
  <c r="D22" i="5"/>
  <c r="B22" i="12" s="1"/>
  <c r="B22" i="6"/>
  <c r="E22" i="5"/>
  <c r="C23" i="5"/>
  <c r="C24" i="5" s="1"/>
  <c r="C25" i="5" s="1"/>
  <c r="K22" i="5"/>
  <c r="G22" i="5"/>
  <c r="B22" i="5"/>
  <c r="N22" i="5"/>
  <c r="D22" i="6" s="1"/>
  <c r="G22" i="6" s="1"/>
  <c r="F22" i="5"/>
  <c r="AD22" i="5"/>
  <c r="J22" i="5"/>
  <c r="AE22" i="5" a="1"/>
  <c r="H22" i="5"/>
  <c r="L27" i="6"/>
  <c r="F26" i="6"/>
  <c r="A12" i="6"/>
  <c r="A25" i="12" l="1"/>
  <c r="AE25" i="5" a="1"/>
  <c r="D25" i="5"/>
  <c r="B25" i="12" s="1"/>
  <c r="K25" i="5"/>
  <c r="N25" i="5"/>
  <c r="AD25" i="5"/>
  <c r="J25" i="5"/>
  <c r="B25" i="6"/>
  <c r="A24" i="12"/>
  <c r="AE24" i="5" a="1"/>
  <c r="D24" i="5"/>
  <c r="B24" i="12" s="1"/>
  <c r="AD24" i="5"/>
  <c r="K24" i="5"/>
  <c r="J24" i="5"/>
  <c r="N24" i="5"/>
  <c r="B24" i="6"/>
  <c r="B23" i="5"/>
  <c r="AD23" i="5"/>
  <c r="G23" i="5"/>
  <c r="G24" i="5" s="1"/>
  <c r="G25" i="5" s="1"/>
  <c r="D23" i="5"/>
  <c r="B23" i="12" s="1"/>
  <c r="A23" i="12"/>
  <c r="J23" i="5"/>
  <c r="AE23" i="5" a="1"/>
  <c r="B23" i="6"/>
  <c r="N23" i="5"/>
  <c r="D23" i="6" s="1"/>
  <c r="G23" i="6" s="1"/>
  <c r="F23" i="5"/>
  <c r="F24" i="5" s="1"/>
  <c r="F25" i="5" s="1"/>
  <c r="H23" i="5"/>
  <c r="H24" i="5" s="1"/>
  <c r="H25" i="5" s="1"/>
  <c r="E23" i="5"/>
  <c r="E24" i="5" s="1"/>
  <c r="E25" i="5" s="1"/>
  <c r="K23" i="5"/>
  <c r="T19" i="7" a="1"/>
  <c r="M19" i="7" a="1"/>
  <c r="V18" i="7" a="1"/>
  <c r="O18" i="7" a="1"/>
  <c r="X17" i="7" a="1"/>
  <c r="K17" i="7" a="1"/>
  <c r="T16" i="7" a="1"/>
  <c r="F16" i="7"/>
  <c r="E19" i="7" a="1"/>
  <c r="U18" i="7" a="1"/>
  <c r="H18" i="7" a="1"/>
  <c r="Q17" i="7" a="1"/>
  <c r="M16" i="7" a="1"/>
  <c r="S19" i="7" a="1"/>
  <c r="L19" i="7" a="1"/>
  <c r="N18" i="7" a="1"/>
  <c r="W17" i="7" a="1"/>
  <c r="J17" i="7" a="1"/>
  <c r="S16" i="7" a="1"/>
  <c r="E16" i="7" a="1"/>
  <c r="K19" i="7" a="1"/>
  <c r="T18" i="7" a="1"/>
  <c r="F18" i="7"/>
  <c r="P17" i="7" a="1"/>
  <c r="Y19" i="7" a="1"/>
  <c r="R19" i="7" a="1"/>
  <c r="Q19" i="7" a="1"/>
  <c r="J19" i="7" a="1"/>
  <c r="S18" i="7" a="1"/>
  <c r="E18" i="7" a="1"/>
  <c r="O17" i="7" a="1"/>
  <c r="X16" i="7" a="1"/>
  <c r="Q16" i="7" a="1"/>
  <c r="N19" i="7" a="1"/>
  <c r="X18" i="7" a="1"/>
  <c r="L18" i="7" a="1"/>
  <c r="O16" i="7" a="1"/>
  <c r="V17" i="7" a="1"/>
  <c r="L17" i="7" a="1"/>
  <c r="W16" i="7" a="1"/>
  <c r="X19" i="7" a="1"/>
  <c r="W18" i="7" a="1"/>
  <c r="K18" i="7" a="1"/>
  <c r="U17" i="7" a="1"/>
  <c r="N16" i="7" a="1"/>
  <c r="W19" i="7" a="1"/>
  <c r="I17" i="7" a="1"/>
  <c r="V16" i="7" a="1"/>
  <c r="L16" i="7" a="1"/>
  <c r="I19" i="7" a="1"/>
  <c r="J18" i="7" a="1"/>
  <c r="T17" i="7" a="1"/>
  <c r="H17" i="7" a="1"/>
  <c r="K16" i="7" a="1"/>
  <c r="P19" i="7" a="1"/>
  <c r="H16" i="7" a="1"/>
  <c r="O19" i="7" a="1"/>
  <c r="Y18" i="7" a="1"/>
  <c r="P18" i="7" a="1"/>
  <c r="N17" i="7" a="1"/>
  <c r="P16" i="7" a="1"/>
  <c r="M18" i="7" a="1"/>
  <c r="Y17" i="7" a="1"/>
  <c r="M17" i="7" a="1"/>
  <c r="Y16" i="7" a="1"/>
  <c r="U16" i="7" a="1"/>
  <c r="H19" i="7" a="1"/>
  <c r="S17" i="7" a="1"/>
  <c r="R16" i="7" a="1"/>
  <c r="F19" i="7"/>
  <c r="J16" i="7" a="1"/>
  <c r="V19" i="7" a="1"/>
  <c r="Q18" i="7" a="1"/>
  <c r="E17" i="7" a="1"/>
  <c r="U19" i="7" a="1"/>
  <c r="I18" i="7" a="1"/>
  <c r="F17" i="7"/>
  <c r="I16" i="7" a="1"/>
  <c r="R18" i="7" a="1"/>
  <c r="R17" i="7" a="1"/>
  <c r="A16" i="6"/>
  <c r="A17" i="6"/>
  <c r="A14" i="6"/>
  <c r="A11" i="6"/>
  <c r="C147" i="3"/>
  <c r="C149" i="3"/>
  <c r="C145" i="3"/>
  <c r="C143" i="3"/>
  <c r="C141" i="3"/>
  <c r="U11" i="4"/>
  <c r="U10" i="4"/>
  <c r="Y26" i="4"/>
  <c r="Z26" i="4" s="1"/>
  <c r="Y106" i="4"/>
  <c r="Z106" i="4" s="1"/>
  <c r="Y66" i="4"/>
  <c r="Z66" i="4" s="1"/>
  <c r="R64" i="4"/>
  <c r="R63" i="4"/>
  <c r="R23" i="4"/>
  <c r="R24" i="4"/>
  <c r="C133" i="3"/>
  <c r="D25" i="6" l="1"/>
  <c r="D24" i="6"/>
  <c r="B24" i="5"/>
  <c r="B25" i="5" s="1"/>
  <c r="C26" i="5" s="1"/>
  <c r="AD26" i="5" s="1"/>
  <c r="L28" i="6"/>
  <c r="A18" i="6"/>
  <c r="X26" i="4"/>
  <c r="X106" i="4"/>
  <c r="X66" i="4"/>
  <c r="C137" i="3"/>
  <c r="C135" i="3"/>
  <c r="C132" i="3"/>
  <c r="E26" i="5" l="1"/>
  <c r="B26" i="6"/>
  <c r="A26" i="6" s="1"/>
  <c r="C27" i="5"/>
  <c r="AD27" i="5" s="1"/>
  <c r="AE26" i="5" a="1"/>
  <c r="AF26" i="5" a="1"/>
  <c r="AG26" i="5" s="1" a="1"/>
  <c r="F26" i="5"/>
  <c r="G26" i="5"/>
  <c r="B26" i="5"/>
  <c r="N26" i="5"/>
  <c r="D26" i="6" s="1"/>
  <c r="G26" i="6" s="1"/>
  <c r="H26" i="5"/>
  <c r="A26" i="12"/>
  <c r="A19" i="6"/>
  <c r="A20" i="6" s="1"/>
  <c r="A21" i="6" s="1"/>
  <c r="C128" i="3"/>
  <c r="R2" i="5" a="1"/>
  <c r="AH13" i="5" a="1"/>
  <c r="V13" i="5" a="1"/>
  <c r="U13" i="5" a="1"/>
  <c r="X7" i="5" a="1"/>
  <c r="W7" i="5" a="1"/>
  <c r="V7" i="5" a="1"/>
  <c r="S7" i="5" a="1"/>
  <c r="R7" i="5" a="1"/>
  <c r="S8" i="5" a="1"/>
  <c r="R8" i="5" a="1"/>
  <c r="Q8" i="5" a="1"/>
  <c r="H13" i="7"/>
  <c r="E13" i="7"/>
  <c r="B27" i="6" l="1"/>
  <c r="A27" i="12"/>
  <c r="D27" i="5"/>
  <c r="B27" i="12" s="1"/>
  <c r="H27" i="5"/>
  <c r="K27" i="5"/>
  <c r="AE27" i="5" a="1"/>
  <c r="B27" i="5"/>
  <c r="N27" i="5"/>
  <c r="D27" i="6" s="1"/>
  <c r="J27" i="5"/>
  <c r="G27" i="5"/>
  <c r="F27" i="5"/>
  <c r="N26" i="6"/>
  <c r="E27" i="5"/>
  <c r="S26" i="5" a="1"/>
  <c r="L29" i="6"/>
  <c r="C28" i="5"/>
  <c r="N21" i="6"/>
  <c r="N20" i="6"/>
  <c r="A22" i="6"/>
  <c r="J4" i="15"/>
  <c r="AB13" i="12" a="1"/>
  <c r="I24" i="10"/>
  <c r="L30" i="6" l="1"/>
  <c r="AD28" i="5"/>
  <c r="G28" i="5"/>
  <c r="B28" i="6"/>
  <c r="D28" i="5"/>
  <c r="B28" i="12" s="1"/>
  <c r="A28" i="12"/>
  <c r="E28" i="5"/>
  <c r="AE28" i="5" a="1"/>
  <c r="J28" i="5"/>
  <c r="H28" i="5"/>
  <c r="F28" i="5"/>
  <c r="B28" i="5"/>
  <c r="K28" i="5"/>
  <c r="N28" i="5"/>
  <c r="D28" i="6" s="1"/>
  <c r="G27" i="6"/>
  <c r="A27" i="6"/>
  <c r="N22" i="6"/>
  <c r="A23" i="6"/>
  <c r="A24" i="6" s="1"/>
  <c r="A25" i="6" s="1"/>
  <c r="AO23" i="13"/>
  <c r="AO21" i="13"/>
  <c r="AO19" i="13"/>
  <c r="AO17" i="13"/>
  <c r="AO15" i="13"/>
  <c r="AK22" i="13" a="1"/>
  <c r="AK20" i="13" a="1"/>
  <c r="AK18" i="13" a="1"/>
  <c r="AK16" i="13" a="1"/>
  <c r="AK14" i="13" a="1"/>
  <c r="AN23" i="13" a="1"/>
  <c r="AN21" i="13" a="1"/>
  <c r="AN19" i="13" a="1"/>
  <c r="AN17" i="13" a="1"/>
  <c r="AN15" i="13" a="1"/>
  <c r="AJ22" i="13" a="1"/>
  <c r="AJ20" i="13" a="1"/>
  <c r="AJ18" i="13" a="1"/>
  <c r="AJ16" i="13" a="1"/>
  <c r="AJ14" i="13" a="1"/>
  <c r="AM23" i="13" a="1"/>
  <c r="AN20" i="13" a="1"/>
  <c r="AM17" i="13" a="1"/>
  <c r="AN14" i="13" a="1"/>
  <c r="AL23" i="13"/>
  <c r="AJ21" i="13" a="1"/>
  <c r="AL17" i="13"/>
  <c r="AJ15" i="13" a="1"/>
  <c r="AO22" i="13"/>
  <c r="AM20" i="13" a="1"/>
  <c r="AO16" i="13"/>
  <c r="AM14" i="13" a="1"/>
  <c r="AK23" i="13" a="1"/>
  <c r="AL20" i="13"/>
  <c r="AK17" i="13" a="1"/>
  <c r="AL14" i="13"/>
  <c r="AN22" i="13" a="1"/>
  <c r="AM19" i="13" a="1"/>
  <c r="AN16" i="13" a="1"/>
  <c r="AL21" i="13"/>
  <c r="AJ19" i="13" a="1"/>
  <c r="AL15" i="13"/>
  <c r="AO20" i="13"/>
  <c r="AM18" i="13" a="1"/>
  <c r="AO14" i="13"/>
  <c r="AK21" i="13" a="1"/>
  <c r="AL18" i="13"/>
  <c r="AK15" i="13" a="1"/>
  <c r="AJ23" i="13" a="1"/>
  <c r="AM22" i="13" a="1"/>
  <c r="AM21" i="13" a="1"/>
  <c r="AL22" i="13"/>
  <c r="AM16" i="13" a="1"/>
  <c r="AM15" i="13" a="1"/>
  <c r="AO18" i="13"/>
  <c r="AJ17" i="13" a="1"/>
  <c r="AK19" i="13" a="1"/>
  <c r="AL19" i="13"/>
  <c r="AL16" i="13"/>
  <c r="AN18" i="13" a="1"/>
  <c r="G24" i="8" a="1"/>
  <c r="G18" i="8" a="1"/>
  <c r="G21" i="8" a="1"/>
  <c r="G15" i="8" a="1"/>
  <c r="G27" i="8" a="1"/>
  <c r="P7" i="13"/>
  <c r="K14" i="13" a="1"/>
  <c r="G22" i="15" a="1"/>
  <c r="C22" i="15" a="1"/>
  <c r="F10" i="12" a="1"/>
  <c r="F8" i="7"/>
  <c r="M8" i="12" a="1"/>
  <c r="H41" i="8" a="1"/>
  <c r="H39" i="8" a="1"/>
  <c r="F7" i="6" a="1"/>
  <c r="F6" i="6" a="1"/>
  <c r="Q1" i="6" a="1"/>
  <c r="O1" i="6" a="1"/>
  <c r="C11" i="7" a="1"/>
  <c r="C122" i="3"/>
  <c r="C120" i="3"/>
  <c r="N25" i="6" l="1"/>
  <c r="N24" i="6"/>
  <c r="L31" i="6"/>
  <c r="L32" i="6" s="1"/>
  <c r="A28" i="6"/>
  <c r="N28" i="6" s="1"/>
  <c r="N27" i="6"/>
  <c r="N23" i="6"/>
  <c r="E33" i="12"/>
  <c r="C14" i="14" a="1"/>
  <c r="B39" i="14" a="1"/>
  <c r="B37" i="14" a="1"/>
  <c r="E28" i="14" a="1"/>
  <c r="R1" i="6" a="1"/>
  <c r="S67" i="4"/>
  <c r="U67" i="4" s="1"/>
  <c r="S107" i="4"/>
  <c r="U107" i="4" s="1"/>
  <c r="S27" i="4"/>
  <c r="U27" i="4" s="1"/>
  <c r="C124" i="3"/>
  <c r="S1" i="6" l="1" a="1"/>
  <c r="H22" i="9"/>
  <c r="C29" i="5" l="1"/>
  <c r="T1" i="6" a="1"/>
  <c r="C94" i="3"/>
  <c r="C92" i="3"/>
  <c r="N29" i="5" l="1"/>
  <c r="D29" i="6" s="1"/>
  <c r="AD29" i="5"/>
  <c r="B29" i="6"/>
  <c r="H29" i="5"/>
  <c r="E29" i="5"/>
  <c r="K29" i="5"/>
  <c r="G29" i="5"/>
  <c r="C30" i="5"/>
  <c r="D29" i="5"/>
  <c r="B29" i="12" s="1"/>
  <c r="AE29" i="5" a="1"/>
  <c r="B29" i="5"/>
  <c r="F29" i="5"/>
  <c r="J29" i="5"/>
  <c r="A29" i="12"/>
  <c r="U1" i="6" a="1"/>
  <c r="C98" i="3"/>
  <c r="A30" i="12" l="1"/>
  <c r="C31" i="5"/>
  <c r="D30" i="5"/>
  <c r="B30" i="12" s="1"/>
  <c r="AE30" i="5" a="1"/>
  <c r="K30" i="5"/>
  <c r="AD30" i="5"/>
  <c r="J30" i="5"/>
  <c r="N30" i="5"/>
  <c r="B30" i="6"/>
  <c r="G30" i="5"/>
  <c r="B30" i="5"/>
  <c r="E30" i="5"/>
  <c r="F30" i="5"/>
  <c r="H30" i="5"/>
  <c r="A29" i="6"/>
  <c r="V1" i="6" a="1"/>
  <c r="C5" i="14"/>
  <c r="C32" i="5" l="1"/>
  <c r="A32" i="12" s="1"/>
  <c r="A31" i="12"/>
  <c r="AE31" i="5" a="1"/>
  <c r="D31" i="5"/>
  <c r="B31" i="12" s="1"/>
  <c r="AD31" i="5"/>
  <c r="N31" i="5"/>
  <c r="K31" i="5"/>
  <c r="J31" i="5"/>
  <c r="B31" i="6"/>
  <c r="D30" i="6"/>
  <c r="B31" i="5"/>
  <c r="G31" i="5"/>
  <c r="H31" i="5"/>
  <c r="F31" i="5"/>
  <c r="E31" i="5"/>
  <c r="G29" i="6"/>
  <c r="N29" i="6"/>
  <c r="W1" i="6" a="1"/>
  <c r="S12" i="11"/>
  <c r="H32" i="5" l="1"/>
  <c r="E32" i="5"/>
  <c r="B32" i="5"/>
  <c r="J32" i="5"/>
  <c r="F32" i="5"/>
  <c r="K32" i="5"/>
  <c r="B32" i="6"/>
  <c r="AD32" i="5"/>
  <c r="G32" i="5"/>
  <c r="N32" i="5"/>
  <c r="D32" i="6" s="1"/>
  <c r="D32" i="5"/>
  <c r="B32" i="12" s="1"/>
  <c r="AE32" i="5" a="1"/>
  <c r="D31" i="6"/>
  <c r="A30" i="6"/>
  <c r="N30" i="6" s="1"/>
  <c r="G30" i="6"/>
  <c r="X1" i="6" a="1"/>
  <c r="C1" i="7" a="1"/>
  <c r="B1" i="7" l="1"/>
  <c r="Y1" i="6" a="1"/>
  <c r="D31" i="2"/>
  <c r="D29" i="2"/>
  <c r="D28" i="2"/>
  <c r="D24" i="2"/>
  <c r="D23" i="2"/>
  <c r="D22" i="2"/>
  <c r="D19" i="2"/>
  <c r="D18" i="2"/>
  <c r="D17" i="2"/>
  <c r="D16" i="2"/>
  <c r="D11" i="2"/>
  <c r="D10" i="2"/>
  <c r="D9" i="2"/>
  <c r="D8" i="2"/>
  <c r="D7" i="2"/>
  <c r="D6" i="2"/>
  <c r="D5" i="2"/>
  <c r="D4" i="2"/>
  <c r="C116" i="3"/>
  <c r="C114" i="3"/>
  <c r="C110" i="3"/>
  <c r="C109" i="3"/>
  <c r="C106" i="3"/>
  <c r="C105" i="3"/>
  <c r="C101" i="3"/>
  <c r="C90" i="3"/>
  <c r="A31" i="6" l="1"/>
  <c r="A32" i="6" s="1"/>
  <c r="L33" i="6"/>
  <c r="Z1" i="6" a="1"/>
  <c r="AA1" i="6" s="1" a="1"/>
  <c r="D27" i="2"/>
  <c r="D15" i="2"/>
  <c r="D35" i="2"/>
  <c r="D3" i="2"/>
  <c r="N32" i="6" l="1"/>
  <c r="N31" i="6"/>
  <c r="L34" i="6"/>
  <c r="F33" i="6"/>
  <c r="AB1" i="6" a="1"/>
  <c r="H10" i="7"/>
  <c r="AC1" i="6" l="1" a="1"/>
  <c r="AG41" i="8"/>
  <c r="AD1" i="6" l="1" a="1"/>
  <c r="C103" i="3"/>
  <c r="C100" i="3"/>
  <c r="C96" i="3"/>
  <c r="AE1" i="6" l="1" a="1"/>
  <c r="C93" i="3"/>
  <c r="AF1" i="6" l="1" a="1"/>
  <c r="C112" i="3"/>
  <c r="C108" i="3"/>
  <c r="C70" i="3"/>
  <c r="L35" i="13"/>
  <c r="L34" i="13" s="1"/>
  <c r="C84" i="3"/>
  <c r="AG1" i="6" l="1" a="1"/>
  <c r="C56" i="3"/>
  <c r="AH1" i="6" l="1" a="1"/>
  <c r="Q13" i="6"/>
  <c r="A1" i="7"/>
  <c r="V25" i="7" a="1"/>
  <c r="V25" i="7" s="1"/>
  <c r="Y5" i="7"/>
  <c r="X5" i="7"/>
  <c r="P5" i="7"/>
  <c r="C60" i="3"/>
  <c r="F5" i="7"/>
  <c r="R13" i="6" l="1"/>
  <c r="S13" i="6" s="1"/>
  <c r="V26" i="7"/>
  <c r="V27" i="7"/>
  <c r="N5" i="7"/>
  <c r="O5" i="7"/>
  <c r="T13" i="6" l="1"/>
  <c r="E10" i="7"/>
  <c r="C57" i="3"/>
  <c r="C82" i="3"/>
  <c r="C77" i="3"/>
  <c r="B33" i="9"/>
  <c r="D26" i="7"/>
  <c r="V32" i="9" a="1"/>
  <c r="V34" i="9" s="1"/>
  <c r="B30" i="9"/>
  <c r="J22" i="9"/>
  <c r="L22" i="9" s="1"/>
  <c r="N22" i="9" s="1"/>
  <c r="P22" i="9" s="1"/>
  <c r="R22" i="9" s="1"/>
  <c r="T22" i="9" s="1"/>
  <c r="V22" i="9" s="1"/>
  <c r="X22" i="9" s="1"/>
  <c r="Z22" i="9" s="1"/>
  <c r="AB22" i="9" s="1"/>
  <c r="AD22" i="9" s="1"/>
  <c r="M5" i="9"/>
  <c r="J5" i="9"/>
  <c r="G5" i="9"/>
  <c r="B5" i="9"/>
  <c r="U13" i="6" l="1"/>
  <c r="V32" i="9"/>
  <c r="V33" i="9"/>
  <c r="L25" i="7" a="1"/>
  <c r="L27" i="7" s="1"/>
  <c r="D23" i="7"/>
  <c r="C5" i="7"/>
  <c r="V13" i="6" l="1"/>
  <c r="L25" i="7"/>
  <c r="L26" i="7"/>
  <c r="C69" i="3"/>
  <c r="C86" i="3"/>
  <c r="C81" i="3"/>
  <c r="C80" i="3"/>
  <c r="C79" i="3"/>
  <c r="C76" i="3"/>
  <c r="C75" i="3"/>
  <c r="C74" i="3"/>
  <c r="C67" i="3"/>
  <c r="C65" i="3"/>
  <c r="C64" i="3"/>
  <c r="C61" i="3"/>
  <c r="C62" i="3"/>
  <c r="C59" i="3"/>
  <c r="C58" i="3"/>
  <c r="C72" i="3"/>
  <c r="S108" i="4" a="1"/>
  <c r="S68" i="4" a="1"/>
  <c r="S28" i="4" a="1"/>
  <c r="C33" i="5" l="1"/>
  <c r="X108" i="4"/>
  <c r="Y28" i="4"/>
  <c r="X68" i="4"/>
  <c r="W13" i="6"/>
  <c r="X28" i="4"/>
  <c r="Z108" i="4"/>
  <c r="Y108" i="4"/>
  <c r="Z68" i="4"/>
  <c r="Y68" i="4"/>
  <c r="Z28" i="4"/>
  <c r="C15" i="14"/>
  <c r="L4" i="13"/>
  <c r="I5" i="12"/>
  <c r="F4" i="11"/>
  <c r="D7" i="10"/>
  <c r="K8" i="8"/>
  <c r="L5" i="4"/>
  <c r="C52" i="3"/>
  <c r="G10" i="6" a="1"/>
  <c r="Q5" i="5" a="1"/>
  <c r="P85" i="4"/>
  <c r="C51" i="3"/>
  <c r="C47" i="3"/>
  <c r="C43" i="3"/>
  <c r="C41" i="3"/>
  <c r="C39" i="3"/>
  <c r="E2" i="15"/>
  <c r="C34" i="3"/>
  <c r="C32" i="3"/>
  <c r="BV13" i="6"/>
  <c r="AJ13" i="6"/>
  <c r="AJ12" i="6" s="1"/>
  <c r="BC13" i="6"/>
  <c r="H12" i="10"/>
  <c r="H11" i="10" s="1" a="1"/>
  <c r="CE15" i="6"/>
  <c r="CD15" i="6"/>
  <c r="CC15" i="6"/>
  <c r="CB15" i="6"/>
  <c r="CA15" i="6"/>
  <c r="BZ15" i="6"/>
  <c r="BY15" i="6"/>
  <c r="BX15" i="6"/>
  <c r="BW15" i="6"/>
  <c r="BV15" i="6"/>
  <c r="G12" i="9"/>
  <c r="C20" i="3"/>
  <c r="C22" i="3"/>
  <c r="C24" i="3"/>
  <c r="C26" i="3"/>
  <c r="C28" i="3"/>
  <c r="C19" i="3"/>
  <c r="C15" i="3"/>
  <c r="C14" i="3"/>
  <c r="C12" i="3"/>
  <c r="I36" i="11"/>
  <c r="I35" i="11"/>
  <c r="AA44" i="8" a="1"/>
  <c r="T41" i="6" a="1"/>
  <c r="T43" i="6" s="1"/>
  <c r="I41" i="6" a="1"/>
  <c r="I42" i="6" s="1"/>
  <c r="C2" i="4"/>
  <c r="Z7" i="11"/>
  <c r="V12" i="8"/>
  <c r="E12" i="8"/>
  <c r="C14" i="5"/>
  <c r="AF14" i="5" s="1" a="1"/>
  <c r="BL15" i="6"/>
  <c r="BK15" i="6"/>
  <c r="BJ15" i="6"/>
  <c r="BI15" i="6"/>
  <c r="BH15" i="6"/>
  <c r="BG15" i="6"/>
  <c r="BF15" i="6"/>
  <c r="BE15" i="6"/>
  <c r="BD15" i="6"/>
  <c r="BC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44" i="12"/>
  <c r="E45" i="12"/>
  <c r="K47" i="12" a="1"/>
  <c r="K49" i="12" s="1"/>
  <c r="E10" i="6"/>
  <c r="I10" i="6"/>
  <c r="K10" i="6"/>
  <c r="S10" i="6"/>
  <c r="U10" i="6"/>
  <c r="O13" i="6"/>
  <c r="O15" i="6" s="1"/>
  <c r="O11" i="6" s="1"/>
  <c r="B15" i="6"/>
  <c r="C15" i="6"/>
  <c r="E15" i="6"/>
  <c r="B35" i="6"/>
  <c r="C35" i="6"/>
  <c r="F39" i="6"/>
  <c r="S5" i="8"/>
  <c r="I8" i="8"/>
  <c r="L8" i="8"/>
  <c r="U8" i="8"/>
  <c r="E13" i="8"/>
  <c r="V13" i="8"/>
  <c r="W13" i="8" s="1"/>
  <c r="X13" i="8" s="1"/>
  <c r="Y13" i="8" s="1"/>
  <c r="Z13" i="8" s="1"/>
  <c r="AA13" i="8" s="1"/>
  <c r="AB13" i="8" s="1"/>
  <c r="AC13" i="8" s="1"/>
  <c r="AD13" i="8" s="1"/>
  <c r="AE13" i="8" s="1"/>
  <c r="AF13" i="8" s="1"/>
  <c r="T31" i="8"/>
  <c r="T36" i="8"/>
  <c r="I42" i="8"/>
  <c r="B1" i="9"/>
  <c r="E12" i="9"/>
  <c r="N2" i="2"/>
  <c r="J14" i="11" s="1"/>
  <c r="I14" i="13" s="1"/>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45" i="5"/>
  <c r="O15" i="5"/>
  <c r="O48" i="5"/>
  <c r="T50" i="5" a="1"/>
  <c r="T50" i="5" s="1"/>
  <c r="B1" i="10"/>
  <c r="H4" i="10"/>
  <c r="B7" i="10"/>
  <c r="H7" i="10"/>
  <c r="O7" i="10"/>
  <c r="F12" i="10"/>
  <c r="F11" i="10" s="1" a="1"/>
  <c r="B32" i="10"/>
  <c r="W34" i="10" a="1"/>
  <c r="W35"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AD33" i="5" l="1"/>
  <c r="AE33" i="5" a="1"/>
  <c r="E33" i="5"/>
  <c r="H33" i="5"/>
  <c r="G33" i="5"/>
  <c r="N33" i="5"/>
  <c r="D33" i="6" s="1"/>
  <c r="B33" i="5"/>
  <c r="C34" i="5"/>
  <c r="A33" i="12"/>
  <c r="F33" i="5"/>
  <c r="B33" i="6"/>
  <c r="A33" i="6" s="1"/>
  <c r="AF33" i="5" a="1"/>
  <c r="R14" i="5" a="1"/>
  <c r="AE14" i="5" a="1"/>
  <c r="BC12" i="6"/>
  <c r="BV12" i="6"/>
  <c r="K130" i="4"/>
  <c r="U108" i="4"/>
  <c r="U68" i="4"/>
  <c r="U28" i="4"/>
  <c r="A15" i="6" a="1"/>
  <c r="S109" i="4"/>
  <c r="S69" i="4"/>
  <c r="S29" i="4"/>
  <c r="C34" i="4"/>
  <c r="C45" i="4"/>
  <c r="BW13" i="6"/>
  <c r="K50" i="4"/>
  <c r="N9" i="10"/>
  <c r="C33" i="4"/>
  <c r="C48" i="4"/>
  <c r="C27" i="4"/>
  <c r="A16" i="4"/>
  <c r="W12" i="8"/>
  <c r="X13" i="6"/>
  <c r="O7" i="11"/>
  <c r="AC13" i="12"/>
  <c r="K24" i="10"/>
  <c r="K29" i="10" s="1"/>
  <c r="W37" i="10"/>
  <c r="E12" i="13"/>
  <c r="C47" i="4"/>
  <c r="C23" i="4"/>
  <c r="A30" i="4"/>
  <c r="A31" i="4" s="1"/>
  <c r="C31" i="4" s="1"/>
  <c r="C46" i="4"/>
  <c r="C28" i="4"/>
  <c r="K50" i="12"/>
  <c r="C21" i="4"/>
  <c r="C22" i="4"/>
  <c r="K132" i="4"/>
  <c r="W36" i="10"/>
  <c r="K47" i="12"/>
  <c r="T52" i="5"/>
  <c r="O7" i="13"/>
  <c r="T42" i="6"/>
  <c r="P125" i="4"/>
  <c r="I45" i="8"/>
  <c r="I43" i="6"/>
  <c r="I41" i="6"/>
  <c r="AK13" i="6"/>
  <c r="AK12" i="6" s="1"/>
  <c r="BD13" i="6"/>
  <c r="B14" i="5"/>
  <c r="F14" i="5"/>
  <c r="G15" i="9"/>
  <c r="H15" i="10"/>
  <c r="S110" i="4"/>
  <c r="I12" i="10"/>
  <c r="I11" i="10" s="1" a="1"/>
  <c r="H12" i="9"/>
  <c r="S30" i="4"/>
  <c r="A36" i="4"/>
  <c r="C35" i="4"/>
  <c r="C24" i="4"/>
  <c r="AA45" i="8"/>
  <c r="AA46" i="8"/>
  <c r="AA44" i="8"/>
  <c r="P45" i="4"/>
  <c r="K14" i="5"/>
  <c r="J14" i="5"/>
  <c r="H14" i="5"/>
  <c r="A14" i="12"/>
  <c r="D14" i="5"/>
  <c r="B14" i="12" s="1"/>
  <c r="AD14" i="5"/>
  <c r="E14" i="5"/>
  <c r="G14" i="5"/>
  <c r="N14" i="5"/>
  <c r="E48" i="12"/>
  <c r="B35" i="10"/>
  <c r="F42" i="6"/>
  <c r="O51" i="5"/>
  <c r="D36" i="11"/>
  <c r="W34" i="10"/>
  <c r="A4" i="4"/>
  <c r="K51" i="4"/>
  <c r="K48" i="12"/>
  <c r="S70" i="4"/>
  <c r="K91" i="4"/>
  <c r="T41" i="6"/>
  <c r="K90" i="4"/>
  <c r="T51" i="5"/>
  <c r="B34" i="5" l="1"/>
  <c r="F34" i="5"/>
  <c r="J34" i="5"/>
  <c r="G34" i="5"/>
  <c r="AE34" i="5" a="1"/>
  <c r="B34" i="6"/>
  <c r="E34" i="5"/>
  <c r="A14" i="13" s="1"/>
  <c r="H34" i="5"/>
  <c r="A34" i="12"/>
  <c r="D34" i="5"/>
  <c r="B34" i="12" s="1"/>
  <c r="AD34" i="5"/>
  <c r="K34" i="5"/>
  <c r="N34" i="5"/>
  <c r="D34" i="6" s="1"/>
  <c r="N33" i="6"/>
  <c r="G33" i="6"/>
  <c r="S33" i="5" a="1"/>
  <c r="F33" i="12" s="1" a="1"/>
  <c r="AG33" i="5" a="1"/>
  <c r="BM16" i="6"/>
  <c r="BN16" i="6"/>
  <c r="BP16" i="6"/>
  <c r="BR16" i="6"/>
  <c r="BQ16" i="6"/>
  <c r="CI16" i="6" a="1"/>
  <c r="CG16" i="6" a="1"/>
  <c r="CH16" i="6" a="1"/>
  <c r="CL16" i="6" a="1"/>
  <c r="CK16" i="6" a="1"/>
  <c r="CJ16" i="6" a="1"/>
  <c r="BT16" i="6"/>
  <c r="CM16" i="6" a="1"/>
  <c r="CF16" i="6" a="1"/>
  <c r="BS16" i="6"/>
  <c r="BO16" i="6"/>
  <c r="AJ16" i="6"/>
  <c r="BC16" i="6"/>
  <c r="BD16" i="6"/>
  <c r="BK16" i="6"/>
  <c r="BV16" i="6" a="1"/>
  <c r="BH16" i="6"/>
  <c r="BI16" i="6"/>
  <c r="CE16" i="6" a="1"/>
  <c r="BG16" i="6"/>
  <c r="BL16" i="6"/>
  <c r="CD16" i="6" a="1"/>
  <c r="CA16" i="6" a="1"/>
  <c r="BX16" i="6" a="1"/>
  <c r="BW16" i="6" a="1"/>
  <c r="BJ16" i="6"/>
  <c r="CC16" i="6" a="1"/>
  <c r="BY16" i="6" a="1"/>
  <c r="CB16" i="6" a="1"/>
  <c r="BF16" i="6"/>
  <c r="BZ16" i="6" a="1"/>
  <c r="BE16" i="6"/>
  <c r="M17" i="6"/>
  <c r="AK16" i="6"/>
  <c r="BD12" i="6"/>
  <c r="BW12" i="6"/>
  <c r="U97" i="4"/>
  <c r="U57" i="4"/>
  <c r="C15" i="7" a="1"/>
  <c r="B10" i="9"/>
  <c r="M24" i="10"/>
  <c r="M29" i="10" s="1"/>
  <c r="I12" i="9"/>
  <c r="U17" i="4"/>
  <c r="U14" i="4" s="1"/>
  <c r="T21" i="4" s="1"/>
  <c r="H5" i="5"/>
  <c r="X8" i="5" s="1" a="1"/>
  <c r="F5" i="5"/>
  <c r="AH25" i="5" s="1"/>
  <c r="G5" i="5"/>
  <c r="W8" i="5" s="1" a="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C30" i="4"/>
  <c r="C16" i="4"/>
  <c r="A17" i="4"/>
  <c r="X12" i="8"/>
  <c r="AD13" i="12"/>
  <c r="Y13" i="6"/>
  <c r="B42" i="14"/>
  <c r="AL13" i="6"/>
  <c r="AL12" i="6" s="1"/>
  <c r="BE13" i="6"/>
  <c r="B8" i="14"/>
  <c r="I10" i="13"/>
  <c r="J12" i="10"/>
  <c r="J11" i="10" s="1" a="1"/>
  <c r="C4" i="4"/>
  <c r="A5" i="4"/>
  <c r="C36" i="4"/>
  <c r="A37" i="4"/>
  <c r="C37" i="4" s="1"/>
  <c r="AN25" i="5" l="1" a="1"/>
  <c r="W25" i="5" a="1"/>
  <c r="AH24" i="5"/>
  <c r="AH32" i="5"/>
  <c r="AN32" i="5" s="1" a="1"/>
  <c r="AH31" i="5"/>
  <c r="AN31" i="5" s="1" a="1"/>
  <c r="A34" i="6"/>
  <c r="N34" i="6" s="1"/>
  <c r="AH30" i="5"/>
  <c r="BE17" i="6"/>
  <c r="BD17" i="6"/>
  <c r="BX17" i="6" a="1"/>
  <c r="BV17" i="6" a="1"/>
  <c r="BC17" i="6"/>
  <c r="BW17" i="6" a="1"/>
  <c r="AH19" i="5"/>
  <c r="AN19" i="5" s="1" a="1"/>
  <c r="AH17" i="5"/>
  <c r="M18" i="6"/>
  <c r="M19" i="6" s="1"/>
  <c r="AH29" i="5"/>
  <c r="AH21" i="5"/>
  <c r="AN21" i="5" s="1" a="1"/>
  <c r="AH27" i="5"/>
  <c r="W21" i="5" a="1"/>
  <c r="AH22" i="5"/>
  <c r="AH23" i="5"/>
  <c r="AH20" i="5"/>
  <c r="AH18" i="5"/>
  <c r="AN18" i="5" s="1" a="1"/>
  <c r="AH26" i="5"/>
  <c r="AN26" i="5" s="1" a="1"/>
  <c r="W26" i="5" a="1"/>
  <c r="M26" i="6"/>
  <c r="AL16" i="6"/>
  <c r="AH33" i="5"/>
  <c r="AH16" i="5"/>
  <c r="AN16" i="5" s="1" a="1"/>
  <c r="AH28" i="5"/>
  <c r="AH34" i="5"/>
  <c r="BX12" i="6"/>
  <c r="BE12" i="6"/>
  <c r="U94" i="4"/>
  <c r="T101" i="4" s="1"/>
  <c r="U54" i="4"/>
  <c r="T61" i="4" s="1"/>
  <c r="B15" i="9"/>
  <c r="B16" i="9" s="1"/>
  <c r="T57" i="4"/>
  <c r="T97" i="4"/>
  <c r="T22" i="4"/>
  <c r="T23" i="4"/>
  <c r="T24" i="4"/>
  <c r="T25" i="4"/>
  <c r="T26" i="4"/>
  <c r="U26" i="4" s="1"/>
  <c r="T17" i="4"/>
  <c r="V8" i="5" a="1"/>
  <c r="O24" i="10"/>
  <c r="O29" i="10" s="1"/>
  <c r="J12" i="9"/>
  <c r="AH14" i="5"/>
  <c r="W14" i="5" s="1" a="1"/>
  <c r="BY13" i="6"/>
  <c r="A18" i="4"/>
  <c r="C17" i="4"/>
  <c r="Y12" i="8"/>
  <c r="AE13" i="12"/>
  <c r="Z13" i="6"/>
  <c r="AA13" i="6" s="1"/>
  <c r="AM13" i="6"/>
  <c r="BF13" i="6"/>
  <c r="K12" i="10"/>
  <c r="K11" i="10" s="1" a="1"/>
  <c r="C5" i="4"/>
  <c r="A6" i="4"/>
  <c r="AN24" i="5" l="1" a="1"/>
  <c r="W24" i="5" a="1"/>
  <c r="W32" i="5" a="1"/>
  <c r="W31" i="5" a="1"/>
  <c r="BV18" i="6" a="1"/>
  <c r="BF18" i="6"/>
  <c r="BY18" i="6" a="1"/>
  <c r="BD18" i="6"/>
  <c r="BW18" i="6" a="1"/>
  <c r="BE18" i="6"/>
  <c r="AN30" i="5" a="1"/>
  <c r="W30" i="5" a="1"/>
  <c r="BX18" i="6" a="1"/>
  <c r="BC18" i="6"/>
  <c r="M20" i="6"/>
  <c r="M21" i="6" s="1"/>
  <c r="BF21" i="6" s="1"/>
  <c r="W19" i="5" a="1"/>
  <c r="AN17" i="5" a="1"/>
  <c r="W17" i="5" a="1"/>
  <c r="BY17" i="6" a="1"/>
  <c r="BF17" i="6"/>
  <c r="BF19" i="6"/>
  <c r="BY19" i="6" a="1"/>
  <c r="BV19" i="6" a="1"/>
  <c r="BD19" i="6"/>
  <c r="BC19" i="6"/>
  <c r="BX19" i="6" a="1"/>
  <c r="BE19" i="6"/>
  <c r="BW19" i="6" a="1"/>
  <c r="AN29" i="5" a="1"/>
  <c r="W29" i="5" a="1"/>
  <c r="AN27" i="5" a="1"/>
  <c r="W27" i="5" a="1"/>
  <c r="W18" i="5" a="1"/>
  <c r="AN20" i="5" a="1"/>
  <c r="W20" i="5" a="1"/>
  <c r="AN23" i="5" a="1"/>
  <c r="W23" i="5" a="1"/>
  <c r="AN22" i="5" a="1"/>
  <c r="W22" i="5" a="1"/>
  <c r="BQ26" i="6"/>
  <c r="CM26" i="6" a="1"/>
  <c r="CL26" i="6" a="1"/>
  <c r="BM26" i="6"/>
  <c r="CJ26" i="6" a="1"/>
  <c r="BN26" i="6"/>
  <c r="CF26" i="6" a="1"/>
  <c r="BR26" i="6"/>
  <c r="CH26" i="6" a="1"/>
  <c r="BS26" i="6"/>
  <c r="BP26" i="6"/>
  <c r="BO26" i="6"/>
  <c r="CK26" i="6" a="1"/>
  <c r="BT26" i="6"/>
  <c r="CG26" i="6" a="1"/>
  <c r="CI26" i="6" a="1"/>
  <c r="AB13" i="6"/>
  <c r="BE26" i="6"/>
  <c r="BF26" i="6"/>
  <c r="BV26" i="6" a="1"/>
  <c r="BW26" i="6" a="1"/>
  <c r="BY26" i="6" a="1"/>
  <c r="BX26" i="6" a="1"/>
  <c r="BD26" i="6"/>
  <c r="BC26" i="6"/>
  <c r="AN34" i="5" a="1"/>
  <c r="W34" i="5" a="1"/>
  <c r="H34" i="12" s="1" a="1"/>
  <c r="B17" i="9"/>
  <c r="AN33" i="5" a="1"/>
  <c r="W33" i="5" a="1"/>
  <c r="H33" i="12" s="1" a="1"/>
  <c r="AN28" i="5" a="1"/>
  <c r="W28" i="5" a="1"/>
  <c r="H28" i="12" s="1" a="1"/>
  <c r="BY12" i="6"/>
  <c r="BF12" i="6"/>
  <c r="H14" i="12" a="1"/>
  <c r="AN14" i="5" a="1"/>
  <c r="T62" i="4"/>
  <c r="T63" i="4"/>
  <c r="T64" i="4"/>
  <c r="T66" i="4"/>
  <c r="U66" i="4" s="1"/>
  <c r="T65" i="4"/>
  <c r="T102" i="4"/>
  <c r="T104" i="4"/>
  <c r="T103" i="4"/>
  <c r="T106" i="4"/>
  <c r="U106" i="4" s="1"/>
  <c r="T105" i="4"/>
  <c r="U7" i="4"/>
  <c r="H23" i="10"/>
  <c r="Q24" i="10"/>
  <c r="Q29" i="10" s="1"/>
  <c r="K12" i="9"/>
  <c r="BZ13" i="6"/>
  <c r="AN13" i="6"/>
  <c r="AN12" i="6" s="1"/>
  <c r="AM12" i="6"/>
  <c r="A19" i="4"/>
  <c r="C19" i="4" s="1"/>
  <c r="C18" i="4"/>
  <c r="Z12" i="8"/>
  <c r="AF13" i="12"/>
  <c r="BG13" i="6"/>
  <c r="L12" i="10"/>
  <c r="L11" i="10" s="1" a="1"/>
  <c r="A7" i="4"/>
  <c r="C7" i="4" s="1"/>
  <c r="C6" i="4"/>
  <c r="BF20" i="6" l="1"/>
  <c r="BX20" i="6" a="1"/>
  <c r="BY21" i="6" a="1"/>
  <c r="BW20" i="6" a="1"/>
  <c r="BD20" i="6"/>
  <c r="BC20" i="6"/>
  <c r="BY20" i="6" a="1"/>
  <c r="BV20" i="6" a="1"/>
  <c r="BC21" i="6"/>
  <c r="BW21" i="6" a="1"/>
  <c r="BX21" i="6" a="1"/>
  <c r="BE21" i="6"/>
  <c r="BD21" i="6"/>
  <c r="M22" i="6"/>
  <c r="M25" i="6" s="1"/>
  <c r="BV21" i="6" a="1"/>
  <c r="BE20" i="6"/>
  <c r="BZ18" i="6" a="1"/>
  <c r="BZ17" i="6" a="1"/>
  <c r="BG18" i="6"/>
  <c r="BG17" i="6"/>
  <c r="BG19" i="6"/>
  <c r="BZ19" i="6" a="1"/>
  <c r="BZ21" i="6" a="1"/>
  <c r="BG21" i="6"/>
  <c r="BG20" i="6"/>
  <c r="BZ20" i="6" a="1"/>
  <c r="AC13" i="6"/>
  <c r="M33" i="6"/>
  <c r="BG26" i="6"/>
  <c r="BZ26" i="6" a="1"/>
  <c r="B18" i="9"/>
  <c r="AN16" i="6"/>
  <c r="AM16" i="6"/>
  <c r="X29" i="4"/>
  <c r="S24" i="10"/>
  <c r="S29" i="10" s="1"/>
  <c r="L12" i="9"/>
  <c r="BZ12" i="6"/>
  <c r="BG12" i="6"/>
  <c r="AO13" i="6"/>
  <c r="AO12" i="6" s="1"/>
  <c r="CA13" i="6"/>
  <c r="CA17" i="6" s="1" a="1"/>
  <c r="AA12" i="8"/>
  <c r="AG13" i="12"/>
  <c r="BH13" i="6"/>
  <c r="BH17" i="6" s="1"/>
  <c r="M12" i="10"/>
  <c r="M11" i="10" s="1" a="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X25" i="6" l="1" a="1"/>
  <c r="BH25" i="6"/>
  <c r="BY25" i="6" a="1"/>
  <c r="BV25" i="6" a="1"/>
  <c r="BE25" i="6"/>
  <c r="BD25" i="6"/>
  <c r="BW25" i="6" a="1"/>
  <c r="BG25" i="6"/>
  <c r="BC25" i="6"/>
  <c r="BZ25" i="6" a="1"/>
  <c r="BF25" i="6"/>
  <c r="CA25" i="6" a="1"/>
  <c r="M24" i="6"/>
  <c r="BW22" i="6" a="1"/>
  <c r="BF22" i="6"/>
  <c r="BZ22" i="6" a="1"/>
  <c r="M23" i="6"/>
  <c r="BG23" i="6" s="1"/>
  <c r="BX22" i="6" a="1"/>
  <c r="BV22" i="6" a="1"/>
  <c r="BY22" i="6" a="1"/>
  <c r="BE22" i="6"/>
  <c r="BC22" i="6"/>
  <c r="BG22" i="6"/>
  <c r="BD22" i="6"/>
  <c r="CA21" i="6" a="1"/>
  <c r="CA19" i="6" a="1"/>
  <c r="BH21" i="6"/>
  <c r="BH19" i="6"/>
  <c r="CA22" i="6" a="1"/>
  <c r="CA20" i="6" a="1"/>
  <c r="BH20" i="6"/>
  <c r="BH22" i="6"/>
  <c r="CA18" i="6" a="1"/>
  <c r="BH18" i="6"/>
  <c r="BD33" i="6"/>
  <c r="CL33" i="6" a="1"/>
  <c r="CM33" i="6" a="1"/>
  <c r="BT33" i="6"/>
  <c r="CG33" i="6" a="1"/>
  <c r="BO33" i="6"/>
  <c r="BS33" i="6"/>
  <c r="CJ33" i="6" a="1"/>
  <c r="BN33" i="6"/>
  <c r="CF33" i="6" a="1"/>
  <c r="BM33" i="6"/>
  <c r="BP33" i="6"/>
  <c r="CI33" i="6" a="1"/>
  <c r="BQ33" i="6"/>
  <c r="CK33" i="6" a="1"/>
  <c r="CH33" i="6" a="1"/>
  <c r="BR33" i="6"/>
  <c r="AD13" i="6"/>
  <c r="BG33" i="6"/>
  <c r="BY33" i="6" a="1"/>
  <c r="BC33" i="6"/>
  <c r="BZ33" i="6" a="1"/>
  <c r="BV33" i="6" a="1"/>
  <c r="BW33" i="6" a="1"/>
  <c r="BF33" i="6"/>
  <c r="BX33" i="6" a="1"/>
  <c r="BE33" i="6"/>
  <c r="BH26" i="6"/>
  <c r="CA26" i="6" a="1"/>
  <c r="BH33" i="6"/>
  <c r="CA33" i="6" a="1"/>
  <c r="AO16" i="6"/>
  <c r="B19" i="9"/>
  <c r="U29" i="4"/>
  <c r="U69" i="4"/>
  <c r="U65" i="4"/>
  <c r="U103" i="4"/>
  <c r="U61" i="4"/>
  <c r="U105" i="4"/>
  <c r="U64" i="4"/>
  <c r="U102" i="4"/>
  <c r="U62" i="4"/>
  <c r="U21" i="4"/>
  <c r="U23" i="4"/>
  <c r="U104" i="4"/>
  <c r="U101" i="4"/>
  <c r="U24" i="4"/>
  <c r="U25" i="4"/>
  <c r="U22" i="4"/>
  <c r="U63" i="4"/>
  <c r="U109" i="4"/>
  <c r="K112" i="4" s="1"/>
  <c r="U24" i="10"/>
  <c r="U29" i="10" s="1"/>
  <c r="M12" i="9"/>
  <c r="CA12" i="6"/>
  <c r="BH12" i="6"/>
  <c r="AP13" i="6"/>
  <c r="AP12" i="6" s="1"/>
  <c r="CB13" i="6"/>
  <c r="CB17" i="6" s="1" a="1"/>
  <c r="AB12" i="8"/>
  <c r="AH13" i="12"/>
  <c r="BI13" i="6"/>
  <c r="BI17" i="6" s="1"/>
  <c r="N12" i="10"/>
  <c r="N11" i="10" s="1" a="1"/>
  <c r="BI25" i="6" l="1"/>
  <c r="CB25" i="6" a="1"/>
  <c r="BZ24" i="6" a="1"/>
  <c r="BH24" i="6"/>
  <c r="BX24" i="6" a="1"/>
  <c r="BI24" i="6"/>
  <c r="BD24" i="6"/>
  <c r="BG24" i="6"/>
  <c r="BV24" i="6" a="1"/>
  <c r="BE24" i="6"/>
  <c r="CA24" i="6" a="1"/>
  <c r="BC24" i="6"/>
  <c r="CB24" i="6" a="1"/>
  <c r="BY24" i="6" a="1"/>
  <c r="BW24" i="6" a="1"/>
  <c r="BF24" i="6"/>
  <c r="BZ23" i="6" a="1"/>
  <c r="BH23" i="6"/>
  <c r="CA23" i="6" a="1"/>
  <c r="BW23" i="6" a="1"/>
  <c r="BV23" i="6" a="1"/>
  <c r="BF23" i="6"/>
  <c r="BC23" i="6"/>
  <c r="BD23" i="6"/>
  <c r="BY23" i="6" a="1"/>
  <c r="BE23" i="6"/>
  <c r="BX23" i="6" a="1"/>
  <c r="BI21" i="6"/>
  <c r="BI19" i="6"/>
  <c r="CB21" i="6" a="1"/>
  <c r="CB19" i="6" a="1"/>
  <c r="BI20" i="6"/>
  <c r="BI22" i="6"/>
  <c r="BI23" i="6"/>
  <c r="CB20" i="6" a="1"/>
  <c r="CB22" i="6" a="1"/>
  <c r="CB23" i="6" a="1"/>
  <c r="BI18" i="6"/>
  <c r="CB18" i="6" a="1"/>
  <c r="AE13" i="6"/>
  <c r="CB26" i="6" a="1"/>
  <c r="BI26" i="6"/>
  <c r="CB33" i="6" a="1"/>
  <c r="AP16" i="6"/>
  <c r="BI33" i="6"/>
  <c r="AB10" i="12"/>
  <c r="W24" i="10"/>
  <c r="W29" i="10" s="1"/>
  <c r="N12" i="9"/>
  <c r="J72" i="4"/>
  <c r="U8" i="4"/>
  <c r="CB12" i="6"/>
  <c r="BI12" i="6"/>
  <c r="AQ13" i="6"/>
  <c r="AQ12" i="6" s="1"/>
  <c r="CC13" i="6"/>
  <c r="AC12" i="8"/>
  <c r="AI13" i="12"/>
  <c r="K72" i="4"/>
  <c r="J112" i="4"/>
  <c r="BJ13" i="6"/>
  <c r="O12" i="10"/>
  <c r="O11" i="10" s="1" a="1"/>
  <c r="K32" i="4"/>
  <c r="J32" i="4"/>
  <c r="CC24" i="6" l="1" a="1"/>
  <c r="CC25" i="6" a="1"/>
  <c r="BJ24" i="6"/>
  <c r="BJ25" i="6"/>
  <c r="CC17" i="6" a="1"/>
  <c r="BJ17" i="6"/>
  <c r="M27" i="6"/>
  <c r="BJ21" i="6"/>
  <c r="BJ19" i="6"/>
  <c r="CC21" i="6" a="1"/>
  <c r="CC19" i="6" a="1"/>
  <c r="BJ20" i="6"/>
  <c r="BJ22" i="6"/>
  <c r="BJ23" i="6"/>
  <c r="CC23" i="6" a="1"/>
  <c r="CC22" i="6" a="1"/>
  <c r="CC20" i="6" a="1"/>
  <c r="CC18" i="6" a="1"/>
  <c r="BJ18" i="6"/>
  <c r="AF13" i="6"/>
  <c r="BJ26" i="6"/>
  <c r="CC26" i="6" a="1"/>
  <c r="BJ33" i="6"/>
  <c r="CC33" i="6" a="1"/>
  <c r="AQ16" i="6"/>
  <c r="O12" i="9"/>
  <c r="Y24" i="10"/>
  <c r="Y29" i="10" s="1"/>
  <c r="T11" i="11"/>
  <c r="CC12" i="6"/>
  <c r="BJ12" i="6"/>
  <c r="AR13" i="6"/>
  <c r="AR12" i="6" s="1"/>
  <c r="CD13" i="6"/>
  <c r="CD25" i="6" s="1" a="1"/>
  <c r="AD12" i="8"/>
  <c r="AJ13" i="12"/>
  <c r="BK13" i="6"/>
  <c r="BK25" i="6" s="1"/>
  <c r="P12" i="10"/>
  <c r="P11" i="10" s="1" a="1"/>
  <c r="BK24" i="6" l="1"/>
  <c r="CD24" i="6" a="1"/>
  <c r="CD17" i="6" a="1"/>
  <c r="BK17" i="6"/>
  <c r="CA27" i="6" a="1"/>
  <c r="M32" i="6"/>
  <c r="M28" i="6"/>
  <c r="BI28" i="6" s="1"/>
  <c r="M29" i="6"/>
  <c r="CC29" i="6" s="1" a="1"/>
  <c r="BV27" i="6" a="1"/>
  <c r="BC27" i="6"/>
  <c r="CB27" i="6" a="1"/>
  <c r="BD27" i="6"/>
  <c r="BZ27" i="6" a="1"/>
  <c r="BW27" i="6" a="1"/>
  <c r="BH27" i="6"/>
  <c r="BE27" i="6"/>
  <c r="BX27" i="6" a="1"/>
  <c r="BI27" i="6"/>
  <c r="BJ27" i="6"/>
  <c r="CC27" i="6" a="1"/>
  <c r="BY27" i="6" a="1"/>
  <c r="BF27" i="6"/>
  <c r="BG27" i="6"/>
  <c r="CD21" i="6" a="1"/>
  <c r="CD19" i="6" a="1"/>
  <c r="BK21" i="6"/>
  <c r="BK19" i="6"/>
  <c r="CD27" i="6" a="1"/>
  <c r="BK27" i="6"/>
  <c r="CD22" i="6" a="1"/>
  <c r="CD23" i="6" a="1"/>
  <c r="CD20" i="6" a="1"/>
  <c r="BK23" i="6"/>
  <c r="BK20" i="6"/>
  <c r="BK22" i="6"/>
  <c r="BK18" i="6"/>
  <c r="CD18" i="6" a="1"/>
  <c r="AG13" i="6"/>
  <c r="CD26" i="6" a="1"/>
  <c r="BK26" i="6"/>
  <c r="BK33" i="6"/>
  <c r="CD33" i="6" a="1"/>
  <c r="AR16" i="6"/>
  <c r="P12" i="9"/>
  <c r="AA24" i="10"/>
  <c r="AA29" i="10" s="1"/>
  <c r="CD12" i="6"/>
  <c r="BK12" i="6"/>
  <c r="AS13" i="6"/>
  <c r="AT13" i="6" s="1"/>
  <c r="CE13" i="6"/>
  <c r="CE25" i="6" s="1" a="1"/>
  <c r="AE12" i="8"/>
  <c r="AK13" i="12"/>
  <c r="BL13" i="6"/>
  <c r="BL25" i="6" s="1"/>
  <c r="Q12" i="10"/>
  <c r="Q11" i="10" s="1" a="1"/>
  <c r="BL24" i="6" l="1"/>
  <c r="CE24" i="6" a="1"/>
  <c r="BK28" i="6"/>
  <c r="CC28" i="6" a="1"/>
  <c r="BY28" i="6" a="1"/>
  <c r="CD28" i="6" a="1"/>
  <c r="CA28" i="6" a="1"/>
  <c r="BE28" i="6"/>
  <c r="BJ28" i="6"/>
  <c r="BH28" i="6"/>
  <c r="BZ28" i="6" a="1"/>
  <c r="BD28" i="6"/>
  <c r="CB28" i="6" a="1"/>
  <c r="CD32" i="6" a="1"/>
  <c r="BV32" i="6" a="1"/>
  <c r="BE32" i="6"/>
  <c r="CC32" i="6" a="1"/>
  <c r="BC32" i="6"/>
  <c r="CB32" i="6" a="1"/>
  <c r="BL32" i="6"/>
  <c r="CA32" i="6" a="1"/>
  <c r="BZ32" i="6" a="1"/>
  <c r="BH32" i="6"/>
  <c r="BJ32" i="6"/>
  <c r="BY32" i="6" a="1"/>
  <c r="BK32" i="6"/>
  <c r="BX32" i="6" a="1"/>
  <c r="BI32" i="6"/>
  <c r="BD32" i="6"/>
  <c r="CE32" i="6" a="1"/>
  <c r="BW32" i="6" a="1"/>
  <c r="BG32" i="6"/>
  <c r="BF32" i="6"/>
  <c r="BX28" i="6" a="1"/>
  <c r="BV28" i="6" a="1"/>
  <c r="BC28" i="6"/>
  <c r="BW28" i="6" a="1"/>
  <c r="BG28" i="6"/>
  <c r="BF28" i="6"/>
  <c r="CB29" i="6" a="1"/>
  <c r="BC29" i="6"/>
  <c r="BY29" i="6" a="1"/>
  <c r="BI29" i="6"/>
  <c r="BV29" i="6" a="1"/>
  <c r="CD29" i="6" a="1"/>
  <c r="BE29" i="6"/>
  <c r="CA29" i="6" a="1"/>
  <c r="BJ29" i="6"/>
  <c r="BD29" i="6"/>
  <c r="BF29" i="6"/>
  <c r="BX29" i="6" a="1"/>
  <c r="BK29" i="6"/>
  <c r="BW29" i="6" a="1"/>
  <c r="BZ29" i="6" a="1"/>
  <c r="BG29" i="6"/>
  <c r="BH29" i="6"/>
  <c r="M31" i="6"/>
  <c r="BL31" i="6" s="1"/>
  <c r="M30" i="6"/>
  <c r="BL30" i="6" s="1"/>
  <c r="BL19" i="6"/>
  <c r="BL17" i="6"/>
  <c r="CE19" i="6" a="1"/>
  <c r="CE17" i="6" a="1"/>
  <c r="CE29" i="6" a="1"/>
  <c r="BL29" i="6"/>
  <c r="CE21" i="6" a="1"/>
  <c r="CE27" i="6" a="1"/>
  <c r="BL21" i="6"/>
  <c r="BL27" i="6"/>
  <c r="BL20" i="6"/>
  <c r="BL23" i="6"/>
  <c r="BL22" i="6"/>
  <c r="CE23" i="6" a="1"/>
  <c r="CE20" i="6" a="1"/>
  <c r="CE22" i="6" a="1"/>
  <c r="CF13" i="6"/>
  <c r="CF25" i="6" s="1" a="1"/>
  <c r="CE18" i="6" a="1"/>
  <c r="BM13" i="6"/>
  <c r="BM25" i="6" s="1"/>
  <c r="BL18" i="6"/>
  <c r="AU13" i="6"/>
  <c r="AT12" i="6"/>
  <c r="AH13" i="6"/>
  <c r="BL26" i="6"/>
  <c r="CE26" i="6" a="1"/>
  <c r="BL33" i="6"/>
  <c r="BL28" i="6"/>
  <c r="CE33" i="6" a="1"/>
  <c r="CE28" i="6" a="1"/>
  <c r="AS12" i="6"/>
  <c r="Q12" i="9"/>
  <c r="AC24" i="10"/>
  <c r="AC29" i="10" s="1"/>
  <c r="CE12" i="6"/>
  <c r="BL12" i="6"/>
  <c r="AF12" i="8"/>
  <c r="AL13" i="12"/>
  <c r="R12" i="10"/>
  <c r="R11" i="10" s="1" a="1"/>
  <c r="BM24" i="6" l="1"/>
  <c r="CF24" i="6" a="1"/>
  <c r="BM32" i="6"/>
  <c r="CF32" i="6" a="1"/>
  <c r="CE30" i="6" a="1"/>
  <c r="CE31" i="6" a="1"/>
  <c r="BI30" i="6"/>
  <c r="BF30" i="6"/>
  <c r="CC30" i="6" a="1"/>
  <c r="BH30" i="6"/>
  <c r="BE30" i="6"/>
  <c r="CD30" i="6" a="1"/>
  <c r="BX30" i="6" a="1"/>
  <c r="BY30" i="6" a="1"/>
  <c r="BC30" i="6"/>
  <c r="BG30" i="6"/>
  <c r="BJ30" i="6"/>
  <c r="CA30" i="6" a="1"/>
  <c r="BW30" i="6" a="1"/>
  <c r="BZ30" i="6" a="1"/>
  <c r="CB30" i="6" a="1"/>
  <c r="BD30" i="6"/>
  <c r="BV30" i="6" a="1"/>
  <c r="BK30" i="6"/>
  <c r="BV31" i="6" a="1"/>
  <c r="CC31" i="6" a="1"/>
  <c r="BC31" i="6"/>
  <c r="BX31" i="6" a="1"/>
  <c r="BH31" i="6"/>
  <c r="BE31" i="6"/>
  <c r="BG31" i="6"/>
  <c r="BZ31" i="6" a="1"/>
  <c r="BI31" i="6"/>
  <c r="BK31" i="6"/>
  <c r="CB31" i="6" a="1"/>
  <c r="CA31" i="6" a="1"/>
  <c r="BW31" i="6" a="1"/>
  <c r="CD31" i="6" a="1"/>
  <c r="BD31" i="6"/>
  <c r="BY31" i="6" a="1"/>
  <c r="BJ31" i="6"/>
  <c r="BF31" i="6"/>
  <c r="BM31" i="6"/>
  <c r="CF31" i="6" a="1"/>
  <c r="BM30" i="6"/>
  <c r="CF30" i="6" a="1"/>
  <c r="BM19" i="6"/>
  <c r="BM17" i="6"/>
  <c r="CF19" i="6" a="1"/>
  <c r="CF17" i="6" a="1"/>
  <c r="BM29" i="6"/>
  <c r="CF29" i="6" a="1"/>
  <c r="BM21" i="6"/>
  <c r="BM27" i="6"/>
  <c r="CF21" i="6" a="1"/>
  <c r="CF27" i="6" a="1"/>
  <c r="CF22" i="6" a="1"/>
  <c r="CF23" i="6" a="1"/>
  <c r="CF20" i="6" a="1"/>
  <c r="BM23" i="6"/>
  <c r="BM22" i="6"/>
  <c r="BM20" i="6"/>
  <c r="CF12" i="6"/>
  <c r="BM12" i="6"/>
  <c r="CF28" i="6" a="1"/>
  <c r="CG13" i="6"/>
  <c r="CG25" i="6" s="1" a="1"/>
  <c r="BM18" i="6"/>
  <c r="BM28" i="6"/>
  <c r="BN13" i="6"/>
  <c r="BN25" i="6" s="1"/>
  <c r="CF18" i="6" a="1"/>
  <c r="AT16" i="6"/>
  <c r="AV13" i="6"/>
  <c r="AU12" i="6"/>
  <c r="AS16" i="6"/>
  <c r="R12" i="9"/>
  <c r="AE24" i="10"/>
  <c r="AE29" i="10" s="1"/>
  <c r="AM13" i="12"/>
  <c r="S12" i="10"/>
  <c r="S11" i="10" s="1" a="1"/>
  <c r="J25" i="12" l="1" a="1"/>
  <c r="L25" i="12" a="1"/>
  <c r="BN24" i="6"/>
  <c r="J24" i="12" a="1"/>
  <c r="L24" i="12" a="1"/>
  <c r="CG24" i="6" a="1"/>
  <c r="CG32" i="6" a="1"/>
  <c r="BN32" i="6"/>
  <c r="J32" i="12" a="1"/>
  <c r="L32" i="12" a="1"/>
  <c r="BN31" i="6"/>
  <c r="CG31" i="6" a="1"/>
  <c r="J31" i="12" a="1"/>
  <c r="L31" i="12" a="1"/>
  <c r="L30" i="12" a="1"/>
  <c r="J30" i="12" a="1"/>
  <c r="BN30" i="6"/>
  <c r="CG30" i="6" a="1"/>
  <c r="BN19" i="6"/>
  <c r="BN17" i="6"/>
  <c r="CG19" i="6" a="1"/>
  <c r="CG17" i="6" a="1"/>
  <c r="M34" i="6"/>
  <c r="CG34" i="6" s="1" a="1"/>
  <c r="BN29" i="6"/>
  <c r="CG29" i="6" a="1"/>
  <c r="J29" i="12" a="1"/>
  <c r="L29" i="12" a="1"/>
  <c r="CG27" i="6" a="1"/>
  <c r="BN21" i="6"/>
  <c r="BN27" i="6"/>
  <c r="J27" i="12" a="1"/>
  <c r="L27" i="12" a="1"/>
  <c r="CG21" i="6" a="1"/>
  <c r="CH13" i="6"/>
  <c r="CH25" i="6" s="1" a="1"/>
  <c r="BN20" i="6"/>
  <c r="BN22" i="6"/>
  <c r="BN23" i="6"/>
  <c r="CG22" i="6" a="1"/>
  <c r="CG20" i="6" a="1"/>
  <c r="CG23" i="6" a="1"/>
  <c r="L23" i="12" a="1"/>
  <c r="J22" i="12" a="1"/>
  <c r="L20" i="12" a="1"/>
  <c r="L22" i="12" a="1"/>
  <c r="J23" i="12" a="1"/>
  <c r="J20" i="12" a="1"/>
  <c r="CG12" i="6"/>
  <c r="CG18" i="6" a="1"/>
  <c r="CG28" i="6" a="1"/>
  <c r="BN12" i="6"/>
  <c r="BO13" i="6"/>
  <c r="BO25" i="6" s="1"/>
  <c r="BN28" i="6"/>
  <c r="BN18" i="6"/>
  <c r="J18" i="12" a="1"/>
  <c r="L18" i="12" a="1"/>
  <c r="AU16" i="6"/>
  <c r="AW13" i="6"/>
  <c r="AV12" i="6"/>
  <c r="J28" i="12" a="1"/>
  <c r="L28" i="12" a="1"/>
  <c r="L34" i="12" a="1"/>
  <c r="J34" i="12" a="1"/>
  <c r="AO7" i="12" a="1"/>
  <c r="L14" i="12" a="1"/>
  <c r="J14" i="12" a="1"/>
  <c r="S12" i="9"/>
  <c r="T12" i="10"/>
  <c r="T11" i="10" s="1" a="1"/>
  <c r="K25" i="12" l="1"/>
  <c r="K24" i="12"/>
  <c r="BO24" i="6"/>
  <c r="CH24" i="6" a="1"/>
  <c r="BO32" i="6"/>
  <c r="CH32" i="6" a="1"/>
  <c r="K32" i="12"/>
  <c r="K31" i="12"/>
  <c r="BO31" i="6"/>
  <c r="CH31" i="6" a="1"/>
  <c r="BN34" i="6"/>
  <c r="K30" i="12"/>
  <c r="BO30" i="6"/>
  <c r="CH30" i="6" a="1"/>
  <c r="K29" i="12"/>
  <c r="CH19" i="6" a="1"/>
  <c r="CH17" i="6" a="1"/>
  <c r="BO19" i="6"/>
  <c r="BO17" i="6"/>
  <c r="CH28" i="6" a="1"/>
  <c r="CH20" i="6" a="1"/>
  <c r="CH12" i="6"/>
  <c r="CH34" i="6" a="1"/>
  <c r="CI13" i="6"/>
  <c r="CI25" i="6" s="1" a="1"/>
  <c r="CH18" i="6" a="1"/>
  <c r="CE34" i="6" a="1"/>
  <c r="BD34" i="6"/>
  <c r="BW34" i="6" a="1"/>
  <c r="BF34" i="6"/>
  <c r="CD34" i="6" a="1"/>
  <c r="BV34" i="6" a="1"/>
  <c r="BL34" i="6"/>
  <c r="CB34" i="6" a="1"/>
  <c r="BJ34" i="6"/>
  <c r="BZ34" i="6" a="1"/>
  <c r="BC34" i="6"/>
  <c r="CF34" i="6" a="1"/>
  <c r="BM34" i="6"/>
  <c r="BK34" i="6"/>
  <c r="BH34" i="6"/>
  <c r="BX34" i="6" a="1"/>
  <c r="BY34" i="6" a="1"/>
  <c r="CA34" i="6" a="1"/>
  <c r="BI34" i="6"/>
  <c r="BG34" i="6"/>
  <c r="CC34" i="6" a="1"/>
  <c r="BE34" i="6"/>
  <c r="CH29" i="6" a="1"/>
  <c r="CH23" i="6" a="1"/>
  <c r="BO29" i="6"/>
  <c r="CH22" i="6" a="1"/>
  <c r="BO21" i="6"/>
  <c r="BO27" i="6"/>
  <c r="CH21" i="6" a="1"/>
  <c r="CH27" i="6" a="1"/>
  <c r="CI21" i="6" a="1"/>
  <c r="K27" i="12"/>
  <c r="K23" i="12"/>
  <c r="K22" i="12"/>
  <c r="BO22" i="6"/>
  <c r="BO23" i="6"/>
  <c r="BO20" i="6"/>
  <c r="K20" i="12"/>
  <c r="BO12" i="6"/>
  <c r="BP13" i="6"/>
  <c r="BP25" i="6" s="1"/>
  <c r="K18" i="12"/>
  <c r="BO34" i="6"/>
  <c r="BO28" i="6"/>
  <c r="BO18" i="6"/>
  <c r="AX13" i="6"/>
  <c r="AW12" i="6"/>
  <c r="AV16" i="6"/>
  <c r="K28" i="12"/>
  <c r="K34" i="12"/>
  <c r="T12" i="9"/>
  <c r="K14" i="12"/>
  <c r="U12" i="10"/>
  <c r="U11" i="10" s="1" a="1"/>
  <c r="BP24" i="6" l="1"/>
  <c r="CI24" i="6" a="1"/>
  <c r="BP32" i="6"/>
  <c r="CI32" i="6" a="1"/>
  <c r="CI31" i="6" a="1"/>
  <c r="BP31" i="6"/>
  <c r="CI29" i="6" a="1"/>
  <c r="CI27" i="6" a="1"/>
  <c r="CJ13" i="6"/>
  <c r="CJ25" i="6" s="1" a="1"/>
  <c r="CI34" i="6" a="1"/>
  <c r="CI28" i="6" a="1"/>
  <c r="CI30" i="6" a="1"/>
  <c r="BP30" i="6"/>
  <c r="CI23" i="6" a="1"/>
  <c r="BP19" i="6"/>
  <c r="BP17" i="6"/>
  <c r="CI19" i="6" a="1"/>
  <c r="CI17" i="6" a="1"/>
  <c r="CJ17" i="6" a="1"/>
  <c r="CI20" i="6" a="1"/>
  <c r="CI18" i="6" a="1"/>
  <c r="CI22" i="6" a="1"/>
  <c r="CI12" i="6"/>
  <c r="BP29" i="6"/>
  <c r="CJ21" i="6" a="1"/>
  <c r="BP27" i="6"/>
  <c r="BP18" i="6"/>
  <c r="BP34" i="6"/>
  <c r="BP21" i="6"/>
  <c r="BP12" i="6"/>
  <c r="BP23" i="6"/>
  <c r="BP20" i="6"/>
  <c r="BP22" i="6"/>
  <c r="BP28" i="6"/>
  <c r="BQ13" i="6"/>
  <c r="BQ25" i="6" s="1"/>
  <c r="AW16" i="6"/>
  <c r="AX12" i="6"/>
  <c r="AY13" i="6"/>
  <c r="U12" i="9"/>
  <c r="V12" i="10"/>
  <c r="V11" i="10" s="1" a="1"/>
  <c r="CJ24" i="6" l="1" a="1"/>
  <c r="BQ24" i="6"/>
  <c r="BQ32" i="6"/>
  <c r="CJ32" i="6" a="1"/>
  <c r="BQ31" i="6"/>
  <c r="CJ31" i="6" a="1"/>
  <c r="CK13" i="6"/>
  <c r="CK25" i="6" s="1" a="1"/>
  <c r="CJ28" i="6" a="1"/>
  <c r="CJ34" i="6" a="1"/>
  <c r="CJ12" i="6"/>
  <c r="CJ22" i="6" a="1"/>
  <c r="CJ29" i="6" a="1"/>
  <c r="CJ19" i="6" a="1"/>
  <c r="CJ18" i="6" a="1"/>
  <c r="CJ20" i="6" a="1"/>
  <c r="CJ27" i="6" a="1"/>
  <c r="CJ23" i="6" a="1"/>
  <c r="CJ30" i="6" a="1"/>
  <c r="BQ30" i="6"/>
  <c r="BQ19" i="6"/>
  <c r="BQ17" i="6"/>
  <c r="CK17" i="6" a="1"/>
  <c r="BQ29" i="6"/>
  <c r="CK21" i="6" a="1"/>
  <c r="BQ27" i="6"/>
  <c r="BQ21" i="6"/>
  <c r="BQ18" i="6"/>
  <c r="BQ20" i="6"/>
  <c r="BQ23" i="6"/>
  <c r="BQ22" i="6"/>
  <c r="BQ28" i="6"/>
  <c r="BR13" i="6"/>
  <c r="BR25" i="6" s="1"/>
  <c r="BQ34" i="6"/>
  <c r="BQ12" i="6"/>
  <c r="AZ13" i="6"/>
  <c r="AY12" i="6"/>
  <c r="AX16" i="6"/>
  <c r="V12" i="9"/>
  <c r="W12" i="10"/>
  <c r="W11" i="10" s="1" a="1"/>
  <c r="BR24" i="6" l="1"/>
  <c r="CK24" i="6" a="1"/>
  <c r="BR32" i="6"/>
  <c r="CK28" i="6" a="1"/>
  <c r="CK32" i="6" a="1"/>
  <c r="CK34" i="6" a="1"/>
  <c r="CK30" i="6" a="1"/>
  <c r="CK20" i="6" a="1"/>
  <c r="CK31" i="6" a="1"/>
  <c r="BR31" i="6"/>
  <c r="CK19" i="6" a="1"/>
  <c r="CK12" i="6"/>
  <c r="CK27" i="6" a="1"/>
  <c r="CL13" i="6"/>
  <c r="CL25" i="6" s="1" a="1"/>
  <c r="CK22" i="6" a="1"/>
  <c r="CK18" i="6" a="1"/>
  <c r="CK29" i="6" a="1"/>
  <c r="CK23" i="6" a="1"/>
  <c r="BR30" i="6"/>
  <c r="CL17" i="6" a="1"/>
  <c r="BR19" i="6"/>
  <c r="BR17" i="6"/>
  <c r="BR29" i="6"/>
  <c r="BR27" i="6"/>
  <c r="CL21" i="6" a="1"/>
  <c r="BR21" i="6"/>
  <c r="BR28" i="6"/>
  <c r="BR12" i="6"/>
  <c r="BR20" i="6"/>
  <c r="BR23" i="6"/>
  <c r="BR22" i="6"/>
  <c r="BR18" i="6"/>
  <c r="BR34" i="6"/>
  <c r="BS13" i="6"/>
  <c r="BS25" i="6" s="1"/>
  <c r="AY16" i="6"/>
  <c r="AZ12" i="6"/>
  <c r="BA13" i="6"/>
  <c r="BA12" i="6" s="1"/>
  <c r="W12" i="9"/>
  <c r="X12" i="10"/>
  <c r="X11" i="10" s="1" a="1"/>
  <c r="BS24" i="6" l="1"/>
  <c r="CL24" i="6" a="1"/>
  <c r="BS32" i="6"/>
  <c r="CL30" i="6" a="1"/>
  <c r="CL32" i="6" a="1"/>
  <c r="CL22" i="6" a="1"/>
  <c r="CL27" i="6" a="1"/>
  <c r="CL19" i="6" a="1"/>
  <c r="CL34" i="6" a="1"/>
  <c r="CL20" i="6" a="1"/>
  <c r="CL12" i="6"/>
  <c r="BS31" i="6"/>
  <c r="CL31" i="6" a="1"/>
  <c r="CL18" i="6" a="1"/>
  <c r="CL28" i="6" a="1"/>
  <c r="CM13" i="6"/>
  <c r="CM25" i="6" s="1" a="1"/>
  <c r="CL23" i="6" a="1"/>
  <c r="CL29" i="6" a="1"/>
  <c r="BS30" i="6"/>
  <c r="CM17" i="6" a="1"/>
  <c r="BS19" i="6"/>
  <c r="BS17" i="6"/>
  <c r="BS29" i="6"/>
  <c r="BS27" i="6"/>
  <c r="CM21" i="6" a="1"/>
  <c r="BS18" i="6"/>
  <c r="BS21" i="6"/>
  <c r="BS22" i="6"/>
  <c r="BS23" i="6"/>
  <c r="BS20" i="6"/>
  <c r="BT13" i="6"/>
  <c r="BT25" i="6" s="1"/>
  <c r="BS34" i="6"/>
  <c r="BS28" i="6"/>
  <c r="BS12" i="6"/>
  <c r="BA16" i="6"/>
  <c r="AZ16" i="6"/>
  <c r="X12" i="9"/>
  <c r="Y12" i="10"/>
  <c r="Y11" i="10" s="1" a="1"/>
  <c r="CM24" i="6" l="1" a="1"/>
  <c r="BT24" i="6"/>
  <c r="BT32" i="6"/>
  <c r="CM30" i="6" a="1"/>
  <c r="CM32" i="6" a="1"/>
  <c r="CM12" i="6"/>
  <c r="CM34" i="6" a="1"/>
  <c r="CM20" i="6" a="1"/>
  <c r="CM19" i="6" a="1"/>
  <c r="CM28" i="6" a="1"/>
  <c r="CM18" i="6" a="1"/>
  <c r="CM27" i="6" a="1"/>
  <c r="CM29" i="6" a="1"/>
  <c r="CM22" i="6" a="1"/>
  <c r="CM23" i="6" a="1"/>
  <c r="CM31" i="6" a="1"/>
  <c r="BT31" i="6"/>
  <c r="BT30" i="6"/>
  <c r="BT19" i="6"/>
  <c r="BT17" i="6"/>
  <c r="BT29" i="6"/>
  <c r="BT27" i="6"/>
  <c r="BT18" i="6"/>
  <c r="BT21" i="6"/>
  <c r="BT12" i="6"/>
  <c r="BT34" i="6"/>
  <c r="BT20" i="6"/>
  <c r="BT22" i="6"/>
  <c r="BT23" i="6"/>
  <c r="BT28" i="6"/>
  <c r="Y12" i="9"/>
  <c r="Z12" i="10"/>
  <c r="Z11" i="10" s="1" a="1"/>
  <c r="Z12" i="9" l="1"/>
  <c r="AA12" i="10"/>
  <c r="AA11" i="10" s="1" a="1"/>
  <c r="AA12" i="9" l="1"/>
  <c r="AB12" i="10"/>
  <c r="AB11" i="10" s="1" a="1"/>
  <c r="AB12" i="9" l="1"/>
  <c r="AC12" i="10"/>
  <c r="AC11" i="10" s="1" a="1"/>
  <c r="AC12" i="9" l="1"/>
  <c r="AD12" i="10"/>
  <c r="AD11" i="10" s="1" a="1"/>
  <c r="AD12" i="9" l="1"/>
  <c r="AE12" i="10"/>
  <c r="AE11" i="10" s="1" a="1"/>
  <c r="AE12" i="9" l="1"/>
  <c r="AF12" i="10"/>
  <c r="AF11" i="10" s="1" a="1"/>
  <c r="M1" i="6" l="1"/>
  <c r="H25" i="6" l="1" a="1"/>
  <c r="H24" i="6" a="1"/>
  <c r="H32" i="6" a="1"/>
  <c r="H31" i="6" a="1"/>
  <c r="H30" i="6" a="1"/>
  <c r="H17" i="6" a="1"/>
  <c r="H19" i="6" a="1"/>
  <c r="H29" i="6" a="1"/>
  <c r="H27" i="6" a="1"/>
  <c r="H21" i="6" a="1"/>
  <c r="H20" i="6" a="1"/>
  <c r="H22" i="6" a="1"/>
  <c r="H23" i="6" a="1"/>
  <c r="H18" i="6" a="1"/>
  <c r="J26" i="6" a="1"/>
  <c r="H26" i="6" a="1"/>
  <c r="J16" i="6" a="1"/>
  <c r="H33" i="6" a="1"/>
  <c r="H28" i="6" a="1"/>
  <c r="J33" i="6" a="1"/>
  <c r="H34" i="6" a="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5" i="5" l="1"/>
  <c r="AJ25" i="6"/>
  <c r="AK25" i="6"/>
  <c r="AL25" i="6"/>
  <c r="AM25" i="6"/>
  <c r="AN25" i="6"/>
  <c r="AO25" i="6"/>
  <c r="AP25" i="6"/>
  <c r="AQ25" i="6"/>
  <c r="AR25" i="6"/>
  <c r="AS25" i="6"/>
  <c r="AT25" i="6"/>
  <c r="AU25" i="6"/>
  <c r="AV25" i="6"/>
  <c r="AW25" i="6"/>
  <c r="AX25" i="6"/>
  <c r="AY25" i="6"/>
  <c r="BA25" i="6"/>
  <c r="AZ25" i="6"/>
  <c r="T24" i="5"/>
  <c r="AJ24" i="6"/>
  <c r="AK24" i="6"/>
  <c r="AL24" i="6"/>
  <c r="AN24" i="6"/>
  <c r="AM24" i="6"/>
  <c r="AO24" i="6"/>
  <c r="AP24" i="6"/>
  <c r="AQ24" i="6"/>
  <c r="AR24" i="6"/>
  <c r="AS24" i="6"/>
  <c r="AT24" i="6"/>
  <c r="AU24" i="6"/>
  <c r="AV24" i="6"/>
  <c r="AW24" i="6"/>
  <c r="AX24" i="6"/>
  <c r="AY24" i="6"/>
  <c r="BA24" i="6"/>
  <c r="AZ24" i="6"/>
  <c r="T32" i="5"/>
  <c r="AJ32" i="6"/>
  <c r="AK32" i="6"/>
  <c r="AL32" i="6"/>
  <c r="AM32" i="6"/>
  <c r="AN32" i="6"/>
  <c r="AO32" i="6"/>
  <c r="AP32" i="6"/>
  <c r="AQ32" i="6"/>
  <c r="AR32" i="6"/>
  <c r="AS32" i="6"/>
  <c r="AT32" i="6"/>
  <c r="AU32" i="6"/>
  <c r="AV32" i="6"/>
  <c r="AW32" i="6"/>
  <c r="AX32" i="6"/>
  <c r="AY32" i="6"/>
  <c r="BA32" i="6"/>
  <c r="AZ32" i="6"/>
  <c r="T31" i="5"/>
  <c r="AJ31" i="6"/>
  <c r="AK31" i="6"/>
  <c r="AL31" i="6"/>
  <c r="AN31" i="6"/>
  <c r="AM31" i="6"/>
  <c r="AO31" i="6"/>
  <c r="AP31" i="6"/>
  <c r="AQ31" i="6"/>
  <c r="AR31" i="6"/>
  <c r="AS31" i="6"/>
  <c r="AT31" i="6"/>
  <c r="AU31" i="6"/>
  <c r="AV31" i="6"/>
  <c r="AW31" i="6"/>
  <c r="AX31" i="6"/>
  <c r="AY31" i="6"/>
  <c r="BA31" i="6"/>
  <c r="AZ31" i="6"/>
  <c r="T30" i="5"/>
  <c r="AJ30" i="6"/>
  <c r="AK30" i="6"/>
  <c r="AL30" i="6"/>
  <c r="AN30" i="6"/>
  <c r="AM30" i="6"/>
  <c r="AO30" i="6"/>
  <c r="AP30" i="6"/>
  <c r="AQ30" i="6"/>
  <c r="AR30" i="6"/>
  <c r="AT30" i="6"/>
  <c r="AS30" i="6"/>
  <c r="AU30" i="6"/>
  <c r="AV30" i="6"/>
  <c r="AW30" i="6"/>
  <c r="AX30" i="6"/>
  <c r="AY30" i="6"/>
  <c r="BA30" i="6"/>
  <c r="AZ30" i="6"/>
  <c r="T17" i="5"/>
  <c r="AJ17" i="6"/>
  <c r="AK17" i="6"/>
  <c r="AL17" i="6"/>
  <c r="AM17" i="6"/>
  <c r="AN17" i="6"/>
  <c r="AO17" i="6"/>
  <c r="AP17" i="6"/>
  <c r="AQ17" i="6"/>
  <c r="AR17" i="6"/>
  <c r="AT17" i="6"/>
  <c r="AS17" i="6"/>
  <c r="AU17" i="6"/>
  <c r="AV17" i="6"/>
  <c r="AW17" i="6"/>
  <c r="AX17" i="6"/>
  <c r="AY17" i="6"/>
  <c r="BA17" i="6"/>
  <c r="AZ17" i="6"/>
  <c r="T19" i="5"/>
  <c r="AJ19" i="6"/>
  <c r="AK19" i="6"/>
  <c r="AL19" i="6"/>
  <c r="AM19" i="6"/>
  <c r="AN19" i="6"/>
  <c r="AO19" i="6"/>
  <c r="AP19" i="6"/>
  <c r="AQ19" i="6"/>
  <c r="AR19" i="6"/>
  <c r="AS19" i="6"/>
  <c r="AT19" i="6"/>
  <c r="AU19" i="6"/>
  <c r="AV19" i="6"/>
  <c r="AW19" i="6"/>
  <c r="AX19" i="6"/>
  <c r="AY19" i="6"/>
  <c r="AZ19" i="6"/>
  <c r="BA19" i="6"/>
  <c r="T29" i="5"/>
  <c r="AJ29" i="6"/>
  <c r="AK29" i="6"/>
  <c r="AL29" i="6"/>
  <c r="AN29" i="6"/>
  <c r="AM29" i="6"/>
  <c r="AO29" i="6"/>
  <c r="AP29" i="6"/>
  <c r="AQ29" i="6"/>
  <c r="AR29" i="6"/>
  <c r="AS29" i="6"/>
  <c r="AT29" i="6"/>
  <c r="AU29" i="6"/>
  <c r="AV29" i="6"/>
  <c r="AW29" i="6"/>
  <c r="AX29" i="6"/>
  <c r="AY29" i="6"/>
  <c r="AZ29" i="6"/>
  <c r="BA29" i="6"/>
  <c r="T27" i="5"/>
  <c r="AJ27" i="6"/>
  <c r="AK27" i="6"/>
  <c r="AL27" i="6"/>
  <c r="AN27" i="6"/>
  <c r="AM27" i="6"/>
  <c r="AO27" i="6"/>
  <c r="AP27" i="6"/>
  <c r="AQ27" i="6"/>
  <c r="AR27" i="6"/>
  <c r="AT27" i="6"/>
  <c r="AS27" i="6"/>
  <c r="AU27" i="6"/>
  <c r="AV27" i="6"/>
  <c r="AW27" i="6"/>
  <c r="AX27" i="6"/>
  <c r="AY27" i="6"/>
  <c r="BA27" i="6"/>
  <c r="AZ27" i="6"/>
  <c r="T21" i="5"/>
  <c r="AJ21" i="6"/>
  <c r="AK21" i="6"/>
  <c r="AL21" i="6"/>
  <c r="AN21" i="6"/>
  <c r="AM21" i="6"/>
  <c r="AO21" i="6"/>
  <c r="AP21" i="6"/>
  <c r="AQ21" i="6"/>
  <c r="AR21" i="6"/>
  <c r="AT21" i="6"/>
  <c r="AS21" i="6"/>
  <c r="AU21" i="6"/>
  <c r="AV21" i="6"/>
  <c r="AW21" i="6"/>
  <c r="AX21" i="6"/>
  <c r="AY21" i="6"/>
  <c r="AZ21" i="6"/>
  <c r="BA21" i="6"/>
  <c r="T23" i="5"/>
  <c r="AJ23" i="6"/>
  <c r="AK23" i="6"/>
  <c r="AL23" i="6"/>
  <c r="AN23" i="6"/>
  <c r="AM23" i="6"/>
  <c r="AO23" i="6"/>
  <c r="AP23" i="6"/>
  <c r="AQ23" i="6"/>
  <c r="AR23" i="6"/>
  <c r="AT23" i="6"/>
  <c r="AS23" i="6"/>
  <c r="AU23" i="6"/>
  <c r="AV23" i="6"/>
  <c r="AW23" i="6"/>
  <c r="AX23" i="6"/>
  <c r="AY23" i="6"/>
  <c r="BA23" i="6"/>
  <c r="AZ23" i="6"/>
  <c r="T22" i="5"/>
  <c r="AJ22" i="6"/>
  <c r="AK22" i="6"/>
  <c r="AL22" i="6"/>
  <c r="AN22" i="6"/>
  <c r="AM22" i="6"/>
  <c r="AO22" i="6"/>
  <c r="AP22" i="6"/>
  <c r="AQ22" i="6"/>
  <c r="AR22" i="6"/>
  <c r="AT22" i="6"/>
  <c r="AS22" i="6"/>
  <c r="AU22" i="6"/>
  <c r="AV22" i="6"/>
  <c r="AW22" i="6"/>
  <c r="AX22" i="6"/>
  <c r="AY22" i="6"/>
  <c r="BA22" i="6"/>
  <c r="AZ22" i="6"/>
  <c r="T20" i="5"/>
  <c r="AJ20" i="6"/>
  <c r="AK20" i="6"/>
  <c r="AL20" i="6"/>
  <c r="AN20" i="6"/>
  <c r="AM20" i="6"/>
  <c r="AO20" i="6"/>
  <c r="AP20" i="6"/>
  <c r="AQ20" i="6"/>
  <c r="AR20" i="6"/>
  <c r="AS20" i="6"/>
  <c r="AT20" i="6"/>
  <c r="AU20" i="6"/>
  <c r="AV20" i="6"/>
  <c r="AW20" i="6"/>
  <c r="AX20" i="6"/>
  <c r="AY20" i="6"/>
  <c r="AZ20" i="6"/>
  <c r="BA20" i="6"/>
  <c r="T18" i="5"/>
  <c r="AJ18" i="6"/>
  <c r="AK18" i="6"/>
  <c r="AL18" i="6"/>
  <c r="AM18" i="6"/>
  <c r="AN18" i="6"/>
  <c r="AO18" i="6"/>
  <c r="AP18" i="6"/>
  <c r="AQ18" i="6"/>
  <c r="AR18" i="6"/>
  <c r="AS18" i="6"/>
  <c r="AT18" i="6"/>
  <c r="AU18" i="6"/>
  <c r="AV18" i="6"/>
  <c r="AW18" i="6"/>
  <c r="AX18" i="6"/>
  <c r="AY18" i="6"/>
  <c r="AZ18" i="6"/>
  <c r="BA18" i="6"/>
  <c r="AT34" i="6"/>
  <c r="AU34" i="6"/>
  <c r="AV34" i="6"/>
  <c r="AW34" i="6"/>
  <c r="AX34" i="6"/>
  <c r="AY34" i="6"/>
  <c r="BA34" i="6"/>
  <c r="AZ34" i="6"/>
  <c r="AT28" i="6"/>
  <c r="AU28" i="6"/>
  <c r="AV28" i="6"/>
  <c r="AW28" i="6"/>
  <c r="AX28" i="6"/>
  <c r="AY28" i="6"/>
  <c r="AZ28" i="6"/>
  <c r="BA28" i="6"/>
  <c r="AT26" i="6"/>
  <c r="AU26" i="6"/>
  <c r="AV26" i="6"/>
  <c r="AW26" i="6"/>
  <c r="AX26" i="6"/>
  <c r="AY26" i="6"/>
  <c r="BA26" i="6"/>
  <c r="AZ26" i="6"/>
  <c r="AT33" i="6"/>
  <c r="AU33" i="6"/>
  <c r="AV33" i="6"/>
  <c r="AW33" i="6"/>
  <c r="AX33" i="6"/>
  <c r="AY33" i="6"/>
  <c r="BA33" i="6"/>
  <c r="AZ33" i="6"/>
  <c r="T26" i="5"/>
  <c r="AJ26" i="6"/>
  <c r="AK26" i="6"/>
  <c r="AL26" i="6"/>
  <c r="AM26" i="6"/>
  <c r="AN26" i="6"/>
  <c r="AO26" i="6"/>
  <c r="AP26" i="6"/>
  <c r="AQ26" i="6"/>
  <c r="AR26" i="6"/>
  <c r="AS26" i="6"/>
  <c r="T28" i="5"/>
  <c r="AJ28" i="6"/>
  <c r="AK28" i="6"/>
  <c r="AL28" i="6"/>
  <c r="AN28" i="6"/>
  <c r="AM28" i="6"/>
  <c r="AO28" i="6"/>
  <c r="AP28" i="6"/>
  <c r="AQ28" i="6"/>
  <c r="AR28" i="6"/>
  <c r="AS28" i="6"/>
  <c r="T34" i="5"/>
  <c r="AJ34" i="6"/>
  <c r="AK34" i="6"/>
  <c r="AL34" i="6"/>
  <c r="AM34" i="6"/>
  <c r="AN34" i="6"/>
  <c r="AO34" i="6"/>
  <c r="AP34" i="6"/>
  <c r="AQ34" i="6"/>
  <c r="AR34" i="6"/>
  <c r="AS34" i="6"/>
  <c r="T33" i="5"/>
  <c r="AJ33" i="6"/>
  <c r="AK33" i="6"/>
  <c r="AL33" i="6"/>
  <c r="AN33" i="6"/>
  <c r="AM33" i="6"/>
  <c r="AO33" i="6"/>
  <c r="AP33" i="6"/>
  <c r="AQ33" i="6"/>
  <c r="AR33" i="6"/>
  <c r="AS33" i="6"/>
  <c r="I10" i="7"/>
  <c r="K13" i="7"/>
  <c r="L13" i="7" s="1"/>
  <c r="J10" i="7"/>
  <c r="X25" i="5" l="1" a="1"/>
  <c r="X24" i="5" a="1"/>
  <c r="X32" i="5" a="1"/>
  <c r="X31" i="5" a="1"/>
  <c r="X30" i="5" a="1"/>
  <c r="X29" i="5" a="1"/>
  <c r="X27" i="5" a="1"/>
  <c r="X22" i="5" a="1"/>
  <c r="X20" i="5" a="1"/>
  <c r="X23" i="5" a="1"/>
  <c r="X18" i="5" a="1"/>
  <c r="X28" i="5" a="1"/>
  <c r="G28" i="12" a="1"/>
  <c r="X34" i="5" a="1"/>
  <c r="G34" i="12" a="1"/>
  <c r="G33" i="12" a="1"/>
  <c r="M13" i="7"/>
  <c r="L10" i="7"/>
  <c r="L25" i="5" l="1"/>
  <c r="I25" i="12"/>
  <c r="AM25" i="5"/>
  <c r="Z25" i="5"/>
  <c r="L24" i="5"/>
  <c r="AM24" i="5"/>
  <c r="I24" i="12"/>
  <c r="Z24" i="5"/>
  <c r="L32" i="5"/>
  <c r="I32" i="12"/>
  <c r="AM32" i="5"/>
  <c r="Z32" i="5"/>
  <c r="L31" i="5"/>
  <c r="I31" i="12"/>
  <c r="AM31" i="5"/>
  <c r="Z31" i="5"/>
  <c r="I30" i="12"/>
  <c r="L30" i="5"/>
  <c r="AM30" i="5"/>
  <c r="Z30" i="5"/>
  <c r="L29" i="5"/>
  <c r="I29" i="12"/>
  <c r="AM29" i="5"/>
  <c r="Z29" i="5"/>
  <c r="AM27" i="5"/>
  <c r="L27" i="5"/>
  <c r="I27" i="12"/>
  <c r="Z27" i="5"/>
  <c r="AM23" i="5"/>
  <c r="L23" i="5"/>
  <c r="I23" i="12"/>
  <c r="Z23" i="5"/>
  <c r="I20" i="12"/>
  <c r="AM20" i="5"/>
  <c r="L20" i="5"/>
  <c r="Z20" i="5"/>
  <c r="I22" i="12"/>
  <c r="AM22" i="5"/>
  <c r="L22" i="5"/>
  <c r="Z22" i="5"/>
  <c r="AM18" i="5"/>
  <c r="I18" i="12"/>
  <c r="L18" i="5"/>
  <c r="Z18" i="5"/>
  <c r="I34" i="12"/>
  <c r="L34" i="5"/>
  <c r="AM34" i="5"/>
  <c r="Z34" i="5"/>
  <c r="I28" i="12"/>
  <c r="L28" i="5"/>
  <c r="AM28" i="5"/>
  <c r="Z28" i="5"/>
  <c r="I17" i="5"/>
  <c r="N13" i="7"/>
  <c r="M10" i="7"/>
  <c r="AB25" i="5" l="1" a="1"/>
  <c r="C25" i="12"/>
  <c r="AO25" i="12" a="1"/>
  <c r="O25" i="12" a="1"/>
  <c r="M25" i="12" a="1"/>
  <c r="C25" i="6"/>
  <c r="AB24" i="5" a="1"/>
  <c r="C24" i="12"/>
  <c r="O24" i="12" a="1"/>
  <c r="M24" i="12" a="1"/>
  <c r="AO24" i="12" a="1"/>
  <c r="C24" i="6"/>
  <c r="AB32" i="5" a="1"/>
  <c r="C32" i="12"/>
  <c r="AO32" i="12" a="1"/>
  <c r="O32" i="12" a="1"/>
  <c r="M32" i="12" a="1"/>
  <c r="C32" i="6"/>
  <c r="C31" i="12"/>
  <c r="AO31" i="12" a="1"/>
  <c r="O31" i="12" a="1"/>
  <c r="M31" i="12" a="1"/>
  <c r="AB31" i="5" a="1"/>
  <c r="C31" i="6"/>
  <c r="C30" i="12"/>
  <c r="AO30" i="12" a="1"/>
  <c r="O30" i="12" a="1"/>
  <c r="M30" i="12" a="1"/>
  <c r="AB30" i="5" a="1"/>
  <c r="C30" i="6"/>
  <c r="I18" i="5"/>
  <c r="AB29" i="5" a="1"/>
  <c r="C29" i="12"/>
  <c r="M29" i="12" a="1"/>
  <c r="AO29" i="12" a="1"/>
  <c r="O29" i="12" a="1"/>
  <c r="C29" i="6"/>
  <c r="C27" i="12"/>
  <c r="AO27" i="12" a="1"/>
  <c r="M27" i="12" a="1"/>
  <c r="O27" i="12" a="1"/>
  <c r="C27" i="6"/>
  <c r="AB27" i="5" a="1"/>
  <c r="C20" i="6"/>
  <c r="AB22" i="5" a="1"/>
  <c r="C20" i="12"/>
  <c r="O20" i="12" a="1"/>
  <c r="M20" i="12" a="1"/>
  <c r="AO20" i="12" a="1"/>
  <c r="AB23" i="5" a="1"/>
  <c r="C22" i="6"/>
  <c r="C23" i="12"/>
  <c r="M23" i="12" a="1"/>
  <c r="AO23" i="12" a="1"/>
  <c r="O23" i="12" a="1"/>
  <c r="C22" i="12"/>
  <c r="O22" i="12" a="1"/>
  <c r="M22" i="12" a="1"/>
  <c r="AO22" i="12" a="1"/>
  <c r="C23" i="6"/>
  <c r="AB20" i="5" a="1"/>
  <c r="AB18" i="5" a="1"/>
  <c r="C18" i="6"/>
  <c r="C18" i="12"/>
  <c r="O18" i="12" a="1"/>
  <c r="AO18" i="12" a="1"/>
  <c r="M18" i="12" a="1"/>
  <c r="I26" i="5"/>
  <c r="C34" i="6"/>
  <c r="C34" i="12"/>
  <c r="O34" i="12" a="1"/>
  <c r="M34" i="12" a="1"/>
  <c r="AO34" i="12" a="1"/>
  <c r="AB28" i="5" a="1"/>
  <c r="C28" i="6"/>
  <c r="C28" i="12"/>
  <c r="O28" i="12" a="1"/>
  <c r="AO28" i="12" a="1"/>
  <c r="M28" i="12" a="1"/>
  <c r="AB34" i="5" a="1"/>
  <c r="O13" i="7"/>
  <c r="N10" i="7"/>
  <c r="N25" i="12" l="1"/>
  <c r="Y25" i="12"/>
  <c r="Y24" i="12"/>
  <c r="W24" i="12" s="1" a="1"/>
  <c r="N24" i="12"/>
  <c r="Y32" i="12"/>
  <c r="X32" i="12" s="1" a="1"/>
  <c r="N32" i="12"/>
  <c r="Y31" i="12"/>
  <c r="W31" i="12" s="1" a="1"/>
  <c r="N31" i="12"/>
  <c r="N30" i="12"/>
  <c r="Y30" i="12"/>
  <c r="N27" i="12"/>
  <c r="Y29" i="12"/>
  <c r="W29" i="12" s="1" a="1"/>
  <c r="N29" i="12"/>
  <c r="Y27" i="12"/>
  <c r="I27" i="5"/>
  <c r="I28" i="5" s="1"/>
  <c r="Y22" i="12"/>
  <c r="W22" i="12" s="1" a="1"/>
  <c r="N20" i="12"/>
  <c r="Y23" i="12"/>
  <c r="X23" i="12" s="1" a="1"/>
  <c r="N23" i="12"/>
  <c r="N18" i="12"/>
  <c r="N22" i="12"/>
  <c r="Y20" i="12"/>
  <c r="Y18" i="12"/>
  <c r="N34" i="12"/>
  <c r="Y28" i="12"/>
  <c r="X28" i="12" s="1" a="1"/>
  <c r="N28" i="12"/>
  <c r="Y34" i="12"/>
  <c r="P13" i="7"/>
  <c r="O10" i="7"/>
  <c r="X24" i="12" l="1" a="1"/>
  <c r="X25" i="12" a="1"/>
  <c r="W25" i="12" a="1"/>
  <c r="V24" i="12" a="1"/>
  <c r="T24" i="12"/>
  <c r="U24" i="12"/>
  <c r="W32" i="12" a="1"/>
  <c r="V32" i="12" s="1" a="1"/>
  <c r="X31" i="12" a="1"/>
  <c r="V31" i="12" a="1"/>
  <c r="U31" i="12"/>
  <c r="T31" i="12"/>
  <c r="X30" i="12" a="1"/>
  <c r="W30" i="12" a="1"/>
  <c r="X29" i="12" a="1"/>
  <c r="V29" i="12" a="1"/>
  <c r="U29" i="12"/>
  <c r="T29" i="12"/>
  <c r="W27" i="12" a="1"/>
  <c r="X27" i="12" a="1"/>
  <c r="X22" i="12" a="1"/>
  <c r="W23" i="12" a="1"/>
  <c r="T23" i="12" s="1"/>
  <c r="X20" i="12" a="1"/>
  <c r="W20" i="12" a="1"/>
  <c r="V22" i="12" a="1"/>
  <c r="U22" i="12"/>
  <c r="T22" i="12"/>
  <c r="X18" i="12" a="1"/>
  <c r="W18" i="12" a="1"/>
  <c r="W28" i="12" a="1"/>
  <c r="U28" i="12" s="1"/>
  <c r="X34" i="12" a="1"/>
  <c r="W34" i="12" a="1"/>
  <c r="Q13" i="7"/>
  <c r="P10" i="7"/>
  <c r="V25" i="12" l="1" a="1"/>
  <c r="U25" i="12"/>
  <c r="T25" i="12"/>
  <c r="T32" i="12"/>
  <c r="U32" i="12"/>
  <c r="V30" i="12" a="1"/>
  <c r="U30" i="12"/>
  <c r="T30" i="12"/>
  <c r="V27" i="12" a="1"/>
  <c r="U27" i="12"/>
  <c r="T27" i="12"/>
  <c r="U23" i="12"/>
  <c r="V23" i="12" a="1"/>
  <c r="V20" i="12" a="1"/>
  <c r="U20" i="12"/>
  <c r="T20" i="12"/>
  <c r="V18" i="12" a="1"/>
  <c r="U18" i="12"/>
  <c r="T18" i="12"/>
  <c r="T28" i="12"/>
  <c r="V28" i="12" a="1"/>
  <c r="V34" i="12" a="1"/>
  <c r="U34" i="12"/>
  <c r="T34" i="12"/>
  <c r="R13" i="7"/>
  <c r="Q10" i="7"/>
  <c r="S13" i="7" l="1"/>
  <c r="R10" i="7"/>
  <c r="T13" i="7" l="1"/>
  <c r="S10" i="7"/>
  <c r="U13" i="7" l="1"/>
  <c r="T10" i="7"/>
  <c r="V13" i="7" l="1"/>
  <c r="U10" i="7"/>
  <c r="K10" i="7"/>
  <c r="W13" i="7" l="1"/>
  <c r="V10" i="7"/>
  <c r="T14" i="5"/>
  <c r="G14" i="12" s="1" a="1"/>
  <c r="X13" i="7" l="1"/>
  <c r="W10" i="7"/>
  <c r="Y13" i="7" l="1"/>
  <c r="X10" i="7"/>
  <c r="A8" i="9"/>
  <c r="B7" i="9" a="1"/>
  <c r="Y10" i="7" l="1"/>
  <c r="D15" i="7"/>
  <c r="C16" i="7" s="1" a="1"/>
  <c r="B15" i="10"/>
  <c r="B16" i="10" s="1"/>
  <c r="B17" i="10" l="1"/>
  <c r="B16" i="7"/>
  <c r="C17" i="7" a="1"/>
  <c r="A15" i="10"/>
  <c r="B15" i="7"/>
  <c r="C15" i="9"/>
  <c r="F15" i="9" s="1"/>
  <c r="C15" i="10"/>
  <c r="A15" i="7"/>
  <c r="B17" i="7" l="1"/>
  <c r="C18" i="7" a="1"/>
  <c r="B18" i="10"/>
  <c r="D21" i="2"/>
  <c r="C19" i="7" l="1" a="1"/>
  <c r="B18" i="7"/>
  <c r="B19" i="10"/>
  <c r="N14" i="6"/>
  <c r="B19" i="7" l="1"/>
  <c r="U1" i="7" a="1"/>
  <c r="W1" i="7" a="1"/>
  <c r="Y1" i="7" a="1"/>
  <c r="S1" i="7" a="1"/>
  <c r="T1" i="7" a="1"/>
  <c r="V1" i="7" a="1"/>
  <c r="X1" i="7" a="1"/>
  <c r="R1" i="7" l="1" a="1"/>
  <c r="M1" i="7" a="1"/>
  <c r="P1" i="7" a="1"/>
  <c r="Q1" i="7" a="1"/>
  <c r="O1" i="7" a="1"/>
  <c r="N1" i="7" a="1"/>
  <c r="A10" i="9" l="1"/>
  <c r="F15" i="7" a="1"/>
  <c r="I15" i="7" l="1"/>
  <c r="J15" i="7"/>
  <c r="J1" i="7" a="1"/>
  <c r="Q15" i="7"/>
  <c r="Q14" i="7" s="1"/>
  <c r="L1" i="7" a="1"/>
  <c r="L15" i="7"/>
  <c r="K15" i="7"/>
  <c r="K1" i="7" a="1"/>
  <c r="L14" i="7" l="1"/>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H15" i="7" l="1"/>
  <c r="E15" i="7"/>
  <c r="AO12" i="13" l="1"/>
  <c r="AL12" i="13"/>
  <c r="AN12" i="13" l="1" a="1"/>
  <c r="AK12" i="13" a="1"/>
  <c r="AJ12" i="13" a="1"/>
  <c r="O15" i="12" l="1" a="1"/>
  <c r="M15" i="12" a="1"/>
  <c r="J14" i="6" a="1"/>
  <c r="I15" i="12" l="1" a="1"/>
  <c r="J15" i="12" a="1"/>
  <c r="L15" i="12" a="1"/>
  <c r="K15" i="12" l="1"/>
  <c r="N15" i="12"/>
  <c r="P10" i="12"/>
  <c r="O10" i="12" s="1"/>
  <c r="M14" i="6" l="1"/>
  <c r="CM14" i="6" l="1" a="1"/>
  <c r="BS14" i="6"/>
  <c r="CL14" i="6" a="1"/>
  <c r="CI14" i="6" a="1"/>
  <c r="CH14" i="6" a="1"/>
  <c r="BP14" i="6"/>
  <c r="BN14" i="6"/>
  <c r="BM14" i="6"/>
  <c r="CF14" i="6" a="1"/>
  <c r="BO14" i="6"/>
  <c r="CK14" i="6" a="1"/>
  <c r="CJ14" i="6" a="1"/>
  <c r="CG14" i="6" a="1"/>
  <c r="BR14" i="6"/>
  <c r="BT14" i="6"/>
  <c r="BQ14" i="6"/>
  <c r="AT14" i="6"/>
  <c r="AU14" i="6"/>
  <c r="AV14" i="6"/>
  <c r="AW14" i="6"/>
  <c r="AX14" i="6"/>
  <c r="AY14" i="6"/>
  <c r="BA14" i="6"/>
  <c r="AZ14" i="6"/>
  <c r="BV14" i="6" a="1"/>
  <c r="BJ14" i="6"/>
  <c r="CA14" i="6" a="1"/>
  <c r="AJ14" i="6"/>
  <c r="BC14" i="6"/>
  <c r="BD14" i="6"/>
  <c r="AL14" i="6"/>
  <c r="CD14" i="6" a="1"/>
  <c r="CE14" i="6" a="1"/>
  <c r="BE14" i="6"/>
  <c r="CC14" i="6" a="1"/>
  <c r="AM14" i="6"/>
  <c r="BY14" i="6" a="1"/>
  <c r="BZ14" i="6" a="1"/>
  <c r="BF14" i="6"/>
  <c r="BG14" i="6"/>
  <c r="AP14" i="6"/>
  <c r="BW14" i="6" a="1"/>
  <c r="BH14" i="6"/>
  <c r="BK14" i="6"/>
  <c r="AS14" i="6"/>
  <c r="CB14" i="6" a="1"/>
  <c r="AQ14" i="6"/>
  <c r="AO14" i="6"/>
  <c r="BI14" i="6"/>
  <c r="AR14" i="6"/>
  <c r="BL14" i="6"/>
  <c r="AK14" i="6"/>
  <c r="BX14" i="6" a="1"/>
  <c r="AN14" i="6"/>
  <c r="X14" i="5" l="1" a="1"/>
  <c r="I14" i="5" l="1"/>
  <c r="I14" i="12"/>
  <c r="L14" i="5"/>
  <c r="AM14" i="5"/>
  <c r="Z14" i="5"/>
  <c r="O14" i="5" l="1"/>
  <c r="AA14" i="5" a="1"/>
  <c r="AB14" i="5" a="1"/>
  <c r="AO14" i="12" a="1"/>
  <c r="C14" i="12"/>
  <c r="M14" i="12" a="1"/>
  <c r="O14" i="12" a="1"/>
  <c r="N14" i="12" l="1"/>
  <c r="Y14" i="12"/>
  <c r="D14" i="12"/>
  <c r="W14" i="12" l="1" a="1"/>
  <c r="X14" i="12" a="1"/>
  <c r="U14" i="12" l="1"/>
  <c r="V14" i="12" a="1"/>
  <c r="T14" i="12"/>
  <c r="AG14" i="5" l="1" a="1"/>
  <c r="S14" i="5" a="1"/>
  <c r="F14" i="12" s="1" a="1"/>
  <c r="E14" i="12" l="1"/>
  <c r="AC14" i="5" a="1"/>
  <c r="I1" i="7" l="1" a="1"/>
  <c r="F1" i="7" l="1"/>
  <c r="E1" i="7" a="1"/>
  <c r="H1" i="7" a="1"/>
  <c r="I14" i="7"/>
  <c r="F14" i="7" l="1"/>
  <c r="H14" i="7"/>
  <c r="E14" i="7"/>
  <c r="G17" i="7" l="1"/>
  <c r="G19" i="7"/>
  <c r="G16" i="7"/>
  <c r="G18" i="7"/>
  <c r="G1" i="7"/>
  <c r="F6" i="7" l="1"/>
  <c r="J10" i="13" l="1"/>
  <c r="C10" i="7" l="1"/>
  <c r="L35" i="6" l="1"/>
  <c r="K33" i="5" l="1"/>
  <c r="A5" i="5" l="1"/>
  <c r="J17" i="5"/>
  <c r="D17" i="5" s="1"/>
  <c r="O27" i="5" l="1"/>
  <c r="E27" i="6" s="1"/>
  <c r="O18" i="5"/>
  <c r="D18" i="12" s="1"/>
  <c r="B17" i="12"/>
  <c r="K19" i="5"/>
  <c r="J19" i="5"/>
  <c r="K26" i="5"/>
  <c r="K21" i="5"/>
  <c r="J21" i="5"/>
  <c r="O28" i="5"/>
  <c r="D28" i="12" s="1"/>
  <c r="J33" i="5"/>
  <c r="D33" i="5" s="1"/>
  <c r="B33" i="12" s="1"/>
  <c r="J26" i="5"/>
  <c r="B22" i="11"/>
  <c r="A20" i="13"/>
  <c r="K16" i="5"/>
  <c r="B21" i="11"/>
  <c r="A17" i="13"/>
  <c r="A18" i="13"/>
  <c r="B23" i="11"/>
  <c r="A22" i="13"/>
  <c r="B17" i="11"/>
  <c r="B16" i="11"/>
  <c r="A16" i="13"/>
  <c r="A15" i="13"/>
  <c r="A19" i="13"/>
  <c r="A23" i="13"/>
  <c r="B20" i="11"/>
  <c r="J16" i="5"/>
  <c r="B19" i="11"/>
  <c r="B18" i="11"/>
  <c r="A21" i="13"/>
  <c r="B12" i="11"/>
  <c r="B15" i="11"/>
  <c r="F17" i="8" a="1"/>
  <c r="F18" i="8" s="1"/>
  <c r="F23" i="8" a="1"/>
  <c r="F24" i="8" s="1"/>
  <c r="F14" i="8" a="1"/>
  <c r="F15" i="8" s="1"/>
  <c r="F1" i="8" a="1"/>
  <c r="F2" i="8" s="1"/>
  <c r="F26" i="8" a="1"/>
  <c r="F20" i="8" a="1"/>
  <c r="F21" i="8" s="1"/>
  <c r="A12" i="13"/>
  <c r="D27" i="12" l="1"/>
  <c r="E18" i="6"/>
  <c r="D19" i="5"/>
  <c r="B19" i="12" s="1"/>
  <c r="D26" i="5"/>
  <c r="B26" i="12" s="1"/>
  <c r="X19" i="5" a="1"/>
  <c r="X17" i="5" s="1" a="1"/>
  <c r="D21" i="5"/>
  <c r="E28" i="6"/>
  <c r="D16" i="5"/>
  <c r="B16" i="12" s="1"/>
  <c r="M20" i="8"/>
  <c r="J20" i="8"/>
  <c r="G15" i="11"/>
  <c r="F15" i="13" s="1"/>
  <c r="C15" i="13"/>
  <c r="K15" i="11" a="1"/>
  <c r="J15" i="13" s="1"/>
  <c r="F10" i="8" a="1"/>
  <c r="B19" i="13"/>
  <c r="AG19" i="13" s="1" a="1"/>
  <c r="B17" i="13"/>
  <c r="AF17" i="13" s="1" a="1"/>
  <c r="B12" i="13"/>
  <c r="AM12" i="13" s="1" a="1"/>
  <c r="K12" i="11" a="1"/>
  <c r="J12" i="13" s="1"/>
  <c r="AB12" i="11" a="1"/>
  <c r="N12" i="11" s="1"/>
  <c r="G12" i="11"/>
  <c r="F12" i="13" s="1"/>
  <c r="C12" i="13"/>
  <c r="O12" i="11" a="1"/>
  <c r="AA12" i="11" a="1"/>
  <c r="B15" i="13"/>
  <c r="C21" i="13"/>
  <c r="AB21" i="11" a="1"/>
  <c r="N21" i="11" s="1"/>
  <c r="O21" i="11" a="1"/>
  <c r="AA21" i="11" a="1"/>
  <c r="G21" i="11"/>
  <c r="F21" i="13" s="1"/>
  <c r="K21" i="11" a="1"/>
  <c r="J21" i="13" s="1"/>
  <c r="B21" i="13"/>
  <c r="AC21" i="13" s="1" a="1"/>
  <c r="B16" i="13"/>
  <c r="AB18" i="11" a="1"/>
  <c r="N18" i="11" s="1"/>
  <c r="AA18" i="11" a="1"/>
  <c r="C18" i="13"/>
  <c r="G18" i="11"/>
  <c r="F18" i="13" s="1"/>
  <c r="K18" i="11" a="1"/>
  <c r="J18" i="13" s="1"/>
  <c r="O18" i="11" a="1"/>
  <c r="K16" i="11" a="1"/>
  <c r="J16" i="13" s="1"/>
  <c r="G16" i="11"/>
  <c r="F16" i="13" s="1"/>
  <c r="C16" i="13"/>
  <c r="B20" i="13"/>
  <c r="AG20" i="13" s="1" a="1"/>
  <c r="C19" i="13"/>
  <c r="AB19" i="11" a="1"/>
  <c r="N19" i="11" s="1"/>
  <c r="G19" i="11"/>
  <c r="F19" i="13" s="1"/>
  <c r="K19" i="11" a="1"/>
  <c r="J19" i="13" s="1"/>
  <c r="AA19" i="11" a="1"/>
  <c r="O19" i="11" a="1"/>
  <c r="G17" i="11"/>
  <c r="F17" i="13" s="1"/>
  <c r="AA17" i="11" a="1"/>
  <c r="O17" i="11" a="1"/>
  <c r="C17" i="13"/>
  <c r="AB17" i="11" a="1"/>
  <c r="N17" i="11" s="1"/>
  <c r="K17" i="11" a="1"/>
  <c r="J17" i="13" s="1"/>
  <c r="AA22" i="11" a="1"/>
  <c r="G22" i="11"/>
  <c r="F22" i="13" s="1"/>
  <c r="O22" i="11" a="1"/>
  <c r="AB22" i="11" a="1"/>
  <c r="N22" i="11" s="1"/>
  <c r="C22" i="13"/>
  <c r="K22" i="11" a="1"/>
  <c r="J22" i="13" s="1"/>
  <c r="P1" i="8"/>
  <c r="I1" i="8"/>
  <c r="S1" i="8"/>
  <c r="N1" i="8"/>
  <c r="M1" i="8"/>
  <c r="Q1" i="8"/>
  <c r="O1" i="8"/>
  <c r="J1" i="8"/>
  <c r="M17" i="8"/>
  <c r="B22" i="13"/>
  <c r="AD22" i="13" s="1" a="1"/>
  <c r="J14" i="8"/>
  <c r="M14" i="8"/>
  <c r="O20" i="11" a="1"/>
  <c r="AB20" i="11" a="1"/>
  <c r="N20" i="11" s="1"/>
  <c r="AA20" i="11" a="1"/>
  <c r="G20" i="11"/>
  <c r="F20" i="13" s="1"/>
  <c r="C20" i="13"/>
  <c r="K20" i="11" a="1"/>
  <c r="J20" i="13" s="1"/>
  <c r="K23" i="11" a="1"/>
  <c r="J23" i="13" s="1"/>
  <c r="G23" i="11"/>
  <c r="F23" i="13" s="1"/>
  <c r="O23" i="11" a="1"/>
  <c r="AA23" i="11" a="1"/>
  <c r="C23" i="13"/>
  <c r="AB23" i="11" a="1"/>
  <c r="N23" i="11" s="1"/>
  <c r="B23" i="13"/>
  <c r="AE23" i="13" s="1"/>
  <c r="B18" i="13"/>
  <c r="AG18" i="13" s="1" a="1"/>
  <c r="M23" i="8"/>
  <c r="J23" i="8"/>
  <c r="AM17" i="5" l="1"/>
  <c r="L17" i="5"/>
  <c r="AC17" i="5" s="1" a="1"/>
  <c r="I17" i="12"/>
  <c r="Z17" i="5"/>
  <c r="I19" i="5"/>
  <c r="I20" i="5" s="1"/>
  <c r="AM19" i="5"/>
  <c r="L19" i="5"/>
  <c r="I19" i="12"/>
  <c r="Z19" i="5"/>
  <c r="AB19" i="5" s="1" a="1"/>
  <c r="AB17" i="5" s="1" a="1"/>
  <c r="B21" i="12"/>
  <c r="X21" i="5" a="1"/>
  <c r="AB21" i="5" a="1"/>
  <c r="D15" i="5"/>
  <c r="B14" i="13"/>
  <c r="AC19" i="13" a="1"/>
  <c r="AH19" i="13"/>
  <c r="AG23" i="13" a="1"/>
  <c r="AF19" i="13" a="1"/>
  <c r="AD12" i="13" a="1"/>
  <c r="AC23" i="13" a="1"/>
  <c r="AC22" i="13" a="1"/>
  <c r="AF12" i="13" a="1"/>
  <c r="AD19" i="13" a="1"/>
  <c r="AE19" i="13"/>
  <c r="AF22" i="13" a="1"/>
  <c r="AH18" i="13"/>
  <c r="AE22" i="13"/>
  <c r="AF18" i="13" a="1"/>
  <c r="AC18" i="13" a="1"/>
  <c r="AE18" i="13"/>
  <c r="AH21" i="13"/>
  <c r="AG22" i="13" a="1"/>
  <c r="AH22" i="13"/>
  <c r="O12" i="13"/>
  <c r="K12" i="13" a="1"/>
  <c r="R12" i="13"/>
  <c r="S12" i="13"/>
  <c r="M12" i="13"/>
  <c r="U12" i="13"/>
  <c r="T12" i="13"/>
  <c r="T17" i="13"/>
  <c r="S17" i="13"/>
  <c r="M17" i="13"/>
  <c r="K17" i="13" a="1"/>
  <c r="R17" i="13"/>
  <c r="O17" i="13"/>
  <c r="U17" i="13"/>
  <c r="U20" i="13"/>
  <c r="T20" i="13"/>
  <c r="S20" i="13"/>
  <c r="R20" i="13"/>
  <c r="O20" i="13"/>
  <c r="M20" i="13"/>
  <c r="K20" i="13" a="1"/>
  <c r="M22" i="13"/>
  <c r="S22" i="13"/>
  <c r="O22" i="13"/>
  <c r="R22" i="13"/>
  <c r="T22" i="13"/>
  <c r="K22" i="13" a="1"/>
  <c r="U22" i="13"/>
  <c r="C17" i="11"/>
  <c r="P17" i="11"/>
  <c r="L17" i="13"/>
  <c r="D17" i="13" s="1"/>
  <c r="Z17" i="11"/>
  <c r="M19" i="13"/>
  <c r="U19" i="13"/>
  <c r="R19" i="13"/>
  <c r="O19" i="13"/>
  <c r="K19" i="13" a="1"/>
  <c r="T19" i="13"/>
  <c r="S19" i="13"/>
  <c r="K16" i="13" a="1"/>
  <c r="S18" i="13"/>
  <c r="R18" i="13"/>
  <c r="T18" i="13"/>
  <c r="K18" i="13" a="1"/>
  <c r="U18" i="13"/>
  <c r="O18" i="13"/>
  <c r="M18" i="13"/>
  <c r="AC20" i="13" a="1"/>
  <c r="AH17" i="13"/>
  <c r="K15" i="13" a="1"/>
  <c r="M23" i="13"/>
  <c r="K23" i="13" a="1"/>
  <c r="R23" i="13"/>
  <c r="O23" i="13"/>
  <c r="T23" i="13"/>
  <c r="U23" i="13"/>
  <c r="S23" i="13"/>
  <c r="A1" i="8"/>
  <c r="R1" i="8"/>
  <c r="S3" i="8"/>
  <c r="P22" i="11"/>
  <c r="L22" i="13"/>
  <c r="D22" i="13" s="1"/>
  <c r="C22" i="11"/>
  <c r="Z22" i="11"/>
  <c r="AE20" i="13"/>
  <c r="AD21" i="13" a="1"/>
  <c r="AH12" i="13"/>
  <c r="AD17" i="13" a="1"/>
  <c r="AD23" i="13" a="1"/>
  <c r="C19" i="11"/>
  <c r="P19" i="11"/>
  <c r="Z19" i="11"/>
  <c r="L19" i="13"/>
  <c r="D19" i="13" s="1"/>
  <c r="AD20" i="13" a="1"/>
  <c r="AF21" i="13" a="1"/>
  <c r="Z21" i="11"/>
  <c r="C21" i="11"/>
  <c r="L21" i="13"/>
  <c r="D21" i="13" s="1"/>
  <c r="P21" i="11"/>
  <c r="AE12" i="13"/>
  <c r="AG17" i="13" a="1"/>
  <c r="AH23" i="13"/>
  <c r="Z23" i="11"/>
  <c r="P23" i="11"/>
  <c r="L23" i="13"/>
  <c r="D23" i="13" s="1"/>
  <c r="C23" i="11"/>
  <c r="Z20" i="11"/>
  <c r="C20" i="11"/>
  <c r="P20" i="11"/>
  <c r="L20" i="13"/>
  <c r="D20" i="13" s="1"/>
  <c r="H1" i="8" a="1"/>
  <c r="J2" i="8" s="1"/>
  <c r="H2" i="8" a="1"/>
  <c r="G1" i="8"/>
  <c r="G2" i="8" s="1" a="1"/>
  <c r="AF20" i="13" a="1"/>
  <c r="AE21" i="13"/>
  <c r="AG12" i="13" a="1"/>
  <c r="AC17" i="13" a="1"/>
  <c r="AD18" i="13" a="1"/>
  <c r="AF23" i="13" a="1"/>
  <c r="Q14" i="8"/>
  <c r="O14" i="8"/>
  <c r="S16" i="8"/>
  <c r="P14" i="8"/>
  <c r="A14" i="8"/>
  <c r="Q17" i="8"/>
  <c r="S19" i="8"/>
  <c r="P17" i="8"/>
  <c r="AH20" i="13"/>
  <c r="P18" i="11"/>
  <c r="C18" i="11"/>
  <c r="L18" i="13"/>
  <c r="D18" i="13" s="1"/>
  <c r="Z18" i="11"/>
  <c r="AG21" i="13" a="1"/>
  <c r="U21" i="13"/>
  <c r="T21" i="13"/>
  <c r="S21" i="13"/>
  <c r="R21" i="13"/>
  <c r="O21" i="13"/>
  <c r="M21" i="13"/>
  <c r="K21" i="13" a="1"/>
  <c r="C12" i="11"/>
  <c r="P12" i="11"/>
  <c r="Z12" i="11"/>
  <c r="L12" i="13"/>
  <c r="AC12" i="13" a="1"/>
  <c r="AE17" i="13"/>
  <c r="S22" i="8"/>
  <c r="Q20" i="8"/>
  <c r="P20" i="8"/>
  <c r="Q23" i="8"/>
  <c r="P23" i="8"/>
  <c r="S25" i="8"/>
  <c r="F27" i="8"/>
  <c r="I21" i="5" l="1"/>
  <c r="I22" i="5" s="1"/>
  <c r="O20" i="5"/>
  <c r="AO19" i="12" a="1"/>
  <c r="AO17" i="12" s="1" a="1"/>
  <c r="J17" i="12" a="1"/>
  <c r="C17" i="12"/>
  <c r="O17" i="5"/>
  <c r="C17" i="6"/>
  <c r="J19" i="12" a="1"/>
  <c r="M19" i="12" s="1" a="1"/>
  <c r="M17" i="12" s="1" a="1"/>
  <c r="L19" i="12" a="1"/>
  <c r="O19" i="12" s="1" a="1"/>
  <c r="C19" i="12"/>
  <c r="C19" i="6"/>
  <c r="O19" i="5"/>
  <c r="AM21" i="5"/>
  <c r="L21" i="5"/>
  <c r="AC21" i="5" s="1" a="1"/>
  <c r="I21" i="12"/>
  <c r="Z21" i="5"/>
  <c r="O21" i="12" a="1"/>
  <c r="M21" i="12" a="1"/>
  <c r="AO21" i="12" a="1"/>
  <c r="N18" i="13"/>
  <c r="P18" i="13"/>
  <c r="N19" i="13"/>
  <c r="P19" i="13"/>
  <c r="P23" i="13"/>
  <c r="N23" i="13"/>
  <c r="P20" i="13"/>
  <c r="N20" i="13"/>
  <c r="P21" i="13"/>
  <c r="N21" i="13"/>
  <c r="P17" i="13"/>
  <c r="N17" i="13"/>
  <c r="U1" i="8" a="1"/>
  <c r="AB3" i="8" a="1"/>
  <c r="W1" i="8" a="1"/>
  <c r="AC1" i="8" a="1"/>
  <c r="AF3" i="8" a="1"/>
  <c r="F3" i="8"/>
  <c r="AF1" i="8" a="1"/>
  <c r="D1" i="8"/>
  <c r="Z1" i="8" a="1"/>
  <c r="AA1" i="8" a="1"/>
  <c r="X3" i="8" a="1"/>
  <c r="AD3" i="8" a="1"/>
  <c r="Y1" i="8" a="1"/>
  <c r="AD1" i="8" a="1"/>
  <c r="AE1" i="8" a="1"/>
  <c r="Y3" i="8" a="1"/>
  <c r="AE3" i="8" a="1"/>
  <c r="AB1" i="8" a="1"/>
  <c r="C1" i="8"/>
  <c r="W3" i="8" a="1"/>
  <c r="X1" i="8" a="1"/>
  <c r="U3" i="8" a="1"/>
  <c r="AA3" i="8" a="1"/>
  <c r="Z3" i="8" a="1"/>
  <c r="V3" i="8" a="1"/>
  <c r="E1" i="8" a="1"/>
  <c r="AC3" i="8" a="1"/>
  <c r="E3" i="8" a="1"/>
  <c r="V1" i="8" a="1"/>
  <c r="N22" i="13"/>
  <c r="P22" i="13"/>
  <c r="D12" i="13"/>
  <c r="V12" i="13"/>
  <c r="N12" i="13"/>
  <c r="P12" i="13"/>
  <c r="M26" i="8"/>
  <c r="J26" i="8"/>
  <c r="E20" i="6" l="1"/>
  <c r="D20" i="12"/>
  <c r="I23" i="5"/>
  <c r="O22" i="5"/>
  <c r="O17" i="12" a="1"/>
  <c r="L17" i="12" s="1" a="1"/>
  <c r="K17" i="12" s="1"/>
  <c r="Y19" i="12"/>
  <c r="X19" i="12" s="1" a="1"/>
  <c r="N19" i="12"/>
  <c r="D17" i="12"/>
  <c r="E17" i="6"/>
  <c r="K19" i="12"/>
  <c r="D19" i="12"/>
  <c r="E19" i="6"/>
  <c r="Y21" i="12"/>
  <c r="X21" i="12" s="1" a="1"/>
  <c r="N21" i="12"/>
  <c r="L21" i="12" a="1"/>
  <c r="J21" i="12" a="1"/>
  <c r="C21" i="12"/>
  <c r="O21" i="5"/>
  <c r="C21" i="6"/>
  <c r="S28" i="8"/>
  <c r="Q26" i="8"/>
  <c r="P26" i="8"/>
  <c r="O23" i="5" l="1"/>
  <c r="E23" i="6" s="1"/>
  <c r="I24" i="5"/>
  <c r="D22" i="12"/>
  <c r="E22" i="6"/>
  <c r="W19" i="12" a="1"/>
  <c r="T19" i="12" s="1"/>
  <c r="Y17" i="12"/>
  <c r="N17" i="12"/>
  <c r="W21" i="12" a="1"/>
  <c r="V21" i="12" s="1" a="1"/>
  <c r="D21" i="12"/>
  <c r="E21" i="6"/>
  <c r="K21" i="12"/>
  <c r="AU15" i="6"/>
  <c r="AB15" i="6" s="1"/>
  <c r="AB11" i="6" s="1"/>
  <c r="AT15" i="6"/>
  <c r="AA15" i="6" s="1"/>
  <c r="AA11" i="6" s="1"/>
  <c r="AV15" i="6"/>
  <c r="AC15" i="6" s="1"/>
  <c r="AC11" i="6" s="1"/>
  <c r="BA15" i="6"/>
  <c r="AH15" i="6" s="1"/>
  <c r="AH11" i="6" s="1"/>
  <c r="AZ15" i="6"/>
  <c r="AG15" i="6" s="1"/>
  <c r="AG11" i="6" s="1"/>
  <c r="AY15" i="6"/>
  <c r="AF15" i="6" s="1"/>
  <c r="AF11" i="6" s="1"/>
  <c r="AX15" i="6"/>
  <c r="AE15" i="6" s="1"/>
  <c r="AE11" i="6" s="1"/>
  <c r="AW15" i="6"/>
  <c r="AD15" i="6" s="1"/>
  <c r="AD11" i="6" s="1"/>
  <c r="C17" i="9"/>
  <c r="F17" i="9" s="1"/>
  <c r="A16" i="9"/>
  <c r="A17" i="9"/>
  <c r="A19" i="9"/>
  <c r="A18" i="9"/>
  <c r="C18" i="9"/>
  <c r="F18" i="9" s="1"/>
  <c r="C19" i="9"/>
  <c r="F19" i="9" s="1"/>
  <c r="C18" i="10"/>
  <c r="A18" i="10" s="1"/>
  <c r="C17" i="10"/>
  <c r="A17" i="10" s="1"/>
  <c r="C19" i="10"/>
  <c r="A19" i="10" s="1"/>
  <c r="A1" i="9"/>
  <c r="A15" i="9"/>
  <c r="M12" i="6" a="1"/>
  <c r="C1" i="9"/>
  <c r="F1" i="9" s="1"/>
  <c r="C1" i="10"/>
  <c r="A1" i="10" s="1"/>
  <c r="AH15" i="13"/>
  <c r="O15" i="13" s="1"/>
  <c r="AQ15" i="6"/>
  <c r="X15" i="6" s="1"/>
  <c r="X11" i="6" s="1"/>
  <c r="AS15" i="6"/>
  <c r="Z15" i="6" s="1"/>
  <c r="Z11" i="6" s="1"/>
  <c r="AN15" i="6"/>
  <c r="U15" i="6" s="1"/>
  <c r="U11" i="6" s="1"/>
  <c r="AL15" i="6"/>
  <c r="S15" i="6" s="1"/>
  <c r="S11" i="6" s="1"/>
  <c r="AP15" i="6"/>
  <c r="W15" i="6" s="1"/>
  <c r="W11" i="6" s="1"/>
  <c r="AO15" i="6"/>
  <c r="V15" i="6" s="1"/>
  <c r="V11" i="6" s="1"/>
  <c r="AR15" i="6"/>
  <c r="Y15" i="6" s="1"/>
  <c r="Y11" i="6" s="1"/>
  <c r="AM15" i="6"/>
  <c r="T15" i="6" s="1"/>
  <c r="T11" i="6" s="1"/>
  <c r="AK15" i="6"/>
  <c r="R15" i="6" s="1"/>
  <c r="R11" i="6" s="1"/>
  <c r="D23" i="12" l="1"/>
  <c r="I25" i="5"/>
  <c r="O25" i="5" s="1"/>
  <c r="O24" i="5"/>
  <c r="U19" i="12"/>
  <c r="V19" i="12" a="1"/>
  <c r="W17" i="12" a="1"/>
  <c r="X17" i="12" a="1"/>
  <c r="T21" i="12"/>
  <c r="U21" i="12"/>
  <c r="AE16" i="13"/>
  <c r="M16" i="13" s="1"/>
  <c r="AH16" i="13"/>
  <c r="O16" i="13" s="1"/>
  <c r="AE15" i="13"/>
  <c r="M15" i="13" s="1"/>
  <c r="N15" i="13" s="1"/>
  <c r="J21" i="6" a="1"/>
  <c r="AH14" i="13"/>
  <c r="O14" i="13" s="1"/>
  <c r="AE14" i="13"/>
  <c r="M14" i="13" s="1"/>
  <c r="AJ15" i="6"/>
  <c r="Q15" i="6" s="1"/>
  <c r="Q11" i="6" s="1"/>
  <c r="O16" i="11" a="1"/>
  <c r="I28" i="10" a="1"/>
  <c r="U28" i="10" a="1"/>
  <c r="M28" i="10" a="1"/>
  <c r="Y28" i="10" a="1"/>
  <c r="AC28" i="10" a="1"/>
  <c r="O28" i="10" a="1"/>
  <c r="S28" i="10" a="1"/>
  <c r="Q28" i="10" a="1"/>
  <c r="W28" i="10" a="1"/>
  <c r="AA28" i="10" a="1"/>
  <c r="AE28" i="10" a="1"/>
  <c r="K28" i="10" a="1"/>
  <c r="D25" i="12" l="1"/>
  <c r="E25" i="6"/>
  <c r="D24" i="12"/>
  <c r="E24" i="6"/>
  <c r="V17" i="12" a="1"/>
  <c r="U17" i="12"/>
  <c r="T17" i="12"/>
  <c r="P16" i="11"/>
  <c r="C16" i="11"/>
  <c r="L16" i="13"/>
  <c r="D16" i="13" s="1"/>
  <c r="N16" i="13"/>
  <c r="O15" i="11" a="1"/>
  <c r="M28" i="13"/>
  <c r="X33" i="5" a="1"/>
  <c r="X26" i="5" a="1"/>
  <c r="AM26" i="5" s="1"/>
  <c r="N14" i="13"/>
  <c r="AA26" i="10"/>
  <c r="O28" i="13"/>
  <c r="D53" i="2" s="1" a="1"/>
  <c r="AE26" i="10"/>
  <c r="K26" i="10"/>
  <c r="W26" i="10"/>
  <c r="Q26" i="10"/>
  <c r="S26" i="10"/>
  <c r="X15" i="5"/>
  <c r="K27" i="10" s="1"/>
  <c r="K30" i="10" s="1"/>
  <c r="X16" i="5" a="1"/>
  <c r="AC26" i="10"/>
  <c r="Y26" i="10"/>
  <c r="O26" i="10"/>
  <c r="M26" i="10"/>
  <c r="U26" i="10"/>
  <c r="I26" i="10" a="1"/>
  <c r="L33" i="5" l="1"/>
  <c r="AC33" i="5" s="1" a="1"/>
  <c r="I29" i="10"/>
  <c r="I29" i="5"/>
  <c r="P16" i="13"/>
  <c r="L15" i="13"/>
  <c r="P15" i="11"/>
  <c r="C15" i="11"/>
  <c r="S26" i="8"/>
  <c r="G26" i="8" s="1"/>
  <c r="I33" i="12"/>
  <c r="C33" i="12" s="1"/>
  <c r="Z33" i="5"/>
  <c r="AM33" i="5"/>
  <c r="S20" i="8"/>
  <c r="Z26" i="5"/>
  <c r="I26" i="12"/>
  <c r="J26" i="12" s="1" a="1"/>
  <c r="L26" i="5"/>
  <c r="AC26" i="5" s="1" a="1"/>
  <c r="S23" i="8"/>
  <c r="N28" i="13"/>
  <c r="E33" i="14" s="1"/>
  <c r="D51" i="2" a="1"/>
  <c r="D54" i="2" a="1"/>
  <c r="D52" i="2" a="1"/>
  <c r="D47" i="2" a="1"/>
  <c r="F33" i="14"/>
  <c r="D48" i="2" a="1"/>
  <c r="AD6" i="13"/>
  <c r="AE6" i="13" s="1"/>
  <c r="Y27" i="10"/>
  <c r="Y30" i="10" s="1"/>
  <c r="AC25" i="10"/>
  <c r="S25" i="10"/>
  <c r="Y25" i="10"/>
  <c r="Q27" i="10"/>
  <c r="Q30" i="10" s="1"/>
  <c r="Q25" i="10"/>
  <c r="S17" i="8"/>
  <c r="W27" i="10"/>
  <c r="W30" i="10" s="1"/>
  <c r="I16" i="12"/>
  <c r="AM16" i="5"/>
  <c r="L16" i="5"/>
  <c r="AC16" i="5" s="1" a="1"/>
  <c r="Z16" i="5"/>
  <c r="O14" i="11" a="1"/>
  <c r="S14" i="8" s="1"/>
  <c r="W25" i="10"/>
  <c r="K25" i="10"/>
  <c r="AA27" i="10"/>
  <c r="AA30" i="10" s="1"/>
  <c r="AM15" i="5"/>
  <c r="Z15" i="5"/>
  <c r="O25" i="10"/>
  <c r="AA25" i="10"/>
  <c r="O27" i="10"/>
  <c r="O30" i="10" s="1"/>
  <c r="I27" i="10"/>
  <c r="AE27" i="10"/>
  <c r="AE30" i="10" s="1"/>
  <c r="I25" i="10"/>
  <c r="Y9" i="10" s="1"/>
  <c r="C11" i="10" s="1" a="1"/>
  <c r="U27" i="10"/>
  <c r="U30" i="10" s="1"/>
  <c r="M27" i="10"/>
  <c r="M30" i="10" s="1"/>
  <c r="U25" i="10"/>
  <c r="M25" i="10"/>
  <c r="AC27" i="10"/>
  <c r="AC30" i="10" s="1"/>
  <c r="S27" i="10"/>
  <c r="S30" i="10" s="1"/>
  <c r="AE25" i="10"/>
  <c r="O33" i="5" l="1"/>
  <c r="E33" i="6" s="1"/>
  <c r="C33" i="6"/>
  <c r="AE9" i="10"/>
  <c r="I30" i="10"/>
  <c r="H30" i="10" s="1"/>
  <c r="O29" i="5"/>
  <c r="M26" i="12" a="1"/>
  <c r="AB16" i="11" a="1"/>
  <c r="N16" i="11" s="1"/>
  <c r="AG16" i="13" a="1"/>
  <c r="AD16" i="13" a="1"/>
  <c r="AG15" i="13" a="1"/>
  <c r="D15" i="13"/>
  <c r="P15" i="13"/>
  <c r="J33" i="12" a="1"/>
  <c r="G20" i="8"/>
  <c r="AO33" i="12" a="1"/>
  <c r="AB33" i="5" a="1"/>
  <c r="M33" i="12" a="1"/>
  <c r="O33" i="12" a="1"/>
  <c r="O26" i="5"/>
  <c r="D26" i="12" s="1"/>
  <c r="C26" i="6"/>
  <c r="C26" i="12"/>
  <c r="D50" i="2"/>
  <c r="S32" i="10" s="1"/>
  <c r="G23" i="8"/>
  <c r="AO26" i="12" a="1"/>
  <c r="AB26" i="5" a="1"/>
  <c r="AD15" i="13" s="1" a="1"/>
  <c r="D46" i="2"/>
  <c r="C14" i="11"/>
  <c r="P14" i="11"/>
  <c r="G11" i="11" s="1"/>
  <c r="L14" i="13"/>
  <c r="O24" i="11"/>
  <c r="O16" i="5"/>
  <c r="C16" i="6"/>
  <c r="C14" i="6"/>
  <c r="AO16" i="12" a="1"/>
  <c r="C16" i="12"/>
  <c r="J16" i="12" a="1"/>
  <c r="AB15" i="5"/>
  <c r="AB16" i="5" a="1"/>
  <c r="AB15" i="11" s="1" a="1"/>
  <c r="N15" i="11" s="1"/>
  <c r="G17" i="8"/>
  <c r="G14" i="8"/>
  <c r="D33" i="12" l="1"/>
  <c r="D1" i="2"/>
  <c r="S15" i="13"/>
  <c r="M16" i="12" a="1"/>
  <c r="S16" i="13"/>
  <c r="U16" i="13"/>
  <c r="I30" i="5"/>
  <c r="D29" i="12"/>
  <c r="E29" i="6"/>
  <c r="U15" i="13"/>
  <c r="I26" i="8"/>
  <c r="A26" i="8" s="1"/>
  <c r="N33" i="12"/>
  <c r="L33" i="12" a="1"/>
  <c r="K33" i="12" s="1"/>
  <c r="Y33" i="12"/>
  <c r="E26" i="6"/>
  <c r="I20" i="8"/>
  <c r="A20" i="8" s="1"/>
  <c r="J45" i="12"/>
  <c r="I23" i="8"/>
  <c r="A23" i="8" s="1"/>
  <c r="D16" i="12"/>
  <c r="E16" i="6"/>
  <c r="E14" i="6"/>
  <c r="I14" i="8"/>
  <c r="I17" i="8"/>
  <c r="AA7" i="11"/>
  <c r="O25" i="11"/>
  <c r="V14" i="13"/>
  <c r="V15" i="13" s="1"/>
  <c r="V16" i="13" s="1"/>
  <c r="V17" i="13" s="1"/>
  <c r="V18" i="13" s="1"/>
  <c r="V19" i="13" s="1"/>
  <c r="V20" i="13" s="1"/>
  <c r="V21" i="13" s="1"/>
  <c r="V22" i="13" s="1"/>
  <c r="V23" i="13" s="1"/>
  <c r="D14" i="13"/>
  <c r="L28" i="13"/>
  <c r="P14" i="13"/>
  <c r="AB14" i="11" a="1"/>
  <c r="AG14" i="13" a="1"/>
  <c r="U14" i="13" s="1"/>
  <c r="AD4" i="13" s="1"/>
  <c r="AD14" i="13" a="1"/>
  <c r="S14" i="13" s="1"/>
  <c r="M27" i="13" s="1"/>
  <c r="O30" i="5" l="1"/>
  <c r="O16" i="12" a="1"/>
  <c r="O26" i="12" a="1"/>
  <c r="I33" i="5"/>
  <c r="I34" i="5" s="1"/>
  <c r="X33" i="12" a="1"/>
  <c r="W33" i="12" a="1"/>
  <c r="AE4" i="13"/>
  <c r="N14" i="11"/>
  <c r="N24" i="11" s="1"/>
  <c r="AB24" i="11"/>
  <c r="AB7" i="11" s="1"/>
  <c r="Z3" i="11" s="1"/>
  <c r="AA3" i="11" s="1" a="1"/>
  <c r="L24" i="13"/>
  <c r="D33" i="14"/>
  <c r="M24" i="13"/>
  <c r="O29" i="13"/>
  <c r="P24" i="13"/>
  <c r="O24" i="13"/>
  <c r="E34" i="14"/>
  <c r="N24" i="13"/>
  <c r="AA24" i="5" l="1" a="1"/>
  <c r="AA25" i="5" a="1"/>
  <c r="AA31" i="5" a="1"/>
  <c r="AA32" i="5" a="1"/>
  <c r="I31" i="5"/>
  <c r="AA34" i="5" a="1"/>
  <c r="AA33" i="5" s="1" a="1"/>
  <c r="O34" i="5"/>
  <c r="AA30" i="5" a="1"/>
  <c r="D30" i="12"/>
  <c r="E30" i="6"/>
  <c r="AA29" i="5" a="1"/>
  <c r="L26" i="12" a="1"/>
  <c r="K26" i="12" s="1"/>
  <c r="Y26" i="12"/>
  <c r="N26" i="12"/>
  <c r="L16" i="12" a="1"/>
  <c r="K16" i="12" s="1"/>
  <c r="N16" i="12"/>
  <c r="Y16" i="12"/>
  <c r="AA27" i="5" a="1"/>
  <c r="AA22" i="5" a="1"/>
  <c r="AA23" i="5" a="1"/>
  <c r="AA18" i="5" a="1"/>
  <c r="AA20" i="5" a="1"/>
  <c r="AA28" i="5" a="1"/>
  <c r="V33" i="12" a="1"/>
  <c r="U33" i="12"/>
  <c r="T33" i="12"/>
  <c r="AD23" i="11"/>
  <c r="AD17" i="11"/>
  <c r="AD18" i="11"/>
  <c r="AD14" i="11"/>
  <c r="AD20" i="11"/>
  <c r="AD15" i="11"/>
  <c r="AD21" i="11"/>
  <c r="AD16" i="11"/>
  <c r="AD22" i="11"/>
  <c r="AD19" i="11"/>
  <c r="AD12" i="11"/>
  <c r="N25" i="11"/>
  <c r="L27" i="13"/>
  <c r="O27" i="13"/>
  <c r="F34" i="14"/>
  <c r="G10" i="13"/>
  <c r="O31" i="5" l="1"/>
  <c r="D31" i="12" s="1"/>
  <c r="I32" i="5"/>
  <c r="O32" i="5" s="1"/>
  <c r="E34" i="6"/>
  <c r="D34" i="12"/>
  <c r="X26" i="12" a="1"/>
  <c r="W26" i="12" a="1"/>
  <c r="X16" i="12" a="1"/>
  <c r="W16" i="12" a="1"/>
  <c r="AA21" i="5" a="1"/>
  <c r="AA19" i="5" a="1"/>
  <c r="AA17" i="5" s="1" a="1"/>
  <c r="AE21" i="11"/>
  <c r="M21" i="11" s="1"/>
  <c r="L21" i="11" s="1"/>
  <c r="AE18" i="11"/>
  <c r="M18" i="11" s="1"/>
  <c r="L18" i="11" s="1"/>
  <c r="AE20" i="11"/>
  <c r="M20" i="11" s="1"/>
  <c r="L20" i="11" s="1"/>
  <c r="AE19" i="11"/>
  <c r="M19" i="11" s="1"/>
  <c r="L19" i="11" s="1"/>
  <c r="AE12" i="11"/>
  <c r="M12" i="11" s="1"/>
  <c r="L12" i="11" s="1"/>
  <c r="AE17" i="11"/>
  <c r="M17" i="11" s="1"/>
  <c r="L17" i="11" s="1"/>
  <c r="AE16" i="11"/>
  <c r="F32" i="14"/>
  <c r="N27" i="13"/>
  <c r="D32" i="14"/>
  <c r="AD27" i="13"/>
  <c r="AC27" i="13"/>
  <c r="AE23" i="11"/>
  <c r="M23" i="11" s="1"/>
  <c r="L23" i="11" s="1"/>
  <c r="AE22" i="11"/>
  <c r="M22" i="11" s="1"/>
  <c r="L22" i="11" s="1"/>
  <c r="D32" i="12" l="1"/>
  <c r="E32" i="6"/>
  <c r="E31" i="6"/>
  <c r="AA26" i="5" a="1"/>
  <c r="V16" i="12" a="1"/>
  <c r="U16" i="12"/>
  <c r="T16" i="12"/>
  <c r="V26" i="12" a="1"/>
  <c r="T26" i="12"/>
  <c r="U26" i="12"/>
  <c r="AA16" i="11" a="1"/>
  <c r="Z16" i="11" s="1"/>
  <c r="AC16" i="13" a="1"/>
  <c r="AF16" i="13" a="1"/>
  <c r="AA15" i="5"/>
  <c r="AC15" i="13" a="1"/>
  <c r="AF15" i="13" a="1"/>
  <c r="AA16" i="5" a="1"/>
  <c r="AA14" i="11" s="1" a="1"/>
  <c r="N17" i="8"/>
  <c r="N26" i="8"/>
  <c r="N20" i="8"/>
  <c r="N23" i="8"/>
  <c r="N14" i="8"/>
  <c r="R14" i="8" s="1"/>
  <c r="E32" i="14"/>
  <c r="AA15" i="11" l="1" a="1"/>
  <c r="Z15" i="11" s="1"/>
  <c r="AC14" i="13" a="1"/>
  <c r="R14" i="13" s="1"/>
  <c r="R16" i="13"/>
  <c r="T16" i="13"/>
  <c r="M16" i="11"/>
  <c r="L16" i="11" s="1"/>
  <c r="AF14" i="13" a="1"/>
  <c r="T14" i="13" s="1"/>
  <c r="Z14" i="11"/>
  <c r="H15" i="8" a="1"/>
  <c r="H14" i="8" a="1"/>
  <c r="J15" i="8" s="1"/>
  <c r="D14" i="8"/>
  <c r="C14" i="8"/>
  <c r="F16" i="8"/>
  <c r="Z24" i="11" l="1"/>
  <c r="R15" i="13"/>
  <c r="M26" i="13" s="1"/>
  <c r="M25" i="13" s="1"/>
  <c r="T15" i="13"/>
  <c r="AD3" i="13" s="1"/>
  <c r="AD2" i="13" s="1"/>
  <c r="AA24" i="11"/>
  <c r="AE15" i="11" s="1"/>
  <c r="M15" i="11" s="1"/>
  <c r="L15" i="11" s="1"/>
  <c r="AE14" i="11" l="1"/>
  <c r="M14" i="11" s="1"/>
  <c r="L14" i="11" s="1"/>
  <c r="L24" i="11" s="1"/>
  <c r="L25" i="11" s="1"/>
  <c r="AE3" i="13"/>
  <c r="O26" i="13" s="1"/>
  <c r="O25" i="13" s="1"/>
  <c r="F30" i="14" s="1"/>
  <c r="M24" i="11" l="1"/>
  <c r="L26" i="13" s="1"/>
  <c r="D31" i="14" s="1"/>
  <c r="L25" i="13"/>
  <c r="D30" i="14" s="1"/>
  <c r="L10" i="11"/>
  <c r="M10" i="13" s="1"/>
  <c r="N25" i="13"/>
  <c r="E30" i="14" s="1"/>
  <c r="AE2" i="13"/>
  <c r="F31" i="14"/>
  <c r="N26" i="13"/>
  <c r="E31" i="14" s="1"/>
  <c r="M25" i="11" l="1"/>
  <c r="AC26" i="13"/>
  <c r="AD26" i="13"/>
  <c r="M10" i="11"/>
  <c r="N10" i="13" s="1"/>
  <c r="O26" i="8"/>
  <c r="R26" i="8" s="1"/>
  <c r="O20" i="8"/>
  <c r="R20" i="8" s="1"/>
  <c r="O23" i="8"/>
  <c r="R23" i="8" s="1"/>
  <c r="O17" i="8"/>
  <c r="R17" i="8" s="1"/>
  <c r="R30" i="8"/>
  <c r="I30" i="8" s="1"/>
  <c r="G9" i="11" l="1"/>
  <c r="C26" i="8"/>
  <c r="H27" i="8" a="1"/>
  <c r="H26" i="8" a="1"/>
  <c r="J27" i="8" s="1"/>
  <c r="H23" i="8" a="1"/>
  <c r="J24" i="8" s="1"/>
  <c r="H24" i="8" a="1"/>
  <c r="D20" i="8"/>
  <c r="H21" i="8" a="1"/>
  <c r="H20" i="8" a="1"/>
  <c r="J21" i="8" s="1"/>
  <c r="H17" i="8" a="1"/>
  <c r="J18" i="8" s="1"/>
  <c r="H18" i="8" a="1"/>
  <c r="F28" i="8"/>
  <c r="AF28" i="8" s="1" a="1"/>
  <c r="AF26" i="8" s="1" a="1"/>
  <c r="D26" i="8"/>
  <c r="F22" i="8"/>
  <c r="C20" i="8"/>
  <c r="F25" i="8"/>
  <c r="Z25" i="8" s="1" a="1"/>
  <c r="Z23" i="8" s="1" a="1"/>
  <c r="D23" i="8"/>
  <c r="C23" i="8"/>
  <c r="D17" i="8"/>
  <c r="C17" i="8"/>
  <c r="F19" i="8"/>
  <c r="AA28" i="8" l="1" a="1"/>
  <c r="AA26" i="8" s="1" a="1"/>
  <c r="Y28" i="8" a="1"/>
  <c r="Y26" i="8" s="1" a="1"/>
  <c r="V28" i="8" a="1"/>
  <c r="V26" i="8" s="1" a="1"/>
  <c r="W28" i="8" a="1"/>
  <c r="W26" i="8" s="1" a="1"/>
  <c r="AC28" i="8" a="1"/>
  <c r="AC26" i="8" s="1" a="1"/>
  <c r="Z28" i="8" a="1"/>
  <c r="Z26" i="8" s="1" a="1"/>
  <c r="E28" i="8" a="1"/>
  <c r="E26" i="8" s="1" a="1"/>
  <c r="AB28" i="8" a="1"/>
  <c r="AB26" i="8" s="1" a="1"/>
  <c r="X28" i="8" a="1"/>
  <c r="X26" i="8" s="1" a="1"/>
  <c r="AE28" i="8" a="1"/>
  <c r="AE26" i="8" s="1" a="1"/>
  <c r="U28" i="8" a="1"/>
  <c r="U26" i="8" s="1" a="1"/>
  <c r="X25" i="8" a="1"/>
  <c r="X23" i="8" s="1" a="1"/>
  <c r="AB25" i="8" a="1"/>
  <c r="AB23" i="8" s="1" a="1"/>
  <c r="AD28" i="8" a="1"/>
  <c r="AD26" i="8" s="1" a="1"/>
  <c r="AF25" i="8" a="1"/>
  <c r="AF23" i="8" s="1" a="1"/>
  <c r="E25" i="8" a="1"/>
  <c r="E23" i="8" s="1" a="1"/>
  <c r="V25" i="8" a="1"/>
  <c r="V23" i="8" s="1" a="1"/>
  <c r="AE25" i="8" a="1"/>
  <c r="AE23" i="8" s="1" a="1"/>
  <c r="W25" i="8" a="1"/>
  <c r="W23" i="8" s="1" a="1"/>
  <c r="AA25" i="8" a="1"/>
  <c r="AA23" i="8" s="1" a="1"/>
  <c r="AC25" i="8" a="1"/>
  <c r="AC23" i="8" s="1" a="1"/>
  <c r="Y25" i="8" a="1"/>
  <c r="Y23" i="8" s="1" a="1"/>
  <c r="AD25" i="8" a="1"/>
  <c r="AD23" i="8" s="1" a="1"/>
  <c r="U25" i="8" a="1"/>
  <c r="U23" i="8" s="1" a="1"/>
  <c r="AF22" i="8" l="1" a="1"/>
  <c r="E22" i="8" a="1"/>
  <c r="U22" i="8" a="1"/>
  <c r="W22" i="8" a="1"/>
  <c r="AD22" i="8" a="1"/>
  <c r="AD20" i="8" l="1" a="1"/>
  <c r="AF20" i="8" a="1"/>
  <c r="U20" i="8" a="1"/>
  <c r="E20" i="8" a="1"/>
  <c r="W20" i="8" a="1"/>
  <c r="W19" i="8" a="1"/>
  <c r="W17" i="8" s="1" a="1"/>
  <c r="AF19" i="8" a="1"/>
  <c r="AF17" i="8" s="1" a="1"/>
  <c r="E19" i="8" a="1"/>
  <c r="E17" i="8" s="1" a="1"/>
  <c r="U19" i="8" a="1"/>
  <c r="U17" i="8" s="1" a="1"/>
  <c r="V22" i="8" a="1"/>
  <c r="V19" i="8" s="1" a="1"/>
  <c r="V17" i="8" s="1" a="1"/>
  <c r="AC22" i="8" a="1"/>
  <c r="AC19" i="8" s="1" a="1"/>
  <c r="AC17" i="8" s="1" a="1"/>
  <c r="Z22" i="8" a="1"/>
  <c r="Z19" i="8" s="1" a="1"/>
  <c r="Z17" i="8" s="1" a="1"/>
  <c r="Y22" i="8" a="1"/>
  <c r="Y19" i="8" s="1" a="1"/>
  <c r="Y17" i="8" s="1" a="1"/>
  <c r="AB22" i="8" a="1"/>
  <c r="AB19" i="8" s="1" a="1"/>
  <c r="AB17" i="8" s="1" a="1"/>
  <c r="X22" i="8" a="1"/>
  <c r="X19" i="8" s="1" a="1"/>
  <c r="X17" i="8" s="1" a="1"/>
  <c r="AE22" i="8" a="1"/>
  <c r="AE19" i="8" s="1" a="1"/>
  <c r="AE17" i="8" s="1" a="1"/>
  <c r="AA22" i="8" a="1"/>
  <c r="AA19" i="8" s="1" a="1"/>
  <c r="AA17" i="8" s="1" a="1"/>
  <c r="AD19" i="8" l="1" a="1"/>
  <c r="AD17" i="8" s="1" a="1"/>
  <c r="AF16" i="8" a="1"/>
  <c r="AF14" i="8" s="1" a="1"/>
  <c r="W16" i="8" a="1"/>
  <c r="W14" i="8" s="1" a="1"/>
  <c r="U16" i="8" a="1"/>
  <c r="E16" i="8" a="1"/>
  <c r="AE20" i="8" a="1"/>
  <c r="AE16" i="8" a="1"/>
  <c r="AE14" i="8" s="1" a="1"/>
  <c r="V20" i="8" a="1"/>
  <c r="V16" i="8" a="1"/>
  <c r="V14" i="8" s="1" a="1"/>
  <c r="X20" i="8" a="1"/>
  <c r="X16" i="8" a="1"/>
  <c r="X14" i="8" s="1" a="1"/>
  <c r="AB20" i="8" a="1"/>
  <c r="AB16" i="8" a="1"/>
  <c r="AB14" i="8" s="1" a="1"/>
  <c r="AA20" i="8" a="1"/>
  <c r="AA16" i="8" a="1"/>
  <c r="AA14" i="8" s="1" a="1"/>
  <c r="Y20" i="8" a="1"/>
  <c r="Y16" i="8" a="1"/>
  <c r="Y14" i="8" s="1" a="1"/>
  <c r="Z20" i="8" a="1"/>
  <c r="Z16" i="8" a="1"/>
  <c r="Z14" i="8" s="1" a="1"/>
  <c r="AC20" i="8" a="1"/>
  <c r="AC16" i="8" a="1"/>
  <c r="AC14" i="8" s="1" a="1"/>
  <c r="AD16" i="8" l="1" a="1"/>
  <c r="AD14" i="8" s="1" a="1"/>
  <c r="E14" i="8" a="1"/>
  <c r="E39" i="8"/>
  <c r="U14" i="8" a="1"/>
  <c r="U39" i="8"/>
  <c r="V39" i="8" s="1"/>
  <c r="J26" i="9" s="1"/>
  <c r="U37" i="8" a="1"/>
  <c r="U38" i="8" a="1"/>
  <c r="E38" i="8" a="1"/>
  <c r="E33" i="8" s="1"/>
  <c r="E37" i="8" a="1"/>
  <c r="E32" i="8" s="1"/>
  <c r="V38" i="8" l="1" a="1"/>
  <c r="U33" i="8"/>
  <c r="V37" i="8" a="1"/>
  <c r="U32" i="8"/>
  <c r="U35" i="8"/>
  <c r="H25" i="9" s="1"/>
  <c r="U34" i="8"/>
  <c r="U36" i="8"/>
  <c r="U31" i="8" s="1"/>
  <c r="H26" i="9"/>
  <c r="W39" i="8"/>
  <c r="L26" i="9" s="1"/>
  <c r="V35" i="8"/>
  <c r="J25" i="9" s="1"/>
  <c r="V34" i="8"/>
  <c r="J24" i="9" s="1"/>
  <c r="E36" i="8"/>
  <c r="E31" i="8" s="1"/>
  <c r="E34" i="8"/>
  <c r="E30" i="8" s="1"/>
  <c r="E35" i="8"/>
  <c r="V30" i="8" l="1"/>
  <c r="J23" i="9" s="1"/>
  <c r="V36" i="8"/>
  <c r="V31" i="8" s="1"/>
  <c r="U30" i="8"/>
  <c r="H23" i="9" s="1"/>
  <c r="H24" i="9"/>
  <c r="V32" i="8"/>
  <c r="W37" i="8" a="1"/>
  <c r="W34" i="8"/>
  <c r="W30" i="8" s="1"/>
  <c r="L23" i="9" s="1"/>
  <c r="X39" i="8"/>
  <c r="N26" i="9" s="1"/>
  <c r="W35" i="8"/>
  <c r="L25" i="9" s="1"/>
  <c r="W38" i="8" a="1"/>
  <c r="V33" i="8"/>
  <c r="W36" i="8" l="1"/>
  <c r="W31" i="8" s="1"/>
  <c r="X37" i="8" a="1"/>
  <c r="W32" i="8"/>
  <c r="X34" i="8"/>
  <c r="X30" i="8" s="1"/>
  <c r="N23" i="9" s="1"/>
  <c r="X35" i="8"/>
  <c r="N25" i="9" s="1"/>
  <c r="L24" i="9"/>
  <c r="Y39" i="8"/>
  <c r="Y34" i="8" s="1"/>
  <c r="P24" i="9" s="1"/>
  <c r="W33" i="8"/>
  <c r="X38" i="8" a="1"/>
  <c r="Y30" i="8" l="1"/>
  <c r="P23" i="9" s="1"/>
  <c r="X33" i="8"/>
  <c r="Y38" i="8" a="1"/>
  <c r="X36" i="8"/>
  <c r="X31" i="8" s="1"/>
  <c r="P26" i="9"/>
  <c r="Y35" i="8"/>
  <c r="P25" i="9" s="1"/>
  <c r="Z39" i="8"/>
  <c r="R26" i="9" s="1"/>
  <c r="N24" i="9"/>
  <c r="X32" i="8"/>
  <c r="Y37" i="8" a="1"/>
  <c r="Y36" i="8" l="1"/>
  <c r="Y31" i="8" s="1"/>
  <c r="Z35" i="8"/>
  <c r="R25" i="9" s="1"/>
  <c r="Z34" i="8"/>
  <c r="Z30" i="8" s="1"/>
  <c r="R23" i="9" s="1"/>
  <c r="AA39" i="8"/>
  <c r="T26" i="9" s="1"/>
  <c r="Y32" i="8"/>
  <c r="Z37" i="8" a="1"/>
  <c r="Y33" i="8"/>
  <c r="Z38" i="8" a="1"/>
  <c r="Z33" i="8" l="1"/>
  <c r="AA38" i="8" a="1"/>
  <c r="AA37" i="8" a="1"/>
  <c r="Z32" i="8"/>
  <c r="AA34" i="8"/>
  <c r="T24" i="9" s="1"/>
  <c r="AA35" i="8"/>
  <c r="T25" i="9" s="1"/>
  <c r="AB39" i="8"/>
  <c r="AB35" i="8" s="1"/>
  <c r="V25" i="9" s="1"/>
  <c r="R24" i="9"/>
  <c r="Z36" i="8"/>
  <c r="Z31" i="8" s="1"/>
  <c r="AA36" i="8" l="1"/>
  <c r="AA31" i="8" s="1"/>
  <c r="AB34" i="8"/>
  <c r="AB30" i="8" s="1"/>
  <c r="V23" i="9" s="1"/>
  <c r="V26" i="9"/>
  <c r="AA32" i="8"/>
  <c r="AB37" i="8" a="1"/>
  <c r="AB38" i="8" a="1"/>
  <c r="AA33" i="8"/>
  <c r="AC39" i="8"/>
  <c r="X26" i="9" s="1"/>
  <c r="AA30" i="8"/>
  <c r="T23" i="9" s="1"/>
  <c r="V24" i="9" l="1"/>
  <c r="AB36" i="8"/>
  <c r="AB31" i="8" s="1"/>
  <c r="AC35" i="8"/>
  <c r="X25" i="9" s="1"/>
  <c r="AB33" i="8"/>
  <c r="AC38" i="8" a="1"/>
  <c r="AC34" i="8"/>
  <c r="AC30" i="8" s="1"/>
  <c r="X23" i="9" s="1"/>
  <c r="AD39" i="8"/>
  <c r="AD35" i="8" s="1"/>
  <c r="Z25" i="9" s="1"/>
  <c r="AB32" i="8"/>
  <c r="AC37" i="8" a="1"/>
  <c r="AC36" i="8" l="1"/>
  <c r="AC31" i="8" s="1"/>
  <c r="AD37" i="8" a="1"/>
  <c r="AC32" i="8"/>
  <c r="Z26" i="9"/>
  <c r="AD34" i="8"/>
  <c r="Z24" i="9" s="1"/>
  <c r="AE39" i="8"/>
  <c r="AE34" i="8" s="1"/>
  <c r="AE30" i="8" s="1"/>
  <c r="AB23" i="9" s="1"/>
  <c r="AC33" i="8"/>
  <c r="AD38" i="8" a="1"/>
  <c r="X24" i="9"/>
  <c r="AB26" i="9" l="1"/>
  <c r="AB24" i="9"/>
  <c r="AE35" i="8"/>
  <c r="AB25" i="9" s="1"/>
  <c r="AD33" i="8"/>
  <c r="AE38" i="8" a="1"/>
  <c r="AF39" i="8"/>
  <c r="AF35" i="8" s="1"/>
  <c r="AD25" i="9" s="1"/>
  <c r="AD36" i="8"/>
  <c r="AD31" i="8" s="1"/>
  <c r="AD30" i="8"/>
  <c r="Z23" i="9" s="1"/>
  <c r="AD32" i="8"/>
  <c r="AE37" i="8" a="1"/>
  <c r="F11" i="8" l="1" a="1"/>
  <c r="AF38" i="8" a="1"/>
  <c r="AF33" i="8" s="1"/>
  <c r="AE33" i="8"/>
  <c r="K10" i="8" a="1"/>
  <c r="AE32" i="8"/>
  <c r="AF37" i="8" a="1"/>
  <c r="AF32" i="8" s="1"/>
  <c r="AF34" i="8"/>
  <c r="AF30" i="8" s="1"/>
  <c r="AD23" i="9" s="1"/>
  <c r="B6" i="9" a="1"/>
  <c r="M13" i="9" s="1"/>
  <c r="AE36" i="8"/>
  <c r="AE31" i="8" s="1"/>
  <c r="AD26" i="9"/>
  <c r="F28" i="12" a="1"/>
  <c r="AD24" i="9" l="1"/>
  <c r="AF36" i="8"/>
  <c r="AF31" i="8" s="1"/>
  <c r="F34" i="12" l="1" a="1"/>
  <c r="G28" i="6" l="1"/>
  <c r="J17" i="8" l="1"/>
  <c r="A17" i="8" s="1"/>
  <c r="N19" i="6"/>
  <c r="N18" i="6" l="1"/>
  <c r="C16" i="10" s="1"/>
  <c r="A16" i="10" s="1"/>
  <c r="N17" i="6"/>
  <c r="J17" i="6" s="1" a="1"/>
  <c r="C16" i="9" l="1"/>
  <c r="F16" i="9" s="1"/>
  <c r="D8" i="9" s="1"/>
  <c r="F40" i="8" s="1"/>
  <c r="A11" i="12" l="1"/>
  <c r="P11" i="12" s="1"/>
  <c r="O11" i="12" s="1"/>
  <c r="W40" i="8"/>
  <c r="AC40" i="8"/>
  <c r="AB40" i="8"/>
  <c r="AF40" i="8"/>
  <c r="AE40" i="8"/>
  <c r="U40" i="8"/>
  <c r="AA40" i="8"/>
  <c r="AD40" i="8"/>
  <c r="Y40" i="8"/>
  <c r="X40" i="8"/>
  <c r="V40" i="8"/>
  <c r="Z40" i="8"/>
  <c r="E40" i="8"/>
  <c r="J27" i="9" l="1"/>
  <c r="J28" i="9" s="1"/>
  <c r="V41" i="8"/>
  <c r="T27" i="9"/>
  <c r="T28" i="9" s="1"/>
  <c r="AA41" i="8"/>
  <c r="V27" i="9"/>
  <c r="V28" i="9" s="1"/>
  <c r="AB41" i="8"/>
  <c r="N27" i="9"/>
  <c r="N28" i="9" s="1"/>
  <c r="X41" i="8"/>
  <c r="H27" i="9"/>
  <c r="H28" i="9" s="1"/>
  <c r="U41" i="8"/>
  <c r="X27" i="9"/>
  <c r="X28" i="9" s="1"/>
  <c r="AC41" i="8"/>
  <c r="P27" i="9"/>
  <c r="P28" i="9" s="1"/>
  <c r="Y41" i="8"/>
  <c r="AB27" i="9"/>
  <c r="AB28" i="9" s="1"/>
  <c r="AE41" i="8"/>
  <c r="L27" i="9"/>
  <c r="L28" i="9" s="1"/>
  <c r="W41" i="8"/>
  <c r="R27" i="9"/>
  <c r="R28" i="9" s="1"/>
  <c r="Z41" i="8"/>
  <c r="Z27" i="9"/>
  <c r="Z28" i="9" s="1"/>
  <c r="AD41" i="8"/>
  <c r="AD27" i="9"/>
  <c r="AD28" i="9" s="1"/>
  <c r="AF41" i="8"/>
  <c r="G28" i="9" l="1"/>
  <c r="T41" i="8"/>
  <c r="F29" i="6"/>
  <c r="E29" i="12"/>
  <c r="E34" i="12" l="1"/>
  <c r="G34" i="6"/>
  <c r="F34" i="6" l="1"/>
  <c r="AF29" i="5" a="1"/>
  <c r="AF31" i="5" a="1"/>
  <c r="AF34" i="5" a="1"/>
  <c r="AF28" i="5" a="1"/>
  <c r="AF18" i="5" a="1"/>
  <c r="AF27" i="5" a="1"/>
  <c r="AF19" i="5" a="1"/>
  <c r="AF30" i="5" a="1"/>
  <c r="AF20" i="5" a="1"/>
  <c r="AF22" i="5" a="1"/>
  <c r="AF24" i="5" a="1"/>
  <c r="AF32" i="5" a="1"/>
  <c r="AF23" i="5" a="1"/>
  <c r="AF25" i="5" a="1"/>
  <c r="AG34" i="5" s="1" a="1"/>
  <c r="AC34" i="5" s="1" a="1"/>
  <c r="J34" i="6" s="1" a="1"/>
  <c r="AG29" i="5" s="1" a="1"/>
  <c r="AC29" i="5" s="1" a="1"/>
  <c r="J29" i="6" s="1" a="1"/>
  <c r="R18" i="5" l="1" a="1"/>
  <c r="AG18" i="5" a="1"/>
  <c r="R25" i="5" a="1"/>
  <c r="S25" i="5" a="1"/>
  <c r="G25" i="6" s="1"/>
  <c r="AG25" i="5" a="1"/>
  <c r="AG31" i="5" a="1"/>
  <c r="R31" i="5"/>
  <c r="S31" i="5" a="1"/>
  <c r="G31" i="6" s="1"/>
  <c r="R20" i="5" a="1"/>
  <c r="AG20" i="5" a="1"/>
  <c r="R27" i="5"/>
  <c r="AG27" i="5" a="1"/>
  <c r="R19" i="5" a="1"/>
  <c r="AG19" i="5" a="1"/>
  <c r="R30" i="5" a="1"/>
  <c r="AG30" i="5" a="1"/>
  <c r="R28" i="5" a="1"/>
  <c r="AG28" i="5" a="1"/>
  <c r="R22" i="5" a="1"/>
  <c r="AG22" i="5" a="1"/>
  <c r="R24" i="5" a="1"/>
  <c r="AG24" i="5" a="1"/>
  <c r="S24" i="5" a="1"/>
  <c r="G24" i="6" s="1"/>
  <c r="S32" i="5"/>
  <c r="G32" i="6" s="1"/>
  <c r="R32" i="5" a="1"/>
  <c r="AG32" i="5" a="1"/>
  <c r="R23" i="5" a="1"/>
  <c r="AG23" i="5" a="1"/>
  <c r="AC28" i="5" l="1" a="1"/>
  <c r="J28" i="6" s="1" a="1"/>
  <c r="AC27" i="5" a="1"/>
  <c r="J27" i="6" s="1" a="1"/>
  <c r="F23" i="6"/>
  <c r="E23" i="12"/>
  <c r="AC23" i="5" a="1"/>
  <c r="J23" i="6" s="1" a="1"/>
  <c r="E22" i="12"/>
  <c r="F22" i="6"/>
  <c r="AC22" i="5" a="1"/>
  <c r="J22" i="6" s="1" a="1"/>
  <c r="AC30" i="5" a="1"/>
  <c r="J30" i="6" s="1" a="1"/>
  <c r="E30" i="12"/>
  <c r="F30" i="6"/>
  <c r="E27" i="12"/>
  <c r="F27" i="6"/>
  <c r="E31" i="12"/>
  <c r="F31" i="6"/>
  <c r="AC31" i="5" a="1"/>
  <c r="J31" i="6" s="1" a="1"/>
  <c r="AC25" i="5" a="1"/>
  <c r="J25" i="6" s="1" a="1"/>
  <c r="E25" i="12"/>
  <c r="F25" i="6"/>
  <c r="F32" i="6"/>
  <c r="AC32" i="5" a="1"/>
  <c r="J32" i="6" s="1" a="1"/>
  <c r="E32" i="12"/>
  <c r="AC24" i="5" a="1"/>
  <c r="J24" i="6" s="1" a="1"/>
  <c r="E24" i="12"/>
  <c r="F24" i="6"/>
  <c r="E28" i="12"/>
  <c r="F28" i="6"/>
  <c r="AC19" i="5" a="1"/>
  <c r="J19" i="6" s="1" a="1"/>
  <c r="F19" i="6"/>
  <c r="E19" i="12"/>
  <c r="E20" i="12"/>
  <c r="AC20" i="5" a="1"/>
  <c r="J20" i="6" s="1" a="1"/>
  <c r="F20" i="6"/>
  <c r="E18" i="12"/>
  <c r="AC18" i="5" a="1"/>
  <c r="F18" i="6"/>
  <c r="J18" i="6" l="1" a="1"/>
  <c r="AC11" i="5"/>
  <c r="AC7" i="5"/>
  <c r="O12" i="5" a="1"/>
  <c r="F11" i="6" l="1"/>
  <c r="I12"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<sst xmlns="http://schemas.openxmlformats.org/spreadsheetml/2006/main" count="1881" uniqueCount="1051">
  <si>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</si>
  <si>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</si>
  <si>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</si>
  <si>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</si>
  <si>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</si>
  <si>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</si>
  <si>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</si>
  <si>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</si>
  <si>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</si>
  <si>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</si>
  <si>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</si>
  <si>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</si>
  <si>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</si>
  <si>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</si>
  <si>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</si>
  <si>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</si>
  <si>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</si>
  <si>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</si>
  <si>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</si>
  <si>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</si>
  <si>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</si>
  <si>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</si>
  <si>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</si>
  <si>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</si>
  <si>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</si>
  <si>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</si>
  <si>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</si>
  <si>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</si>
  <si>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</si>
  <si>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</si>
  <si>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</si>
  <si>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</si>
  <si>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</si>
  <si>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</si>
  <si>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</si>
  <si>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</si>
  <si>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</si>
  <si>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</si>
  <si>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</si>
  <si>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</si>
  <si>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</si>
  <si>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</si>
  <si>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</si>
  <si>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</si>
  <si>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</si>
  <si>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</si>
  <si>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</si>
  <si>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</si>
  <si>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</si>
  <si>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</si>
  <si>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</si>
  <si>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</si>
  <si>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</si>
  <si>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</si>
  <si>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</si>
  <si>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</si>
  <si>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</si>
  <si>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</si>
  <si>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</si>
  <si>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</si>
  <si>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</si>
  <si>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</si>
  <si>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</si>
  <si>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</si>
  <si>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</si>
  <si>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</si>
  <si>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</si>
  <si>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</si>
  <si>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</si>
  <si>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</si>
  <si>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</si>
  <si>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</si>
  <si>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</si>
  <si>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</si>
  <si>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</si>
  <si>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</si>
  <si>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</si>
  <si>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</si>
  <si>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</si>
  <si>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</si>
  <si>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</si>
  <si>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</si>
  <si>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</si>
  <si>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</si>
  <si>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</si>
  <si>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</si>
  <si>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</si>
  <si>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</si>
  <si>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</si>
  <si>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</si>
  <si>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</si>
  <si>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</si>
  <si>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</si>
  <si>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</si>
  <si>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</si>
  <si>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</si>
  <si>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</si>
  <si>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</si>
  <si>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</si>
  <si>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</si>
  <si>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</si>
  <si>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</si>
  <si>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</si>
  <si>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</si>
  <si>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</si>
  <si>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</si>
  <si>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</si>
  <si>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</si>
  <si>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</si>
  <si>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</si>
  <si>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</si>
  <si>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</si>
  <si>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</si>
  <si>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</si>
  <si>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</si>
  <si>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</si>
  <si>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</si>
  <si>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</si>
  <si>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</si>
  <si>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</si>
  <si>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</si>
  <si>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</si>
  <si>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</si>
  <si>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</si>
  <si>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</si>
  <si>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</si>
  <si>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</si>
  <si>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</si>
  <si>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</si>
  <si>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</si>
  <si>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</si>
  <si>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</si>
  <si>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</si>
  <si>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</si>
  <si>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</si>
  <si>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</si>
  <si>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</si>
  <si>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</si>
  <si>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</si>
  <si>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</si>
  <si>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</si>
  <si>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</si>
  <si>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</si>
  <si>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</si>
  <si>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</si>
  <si>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</si>
  <si>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</si>
  <si>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</si>
  <si>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</si>
  <si>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</si>
  <si>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</si>
  <si>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</si>
  <si>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</si>
  <si>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</si>
  <si>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</si>
  <si>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</si>
  <si>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</si>
  <si>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</si>
  <si>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</si>
  <si>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</si>
  <si>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</si>
  <si>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</si>
  <si>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</si>
  <si>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</si>
  <si>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</si>
  <si>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</si>
  <si>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</si>
  <si>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</si>
  <si>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</si>
  <si>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</si>
  <si>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</si>
  <si>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</si>
  <si>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</si>
  <si>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</si>
  <si>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</si>
  <si>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</si>
  <si>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</si>
  <si>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</si>
  <si>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</si>
  <si>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</si>
  <si>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</si>
  <si>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</si>
  <si>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</si>
  <si>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</si>
  <si>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</si>
  <si>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</si>
  <si>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</si>
  <si>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</si>
  <si>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</si>
  <si>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</si>
  <si>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</si>
  <si>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</si>
  <si>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</si>
  <si>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</si>
  <si>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</si>
  <si>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</si>
  <si>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</si>
  <si>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</si>
  <si>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</si>
  <si>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</si>
  <si>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</si>
  <si>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</si>
  <si>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</si>
  <si>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</si>
  <si>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</si>
  <si>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</si>
  <si>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</si>
  <si>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</si>
  <si>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</si>
  <si>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</si>
  <si>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</si>
  <si>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</si>
  <si>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</si>
  <si>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</si>
  <si>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</si>
  <si>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</si>
  <si>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</si>
  <si>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</si>
  <si>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</si>
  <si>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</si>
  <si>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</si>
  <si>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</si>
  <si>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</si>
  <si>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</si>
  <si>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</si>
  <si>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</si>
  <si>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</si>
  <si>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</si>
  <si>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</si>
  <si>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</si>
  <si>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</si>
  <si>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</si>
  <si>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</si>
  <si>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</si>
  <si>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</si>
  <si>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</si>
  <si>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</si>
  <si>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</si>
  <si>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</si>
  <si>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</si>
  <si>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</si>
  <si>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</si>
  <si>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</si>
  <si>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</si>
  <si>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</si>
  <si>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</si>
  <si>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</si>
  <si>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</si>
  <si>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</si>
  <si>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</si>
  <si>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</si>
  <si>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</si>
  <si>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</si>
  <si>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</si>
  <si>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</si>
  <si>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</si>
  <si>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</si>
  <si>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</si>
  <si>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</si>
  <si>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</si>
  <si>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</si>
  <si>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</si>
  <si>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</si>
  <si>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</si>
  <si>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</si>
  <si>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</si>
  <si>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</si>
  <si>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</si>
  <si>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</si>
  <si>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</si>
  <si>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</si>
  <si>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</si>
  <si>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</si>
  <si>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</si>
  <si>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</si>
  <si>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</si>
  <si>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</si>
  <si>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</si>
  <si>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</si>
  <si>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</si>
  <si>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</si>
  <si>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</si>
  <si>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</si>
  <si>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</si>
  <si>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</si>
  <si>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</si>
  <si>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</si>
  <si>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</si>
  <si>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</si>
  <si>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</si>
  <si>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</si>
  <si>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</si>
  <si>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</si>
  <si>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</si>
  <si>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</si>
  <si>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</si>
  <si>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</si>
  <si>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</si>
  <si>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</si>
  <si>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</si>
  <si>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</si>
  <si>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</si>
  <si>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</si>
  <si>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</si>
  <si>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</si>
  <si>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</si>
  <si>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</si>
  <si>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</si>
  <si>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</si>
  <si>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</si>
  <si>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</si>
  <si>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</si>
  <si>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</si>
  <si>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</si>
  <si>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</si>
  <si>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</si>
  <si>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</si>
  <si>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</si>
  <si>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</si>
  <si>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</si>
  <si>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</si>
  <si>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</si>
  <si>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</si>
  <si>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</si>
  <si>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</si>
  <si>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</si>
  <si>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</si>
  <si>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</si>
  <si>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</si>
  <si>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</si>
  <si>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</si>
  <si>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</si>
  <si>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</si>
  <si>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</si>
  <si>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</si>
  <si>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</si>
  <si>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</si>
  <si>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</si>
  <si>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</si>
  <si>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</si>
  <si>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</si>
  <si>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</si>
  <si>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</si>
  <si>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</si>
  <si>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</si>
  <si>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</si>
  <si>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</si>
  <si>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</si>
  <si>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</si>
  <si>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</si>
  <si>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</si>
  <si>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</si>
  <si>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</si>
  <si>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</si>
  <si>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</si>
  <si>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</si>
  <si>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</si>
  <si>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</si>
  <si>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</si>
  <si>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</si>
  <si>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</si>
  <si>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</si>
  <si>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</si>
  <si>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</si>
  <si>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</si>
  <si>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</si>
  <si>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</si>
  <si>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</si>
  <si>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</si>
  <si>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</si>
  <si>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</si>
  <si>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</si>
  <si>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</si>
  <si>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</si>
  <si>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</si>
  <si>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</si>
  <si>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</si>
  <si>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</si>
  <si>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</si>
  <si>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</si>
  <si>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</si>
  <si>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</si>
  <si>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</si>
  <si>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</si>
  <si>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</si>
  <si>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</si>
  <si>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</si>
  <si>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</si>
  <si>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</si>
  <si>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</si>
  <si>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</si>
  <si>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</si>
  <si>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</si>
  <si>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</si>
  <si>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</si>
  <si>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</si>
  <si>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</si>
  <si>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</si>
  <si>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</si>
  <si>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</si>
  <si>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</si>
  <si>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</si>
  <si>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</si>
  <si>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</si>
  <si>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</si>
  <si>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</si>
  <si>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</si>
  <si>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</si>
  <si>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</si>
  <si>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</si>
  <si>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</si>
  <si>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</si>
  <si>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</si>
  <si>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</si>
  <si>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</si>
  <si>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</si>
  <si>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</si>
  <si>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</si>
  <si>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</si>
  <si>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</si>
  <si>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</si>
  <si>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</si>
  <si>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</si>
  <si>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</si>
  <si>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</si>
  <si>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</si>
  <si>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</si>
  <si>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</si>
  <si>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</si>
  <si>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</si>
  <si>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</si>
  <si>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</si>
  <si>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</si>
  <si>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</si>
  <si>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</si>
  <si>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</si>
  <si>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</si>
  <si>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</si>
  <si>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</si>
  <si>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</si>
  <si>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</si>
  <si>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</si>
  <si>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</si>
  <si>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</si>
  <si>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</si>
  <si>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</si>
  <si>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</si>
  <si>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</si>
  <si>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</si>
  <si>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</si>
  <si>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</si>
  <si>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</si>
  <si>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</si>
  <si>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</si>
  <si>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</si>
  <si>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</si>
  <si>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</si>
  <si>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</si>
  <si>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</si>
  <si>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</si>
  <si>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</si>
  <si>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</si>
  <si>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</si>
  <si>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</si>
  <si>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</si>
  <si>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</si>
  <si>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</si>
  <si>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</si>
  <si>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</si>
  <si>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</si>
  <si>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</si>
  <si>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</si>
  <si>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</si>
  <si>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</si>
  <si>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</si>
  <si>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</si>
  <si>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</si>
  <si>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</si>
  <si>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</si>
  <si>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</si>
  <si>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</si>
  <si>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</si>
  <si>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</si>
  <si>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</si>
  <si>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</si>
  <si>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</si>
  <si>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</si>
  <si>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</si>
  <si>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</si>
  <si>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</si>
  <si>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</si>
  <si>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</si>
  <si>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</si>
  <si>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</si>
  <si>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</si>
  <si>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</si>
  <si>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</si>
  <si>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</si>
  <si>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</si>
  <si>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</si>
  <si>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</si>
  <si>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</si>
  <si>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</si>
  <si>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</si>
  <si>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</si>
  <si>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</si>
  <si>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</si>
  <si>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</si>
  <si>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</si>
  <si>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</si>
  <si>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</si>
  <si>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</si>
  <si>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</si>
  <si>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</si>
  <si>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</si>
  <si>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</si>
  <si>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</si>
  <si>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</si>
  <si>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</si>
  <si>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</si>
  <si>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</si>
  <si>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</si>
  <si>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</si>
  <si>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</si>
  <si>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</si>
  <si>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</si>
  <si>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</si>
  <si>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</si>
  <si>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</si>
  <si>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</si>
  <si>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</si>
  <si>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</si>
  <si>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</si>
  <si>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</si>
  <si>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</si>
  <si>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</si>
  <si>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</si>
  <si>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</si>
  <si>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</si>
  <si>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</si>
  <si>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</si>
  <si>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</si>
  <si>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</si>
  <si>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</si>
  <si>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</si>
  <si>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</si>
  <si>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</si>
  <si>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</si>
  <si>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</si>
  <si>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</si>
  <si>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</si>
  <si>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</si>
  <si>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</si>
  <si>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</si>
  <si>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</si>
  <si>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</si>
  <si>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</si>
  <si>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</si>
  <si>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</si>
  <si>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</si>
  <si>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</si>
  <si>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</si>
  <si>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</si>
  <si>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</si>
  <si>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</si>
  <si>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</si>
  <si>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</si>
  <si>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</si>
  <si>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</si>
  <si>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</si>
  <si>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</si>
  <si>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</si>
  <si>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</si>
  <si>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</si>
  <si>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</si>
  <si>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</si>
  <si>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</si>
  <si>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</si>
  <si>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</si>
  <si>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</si>
  <si>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</si>
  <si>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</si>
  <si>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</si>
  <si>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</si>
  <si>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</si>
  <si>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</si>
  <si>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</si>
  <si>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</si>
  <si>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</si>
  <si>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</si>
  <si>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</si>
  <si>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</si>
  <si>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</si>
  <si>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</si>
  <si>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</si>
  <si>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</si>
  <si>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</si>
  <si>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</si>
  <si>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</si>
  <si>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</si>
  <si>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</si>
  <si>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</si>
  <si>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</si>
  <si>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</si>
  <si>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</si>
  <si>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</si>
  <si>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</si>
  <si>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</si>
  <si>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</si>
  <si>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</si>
  <si>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</si>
  <si>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</si>
  <si>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</si>
  <si>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</si>
  <si>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</si>
  <si>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</si>
  <si>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</si>
  <si>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</si>
  <si>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</si>
  <si>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</si>
  <si>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</si>
  <si>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</si>
  <si>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</si>
  <si>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</si>
  <si>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</si>
  <si>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</si>
  <si>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</si>
  <si>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</si>
  <si>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</si>
  <si>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</si>
  <si>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</si>
  <si>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</si>
  <si>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</si>
  <si>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</si>
  <si>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</si>
  <si>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</si>
  <si>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</si>
  <si>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</si>
  <si>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</si>
  <si>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</si>
  <si>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</si>
  <si>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</si>
  <si>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</si>
  <si>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</si>
  <si>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</si>
  <si>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</si>
  <si>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</si>
  <si>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</si>
  <si>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</si>
  <si>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</si>
  <si>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</si>
  <si>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</si>
  <si>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</si>
  <si>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</si>
  <si>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</si>
  <si>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</si>
  <si>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</si>
  <si>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</si>
  <si>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</si>
  <si>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</si>
  <si>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</si>
  <si>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</si>
  <si>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</si>
  <si>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</si>
  <si>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</si>
  <si>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</si>
  <si>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</si>
  <si>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</si>
  <si>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</si>
  <si>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</si>
  <si>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</si>
  <si>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</si>
  <si>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</si>
  <si>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</si>
  <si>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</si>
  <si>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</si>
  <si>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</si>
  <si>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</si>
  <si>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</si>
  <si>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</si>
  <si>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</si>
  <si>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</si>
  <si>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</si>
  <si>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</si>
  <si>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</si>
  <si>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</si>
  <si>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</si>
  <si>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</si>
  <si>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</si>
  <si>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</si>
  <si>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</si>
  <si>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</si>
  <si>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</si>
  <si>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</si>
  <si>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</si>
  <si>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</si>
  <si>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</si>
  <si>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</si>
  <si>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</si>
  <si>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</si>
  <si>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</si>
  <si>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</si>
  <si>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</si>
  <si>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</si>
  <si>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</si>
  <si>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</si>
  <si>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</si>
  <si>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</si>
  <si>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</si>
  <si>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</si>
  <si>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</si>
  <si>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</si>
  <si>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</si>
  <si>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</si>
  <si>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</si>
  <si>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</si>
  <si>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</si>
  <si>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</si>
  <si>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</si>
  <si>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</si>
  <si>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</si>
  <si>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</si>
  <si>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</si>
  <si>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</si>
  <si>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</si>
  <si>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</si>
  <si>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</si>
  <si>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</si>
  <si>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</si>
  <si>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</si>
  <si>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</si>
  <si>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</si>
  <si>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</si>
  <si>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</si>
  <si>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</si>
  <si>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</si>
  <si>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</si>
  <si>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</si>
  <si>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</si>
  <si>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</si>
  <si>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</si>
  <si>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</si>
  <si>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</si>
  <si>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</si>
  <si>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</si>
  <si>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</si>
  <si>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</si>
  <si>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</si>
  <si>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</si>
  <si>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</si>
  <si>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</si>
  <si>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</si>
  <si>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</si>
  <si>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</si>
  <si>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</si>
  <si>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</si>
  <si>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</si>
  <si>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</si>
  <si>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</si>
  <si>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</si>
  <si>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</si>
  <si>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</si>
  <si>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</si>
  <si>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</si>
  <si>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</si>
  <si>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</si>
  <si>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</si>
  <si>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</si>
  <si>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</si>
  <si>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</si>
  <si>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</si>
  <si>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</si>
  <si>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</si>
  <si>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</si>
  <si>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</si>
  <si>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</si>
  <si>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</si>
  <si>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</si>
  <si>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</si>
  <si>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</si>
  <si>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</si>
  <si>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</si>
  <si>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</si>
  <si>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</si>
  <si>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</si>
  <si>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</si>
  <si>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</si>
  <si>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</si>
  <si>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</si>
  <si>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</si>
  <si>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</si>
  <si>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</si>
  <si>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</si>
  <si>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</si>
  <si>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</si>
  <si>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</si>
  <si>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</si>
  <si>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</si>
  <si>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</si>
  <si>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</si>
  <si>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</si>
  <si>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</si>
  <si>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</si>
  <si>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</si>
  <si>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</si>
  <si>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</si>
  <si>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</si>
  <si>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</si>
  <si>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</si>
  <si>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</si>
  <si>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</si>
  <si>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</si>
  <si>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</si>
  <si>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</si>
  <si>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</si>
  <si>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</si>
  <si>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</si>
  <si>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</si>
  <si>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</si>
  <si>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</si>
  <si>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</si>
  <si>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</si>
  <si>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</si>
  <si>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</si>
  <si>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</si>
  <si>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</si>
  <si>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</si>
  <si>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</si>
  <si>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</si>
  <si>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</si>
  <si>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</si>
  <si>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</si>
  <si>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</si>
  <si>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</si>
  <si>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</si>
  <si>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</si>
  <si>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</si>
  <si>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</si>
  <si>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</si>
  <si>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</si>
  <si>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</si>
  <si>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</si>
  <si>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</si>
  <si>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</si>
  <si>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</si>
  <si>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</si>
  <si>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</si>
  <si>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</si>
  <si>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</si>
  <si>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</si>
  <si>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</si>
  <si>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</si>
  <si>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</si>
  <si>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</si>
  <si>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</si>
  <si>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</si>
  <si>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</si>
  <si>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</si>
  <si>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</si>
  <si>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</si>
  <si>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</si>
  <si>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</si>
  <si>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</si>
  <si>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</si>
  <si>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</si>
  <si>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</si>
  <si>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</si>
  <si>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</si>
  <si>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</si>
  <si>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</si>
  <si>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</si>
  <si>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</si>
  <si>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</si>
  <si>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</si>
  <si>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</si>
  <si>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</si>
  <si>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</si>
  <si>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</si>
  <si>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</si>
  <si>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</si>
  <si>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</si>
  <si>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</si>
  <si>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</si>
  <si>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</si>
  <si>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</si>
  <si>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</si>
  <si>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</si>
  <si>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</si>
  <si>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</si>
  <si>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</si>
  <si>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</si>
  <si>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</si>
  <si>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</si>
  <si>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</si>
  <si>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</si>
  <si>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</si>
  <si>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</si>
  <si>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</si>
  <si>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</si>
  <si>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</si>
  <si>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</si>
  <si>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</si>
  <si>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</si>
  <si>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</si>
  <si>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</si>
  <si>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</si>
  <si>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</si>
  <si>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</si>
  <si>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</si>
  <si>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</si>
  <si>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</si>
  <si>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</si>
  <si>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</si>
  <si>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</si>
  <si>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</si>
  <si>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</si>
  <si>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</si>
  <si>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</si>
  <si>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</si>
  <si>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</si>
  <si>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</si>
  <si>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</si>
  <si>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</si>
  <si>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</si>
  <si>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</si>
  <si>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</si>
  <si>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</si>
  <si>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</si>
  <si>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</si>
  <si>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</si>
  <si>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</si>
  <si>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</si>
  <si>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</si>
  <si>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</si>
  <si>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</si>
  <si>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</si>
  <si>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</si>
  <si>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</si>
  <si>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</si>
  <si>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</si>
  <si>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</si>
  <si>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</si>
  <si>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</si>
  <si>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</si>
  <si>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</si>
  <si>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</si>
  <si>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</si>
  <si>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</si>
  <si>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</si>
  <si>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</si>
  <si>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</si>
  <si>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</si>
  <si>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</si>
  <si>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</si>
  <si>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</si>
  <si>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</si>
  <si>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</si>
  <si>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</si>
  <si>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</si>
  <si>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</si>
  <si>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</si>
  <si>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</si>
  <si>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</si>
  <si>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</si>
  <si>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</si>
  <si>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</si>
  <si>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</si>
  <si>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</si>
  <si>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</si>
  <si>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</si>
  <si>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</si>
  <si>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</si>
  <si>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</si>
  <si>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</si>
  <si>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</si>
  <si>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</si>
  <si>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</si>
  <si>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</si>
  <si>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</si>
  <si>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</si>
  <si>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</si>
  <si>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</si>
  <si>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</si>
  <si>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</si>
  <si>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</si>
  <si>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</si>
  <si>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</si>
  <si>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</si>
  <si>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</si>
  <si>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</si>
  <si>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</si>
  <si>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</si>
  <si>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</si>
  <si>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</si>
  <si>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</si>
  <si>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</si>
  <si>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</si>
  <si>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</si>
  <si>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</si>
  <si>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</si>
  <si>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</si>
  <si>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</si>
  <si>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</si>
  <si>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</si>
  <si>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</si>
  <si>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</si>
  <si>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</si>
  <si>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Marialva-PR</t>
  </si>
  <si>
    <t>Flávia Cheroni Brita da Silva</t>
  </si>
  <si>
    <t>Prefeita</t>
  </si>
  <si>
    <t>Fernando Vinicius Moraes Viana</t>
  </si>
  <si>
    <t>144.403/D</t>
  </si>
  <si>
    <t>PREFEITURA MUNICIPAL DE MARIALVA</t>
  </si>
  <si>
    <t>RECAPEAMENTO ASFÁLTICO</t>
  </si>
  <si>
    <t>RECAPEAMENTO ASFÁLTICO DE VIAS PÚBLICAS NO MÚNICIPIO DE MARIALVA/PR</t>
  </si>
  <si>
    <t>103689</t>
  </si>
  <si>
    <t>Revestimento</t>
  </si>
  <si>
    <t>533500</t>
  </si>
  <si>
    <t>Base/Sub Base</t>
  </si>
  <si>
    <t>Serviços preliminares</t>
  </si>
  <si>
    <t>Rua João M. Tosta Sobrinho Trecho 1</t>
  </si>
  <si>
    <t>Rua João M. Tosta Sobrinho Trecho 2</t>
  </si>
  <si>
    <t>Av Eneas Modesto de Oliveira</t>
  </si>
  <si>
    <t>Travessa Castelo Branco</t>
  </si>
  <si>
    <t>Travessa Salto Osório</t>
  </si>
  <si>
    <t>Rua José Cividanes</t>
  </si>
  <si>
    <t>Rua Prosperina Guimarães da Silva</t>
  </si>
  <si>
    <t>Av Padre Theo Hermann</t>
  </si>
  <si>
    <t>Rua Dionisio Hernandes</t>
  </si>
  <si>
    <t>Rua Luiz Pierini</t>
  </si>
  <si>
    <t>Rua Joinville</t>
  </si>
  <si>
    <t>Rua Kei Hamada</t>
  </si>
  <si>
    <t>Rua João Morais da Silva</t>
  </si>
  <si>
    <t>1091265-71</t>
  </si>
  <si>
    <t>060795/2023</t>
  </si>
  <si>
    <t>96396</t>
  </si>
  <si>
    <t>95996</t>
  </si>
  <si>
    <t>REPERFILAMENTO - EXECUÇÃO DE PAVIMENTO COM APLICAÇÃO DE CONCRETO ASFÁLTICO, CAMADA DE BINDER - EXCLUSIVE CARGA E TRANSPORTE. AF_10/2025</t>
  </si>
  <si>
    <t>01</t>
  </si>
  <si>
    <t>02</t>
  </si>
  <si>
    <t>97636</t>
  </si>
  <si>
    <t>101133</t>
  </si>
  <si>
    <t>100988</t>
  </si>
  <si>
    <t xml:space="preserve">DER  </t>
  </si>
  <si>
    <t>3. Revestimento</t>
  </si>
  <si>
    <t>100976</t>
  </si>
  <si>
    <t>95877</t>
  </si>
  <si>
    <t>95995</t>
  </si>
  <si>
    <t>03</t>
  </si>
  <si>
    <t>1720265939600</t>
  </si>
  <si>
    <t>PINTURA DE FAIXA DE PEDESTRE OU ZEBRADA COM TINTA RETRORREFLETIVA À BASE DE RESINA ACRÍLICA COM MICROESFERAS DE VIDRO, E = 40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</si>
</sst>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applyAlignment="1" applyProtection="1">
      <alignment vertical="center"/>
      <protection locked="0"/>
    </xf>
    <xf numFmtId="0" fontId="0" fillId="0" borderId="31" xfId="0" applyBorder="1" applyAlignment="1">
      <alignment horizontal="center"/>
    </xf>
    <xf numFmtId="0" fontId="24" fillId="0" borderId="30" xfId="35" applyFont="1" applyBorder="1" applyAlignment="1">
      <alignment horizontal="left" vertical="top"/>
    </xf>
    <xf numFmtId="0" fontId="24" fillId="0" borderId="32" xfId="35" applyFont="1" applyBorder="1" applyAlignment="1">
      <alignment horizontal="left" vertical="top"/>
    </xf>
    <xf numFmtId="0" fontId="60" fillId="0" borderId="0" xfId="0" applyFont="1" applyAlignment="1">
      <alignment horizontal="center" textRotation="90" wrapText="1"/>
    </xf>
    <xf numFmtId="0" fontId="39" fillId="0" borderId="0" xfId="0" applyFont="1" applyAlignment="1">
      <alignment horizontal="center" textRotation="90"/>
    </xf>
    <xf numFmtId="0" fontId="24" fillId="0" borderId="12" xfId="0" applyFont="1" applyBorder="1" applyAlignment="1">
      <alignment horizontal="center"/>
    </xf>
    <xf numFmtId="0" fontId="39" fillId="0" borderId="0" xfId="0" applyFont="1" applyAlignment="1">
      <alignment horizontal="center" textRotation="90" wrapText="1"/>
    </xf>
    <xf numFmtId="0" fontId="0" fillId="0" borderId="13" xfId="33" applyFont="1" applyBorder="1" applyAlignment="1">
      <alignment horizontal="left" vertical="top"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258">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color rgb="FFFF0000"/>
      </font>
    </dxf>
    <dxf>
      <font>
        <b val="0"/>
        <condense val="0"/>
        <extend val="0"/>
        <color indexed="9"/>
      </font>
    </dxf>
    <dxf>
      <font>
        <b/>
        <i val="0"/>
        <condense val="0"/>
        <extend val="0"/>
        <color indexed="1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9"/>
      </font>
      <border>
        <left/>
        <right style="thin">
          <color indexed="64"/>
        </right>
      </border>
    </dxf>
    <dxf>
      <font>
        <b val="0"/>
        <condense val="0"/>
        <extend val="0"/>
        <color indexed="10"/>
      </font>
    </dxf>
    <dxf>
      <font>
        <color rgb="FFFF0000"/>
      </font>
    </dxf>
    <dxf>
      <font>
        <color theme="0" tint="-0.14996795556505021"/>
      </font>
    </dxf>
    <dxf>
      <font>
        <color theme="0"/>
      </font>
    </dxf>
    <dxf>
      <font>
        <b/>
        <i val="0"/>
        <condense val="0"/>
        <extend val="0"/>
      </font>
      <fill>
        <patternFill patternType="solid">
          <fgColor indexed="21"/>
          <bgColor indexed="57"/>
        </patternFill>
      </fill>
    </dxf>
    <dxf>
      <font>
        <b/>
        <i val="0"/>
        <color rgb="FFFF0000"/>
      </font>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9"/>
      </font>
      <fill>
        <patternFill patternType="none">
          <fgColor indexed="64"/>
          <bgColor indexed="65"/>
        </patternFill>
      </fill>
      <border>
        <left/>
        <right/>
        <top/>
        <bottom/>
      </border>
    </dxf>
    <dxf>
      <fill>
        <patternFill>
          <bgColor rgb="FFFFC000"/>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44"/>
      </font>
      <fill>
        <patternFill patternType="solid">
          <fgColor indexed="22"/>
          <bgColor indexed="44"/>
        </patternFill>
      </fill>
    </dxf>
    <dxf>
      <font>
        <b val="0"/>
        <condense val="0"/>
        <extend val="0"/>
        <color indexed="44"/>
      </font>
      <fill>
        <patternFill patternType="solid">
          <fgColor indexed="22"/>
          <bgColor indexed="44"/>
        </patternFill>
      </fill>
    </dxf>
    <dxf>
      <font>
        <b val="0"/>
        <condense val="0"/>
        <extend val="0"/>
        <color indexed="44"/>
      </font>
      <fill>
        <patternFill patternType="solid">
          <fgColor indexed="22"/>
          <bgColor indexed="44"/>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dxf>
    <dxf>
      <font>
        <b val="0"/>
        <condense val="0"/>
        <extend val="0"/>
        <color indexed="9"/>
      </font>
    </dxf>
    <dxf>
      <font>
        <b val="0"/>
        <condense val="0"/>
        <extend val="0"/>
        <color indexed="9"/>
      </font>
      <border>
        <left/>
      </border>
    </dxf>
    <dxf>
      <font>
        <color theme="0"/>
      </font>
      <border>
        <left/>
        <right/>
      </border>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ill>
        <patternFill patternType="solid">
          <fgColor indexed="26"/>
          <bgColor indexed="43"/>
        </patternFill>
      </fill>
    </dxf>
    <dxf>
      <fill>
        <patternFill patternType="solid">
          <fgColor indexed="44"/>
          <bgColor indexed="22"/>
        </patternFill>
      </fill>
    </dxf>
    <dxf>
      <fill>
        <patternFill patternType="solid">
          <fgColor indexed="46"/>
          <bgColor indexed="55"/>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ill>
        <patternFill patternType="solid">
          <fgColor indexed="46"/>
          <bgColor indexed="55"/>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left/>
        <right/>
        <top/>
        <bottom/>
        <vertical/>
        <horizontal/>
      </border>
    </dxf>
    <dxf>
      <font>
        <b/>
        <i val="0"/>
      </font>
      <fill>
        <patternFill>
          <bgColor rgb="FFFF0000"/>
        </patternFill>
      </fill>
    </dxf>
    <dxf>
      <font>
        <b/>
        <i val="0"/>
        <color auto="1"/>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FF0000"/>
        </patternFill>
      </fill>
    </dxf>
    <dxf>
      <font>
        <b/>
        <i val="0"/>
        <color auto="1"/>
      </font>
      <fill>
        <patternFill>
          <bgColor rgb="FFFF0000"/>
        </patternFill>
      </fill>
    </dxf>
    <dxf>
      <font>
        <b val="0"/>
        <condense val="0"/>
        <extend val="0"/>
        <color indexed="9"/>
      </font>
    </dxf>
    <dxf>
      <font>
        <b/>
        <i val="0"/>
        <color rgb="FFFF0000"/>
      </font>
    </dxf>
    <dxf>
      <font>
        <b val="0"/>
        <condense val="0"/>
        <extend val="0"/>
        <color indexed="9"/>
      </font>
    </dxf>
    <dxf>
      <font>
        <color rgb="FFC0C0C0"/>
      </font>
    </dxf>
    <dxf>
      <font>
        <color rgb="FFFF0000"/>
      </font>
      <fill>
        <patternFill>
          <bgColor rgb="FFFFFF99"/>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color theme="0"/>
      </font>
      <border>
        <left/>
        <right/>
      </border>
    </dxf>
    <dxf>
      <font>
        <color theme="0" tint="-0.14996795556505021"/>
      </font>
    </dxf>
    <dxf>
      <font>
        <color theme="0"/>
      </font>
    </dxf>
    <dxf>
      <font>
        <color theme="0" tint="-0.14996795556505021"/>
      </font>
    </dxf>
    <dxf>
      <font>
        <color theme="0"/>
      </font>
    </dxf>
    <dxf>
      <font>
        <color theme="0" tint="-0.14996795556505021"/>
      </font>
    </dxf>
    <dxf>
      <font>
        <color theme="0" tint="-0.24994659260841701"/>
      </font>
    </dxf>
    <dxf>
      <font>
        <b/>
        <i val="0"/>
        <color rgb="FFFF0000"/>
      </font>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color theme="0"/>
      </font>
      <fill>
        <patternFill patternType="solid">
          <bgColor theme="0"/>
        </patternFill>
      </fill>
      <border>
        <left/>
        <right/>
        <top/>
        <vertical/>
        <horizontal/>
      </border>
    </dxf>
    <dxf>
      <font>
        <color theme="0"/>
      </font>
      <fill>
        <patternFill>
          <bgColor theme="0"/>
        </patternFill>
      </fill>
      <border>
        <left/>
        <right/>
        <top/>
        <bottom/>
        <vertical/>
        <horizontal/>
      </border>
    </dxf>
    <dxf>
      <font>
        <color rgb="FFFF0000"/>
      </font>
    </dxf>
    <dxf>
      <font>
        <color rgb="FFFF0000"/>
      </font>
    </dxf>
    <dxf>
      <font>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color rgb="FFFF0000"/>
      </font>
    </dxf>
    <dxf>
      <font>
        <color rgb="FFFF0000"/>
      </font>
    </dxf>
    <dxf>
      <font>
        <color rgb="FFFF0000"/>
      </font>
    </dxf>
    <dxf>
      <font>
        <color rgb="FFFF0000"/>
      </font>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border>
        <top style="thin">
          <color indexed="64"/>
        </top>
      </border>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border>
        <left style="thin">
          <color indexed="8"/>
        </left>
        <right style="thin">
          <color indexed="8"/>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10"/>
      </font>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4"/>
          <bgColor indexed="22"/>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color rgb="FFFF0000"/>
      </font>
    </dxf>
    <dxf>
      <font>
        <color rgb="FFFF000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color theme="0"/>
      </font>
      <fill>
        <patternFill>
          <bgColor theme="0"/>
        </patternFill>
      </fill>
    </dxf>
    <dxf>
      <font>
        <color theme="0"/>
      </font>
      <fill>
        <patternFill>
          <bgColor theme="0"/>
        </patternFill>
      </fill>
    </dxf>
    <dxf>
      <font>
        <b/>
        <i val="0"/>
        <condense val="0"/>
        <extend val="0"/>
      </font>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color indexed="9"/>
      </font>
      <fill>
        <patternFill patternType="none">
          <fgColor indexed="64"/>
          <bgColor indexed="65"/>
        </patternFill>
      </fill>
      <border>
        <left/>
        <right/>
        <top style="thin">
          <color indexed="64"/>
        </top>
        <bottom/>
      </border>
    </dxf>
    <dxf>
      <font>
        <color theme="0"/>
      </font>
      <fill>
        <patternFill>
          <bgColor theme="0"/>
        </patternFill>
      </fill>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val="0"/>
        <condense val="0"/>
        <extend val="0"/>
        <color indexed="10"/>
      </font>
    </dxf>
    <dxf>
      <font>
        <b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0" t="s">
        <v>0</v>
      </c>
    </row>
    <row r="5" spans="1:4" ht="18.75" x14ac:dyDescent="0.3">
      <c r="A5" s="41"/>
      <c r="B5" s="42"/>
      <c r="C5" s="42"/>
      <c r="D5" s="43"/>
    </row>
    <row r="6" spans="1:4" ht="18.75" x14ac:dyDescent="0.3">
      <c r="A6" s="44" t="s">
        <v>1</v>
      </c>
      <c r="B6" s="45"/>
      <c r="C6" s="45"/>
      <c r="D6" s="3"/>
    </row>
    <row r="7" spans="1:4" ht="15" x14ac:dyDescent="0.25">
      <c r="A7" s="4"/>
      <c r="B7" s="46" t="s">
        <v>2</v>
      </c>
      <c r="C7" s="46"/>
      <c r="D7" s="3"/>
    </row>
    <row r="8" spans="1:4" ht="15" x14ac:dyDescent="0.25">
      <c r="A8" s="4"/>
      <c r="B8" s="46"/>
      <c r="C8" s="47" t="str">
        <f>IF(D8&lt;&gt;"","▪","")</f>
        <v>▪</v>
      </c>
      <c r="D8" s="498" t="s">
        <v>3</v>
      </c>
    </row>
    <row r="9" spans="1:4" ht="15" x14ac:dyDescent="0.25">
      <c r="A9" s="4"/>
      <c r="B9" s="46"/>
      <c r="C9" s="47" t="str">
        <f>IF(D9&lt;&gt;"","▪","")</f>
        <v/>
      </c>
      <c r="D9" s="498"/>
    </row>
    <row r="10" spans="1:4" ht="18.75" x14ac:dyDescent="0.3">
      <c r="A10" s="601" t="s">
        <v>4</v>
      </c>
      <c r="B10" s="602"/>
      <c r="C10" s="602"/>
      <c r="D10" s="603"/>
    </row>
    <row r="11" spans="1:4" ht="15" x14ac:dyDescent="0.25">
      <c r="A11" s="4"/>
      <c r="B11" s="46" t="s">
        <v>2</v>
      </c>
      <c r="C11" s="46"/>
      <c r="D11" s="498"/>
    </row>
    <row r="12" spans="1:4" ht="15" x14ac:dyDescent="0.25">
      <c r="A12" s="4"/>
      <c r="B12" s="46"/>
      <c r="C12" s="47" t="str">
        <f>IF(D12&lt;&gt;"","▪","")</f>
        <v>▪</v>
      </c>
      <c r="D12" s="498" t="s">
        <v>5</v>
      </c>
    </row>
    <row r="13" spans="1:4" ht="15" x14ac:dyDescent="0.25">
      <c r="A13" s="4"/>
      <c r="B13" s="46" t="s">
        <v>6</v>
      </c>
      <c r="C13" s="46"/>
      <c r="D13" s="498"/>
    </row>
    <row r="14" spans="1:4" ht="15" x14ac:dyDescent="0.25">
      <c r="A14" s="413"/>
      <c r="B14" s="46"/>
      <c r="C14" s="47" t="str">
        <f>IF(D14&lt;&gt;"","▪","")</f>
        <v>▪</v>
      </c>
      <c r="D14" s="498" t="s">
        <v>7</v>
      </c>
    </row>
    <row r="15" spans="1:4" ht="15" x14ac:dyDescent="0.2">
      <c r="A15" s="413"/>
      <c r="C15" s="47" t="str">
        <f>IF(D15&lt;&gt;"","▪","")</f>
        <v>▪</v>
      </c>
      <c r="D15" s="498" t="s">
        <v>8</v>
      </c>
    </row>
    <row r="16" spans="1:4" x14ac:dyDescent="0.2">
      <c r="A16" s="417"/>
      <c r="D16" s="85"/>
    </row>
    <row r="17" spans="1:4" ht="18.75" x14ac:dyDescent="0.3">
      <c r="A17" s="601" t="s">
        <v>9</v>
      </c>
      <c r="B17" s="602"/>
      <c r="C17" s="602"/>
      <c r="D17" s="603"/>
    </row>
    <row r="18" spans="1:4" ht="15" x14ac:dyDescent="0.25">
      <c r="A18" s="4"/>
      <c r="B18" s="46" t="s">
        <v>2</v>
      </c>
      <c r="C18" s="46"/>
      <c r="D18" s="498"/>
    </row>
    <row r="19" spans="1:4" ht="15" x14ac:dyDescent="0.25">
      <c r="A19" s="4"/>
      <c r="B19" s="46"/>
      <c r="C19" s="47" t="str">
        <f>IF(D19&lt;&gt;"","▪","")</f>
        <v>▪</v>
      </c>
      <c r="D19" s="498" t="s">
        <v>5</v>
      </c>
    </row>
    <row r="20" spans="1:4" ht="15" x14ac:dyDescent="0.25">
      <c r="A20" s="4"/>
      <c r="B20" s="46"/>
      <c r="C20" s="47" t="str">
        <f>IF(D20&lt;&gt;"","▪","")</f>
        <v>▪</v>
      </c>
      <c r="D20" s="498" t="s">
        <v>10</v>
      </c>
    </row>
    <row r="21" spans="1:4" ht="15" x14ac:dyDescent="0.25">
      <c r="A21" s="413"/>
      <c r="B21" s="46" t="s">
        <v>11</v>
      </c>
      <c r="C21" s="46"/>
      <c r="D21" s="498"/>
    </row>
    <row r="22" spans="1:4" ht="15" x14ac:dyDescent="0.25">
      <c r="A22" s="413"/>
      <c r="B22" s="46"/>
      <c r="C22" s="47" t="str">
        <f>IF(D22&lt;&gt;"","▪","")</f>
        <v>▪</v>
      </c>
      <c r="D22" s="498" t="s">
        <v>12</v>
      </c>
    </row>
    <row r="23" spans="1:4" ht="15" x14ac:dyDescent="0.25">
      <c r="A23" s="413"/>
      <c r="B23" s="46" t="s">
        <v>13</v>
      </c>
      <c r="C23" s="46"/>
      <c r="D23" s="498"/>
    </row>
    <row r="24" spans="1:4" ht="15" x14ac:dyDescent="0.25">
      <c r="A24" s="413"/>
      <c r="B24" s="46"/>
      <c r="C24" s="47" t="str">
        <f>IF(D24&lt;&gt;"","▪","")</f>
        <v>▪</v>
      </c>
      <c r="D24" s="498" t="s">
        <v>14</v>
      </c>
    </row>
    <row r="25" spans="1:4" ht="15" x14ac:dyDescent="0.25">
      <c r="A25" s="413"/>
      <c r="B25" s="46" t="s">
        <v>15</v>
      </c>
      <c r="C25" s="46"/>
      <c r="D25" s="498"/>
    </row>
    <row r="26" spans="1:4" ht="15" x14ac:dyDescent="0.25">
      <c r="A26" s="413"/>
      <c r="B26" s="46"/>
      <c r="C26" s="47" t="str">
        <f>IF(D26&lt;&gt;"","▪","")</f>
        <v>▪</v>
      </c>
      <c r="D26" s="498" t="s">
        <v>16</v>
      </c>
    </row>
    <row r="27" spans="1:4" ht="15" x14ac:dyDescent="0.25">
      <c r="A27" s="413"/>
      <c r="B27" s="46" t="s">
        <v>17</v>
      </c>
      <c r="C27" s="46"/>
      <c r="D27" s="498"/>
    </row>
    <row r="28" spans="1:4" ht="15" x14ac:dyDescent="0.25">
      <c r="A28" s="413"/>
      <c r="B28" s="46"/>
      <c r="C28" s="47" t="str">
        <f>IF(D28&lt;&gt;"","▪","")</f>
        <v>▪</v>
      </c>
      <c r="D28" s="498" t="s">
        <v>18</v>
      </c>
    </row>
    <row r="29" spans="1:4" x14ac:dyDescent="0.2">
      <c r="A29" s="417"/>
      <c r="D29" s="85"/>
    </row>
    <row r="30" spans="1:4" ht="18.75" x14ac:dyDescent="0.3">
      <c r="A30" s="601" t="s">
        <v>19</v>
      </c>
      <c r="B30" s="602"/>
      <c r="C30" s="602"/>
      <c r="D30" s="603"/>
    </row>
    <row r="31" spans="1:4" ht="15" x14ac:dyDescent="0.25">
      <c r="A31" s="4"/>
      <c r="B31" s="46" t="s">
        <v>2</v>
      </c>
      <c r="C31" s="46"/>
      <c r="D31" s="498"/>
    </row>
    <row r="32" spans="1:4" ht="15" x14ac:dyDescent="0.25">
      <c r="A32" s="4"/>
      <c r="B32" s="46"/>
      <c r="C32" s="47" t="str">
        <f>IF(D32&lt;&gt;"","▪","")</f>
        <v>▪</v>
      </c>
      <c r="D32" s="498" t="s">
        <v>10</v>
      </c>
    </row>
    <row r="33" spans="1:5" ht="15" x14ac:dyDescent="0.25">
      <c r="A33" s="4"/>
      <c r="B33" s="46" t="s">
        <v>20</v>
      </c>
      <c r="C33" s="47"/>
      <c r="D33" s="498"/>
    </row>
    <row r="34" spans="1:5" ht="15" x14ac:dyDescent="0.25">
      <c r="A34" s="4"/>
      <c r="B34" s="46"/>
      <c r="C34" s="47" t="str">
        <f>IF(D34&lt;&gt;"","▪","")</f>
        <v>▪</v>
      </c>
      <c r="D34" s="498" t="s">
        <v>21</v>
      </c>
    </row>
    <row r="35" spans="1:5" ht="15" x14ac:dyDescent="0.25">
      <c r="A35" s="4"/>
      <c r="B35" s="46"/>
      <c r="C35" s="46"/>
      <c r="D35" s="499"/>
      <c r="E35" s="46"/>
    </row>
    <row r="36" spans="1:5" x14ac:dyDescent="0.2">
      <c r="A36" s="417"/>
      <c r="D36" s="85"/>
    </row>
    <row r="37" spans="1:5" ht="18.75" x14ac:dyDescent="0.3">
      <c r="A37" s="601" t="s">
        <v>22</v>
      </c>
      <c r="B37" s="602"/>
      <c r="C37" s="602"/>
      <c r="D37" s="603"/>
    </row>
    <row r="38" spans="1:5" ht="15" x14ac:dyDescent="0.25">
      <c r="A38" s="4"/>
      <c r="B38" s="46" t="s">
        <v>23</v>
      </c>
      <c r="C38" s="46"/>
      <c r="D38" s="498"/>
    </row>
    <row r="39" spans="1:5" ht="15" x14ac:dyDescent="0.25">
      <c r="A39" s="4"/>
      <c r="B39" s="46"/>
      <c r="C39" s="47" t="str">
        <f>IF(D39&lt;&gt;"","▪","")</f>
        <v>▪</v>
      </c>
      <c r="D39" s="498" t="s">
        <v>24</v>
      </c>
    </row>
    <row r="40" spans="1:5" ht="15" x14ac:dyDescent="0.25">
      <c r="A40" s="4"/>
      <c r="B40" s="46" t="s">
        <v>13</v>
      </c>
      <c r="C40" s="46"/>
      <c r="D40" s="498"/>
    </row>
    <row r="41" spans="1:5" ht="15" x14ac:dyDescent="0.25">
      <c r="A41" s="4"/>
      <c r="B41" s="46"/>
      <c r="C41" s="47" t="str">
        <f>IF(D41&lt;&gt;"","▪","")</f>
        <v>▪</v>
      </c>
      <c r="D41" s="498" t="s">
        <v>25</v>
      </c>
    </row>
    <row r="42" spans="1:5" ht="15" x14ac:dyDescent="0.25">
      <c r="A42" s="4"/>
      <c r="B42" s="46" t="s">
        <v>15</v>
      </c>
      <c r="C42" s="46"/>
      <c r="D42" s="498"/>
      <c r="E42" s="46"/>
    </row>
    <row r="43" spans="1:5" ht="15" x14ac:dyDescent="0.25">
      <c r="A43" s="4"/>
      <c r="B43" s="46"/>
      <c r="C43" s="47" t="str">
        <f>IF(D43&lt;&gt;"","▪","")</f>
        <v>▪</v>
      </c>
      <c r="D43" s="498" t="s">
        <v>26</v>
      </c>
    </row>
    <row r="44" spans="1:5" ht="15" x14ac:dyDescent="0.25">
      <c r="A44" s="4"/>
      <c r="B44" s="46"/>
      <c r="C44" s="46"/>
      <c r="D44" s="499"/>
    </row>
    <row r="45" spans="1:5" ht="18.75" x14ac:dyDescent="0.3">
      <c r="A45" s="601" t="s">
        <v>27</v>
      </c>
      <c r="B45" s="602"/>
      <c r="C45" s="602"/>
      <c r="D45" s="603"/>
    </row>
    <row r="46" spans="1:5" ht="15" x14ac:dyDescent="0.25">
      <c r="A46" s="4"/>
      <c r="B46" s="46" t="s">
        <v>2</v>
      </c>
      <c r="C46" s="46"/>
      <c r="D46" s="498"/>
    </row>
    <row r="47" spans="1:5" ht="15" x14ac:dyDescent="0.25">
      <c r="A47" s="4"/>
      <c r="B47" s="46"/>
      <c r="C47" s="47" t="str">
        <f>IF(D47&lt;&gt;"","▪","")</f>
        <v>▪</v>
      </c>
      <c r="D47" s="498" t="s">
        <v>28</v>
      </c>
    </row>
    <row r="48" spans="1:5" ht="15" x14ac:dyDescent="0.25">
      <c r="A48" s="4"/>
      <c r="B48" s="46"/>
      <c r="C48" s="46"/>
      <c r="D48" s="499"/>
    </row>
    <row r="49" spans="1:4" ht="18.75" x14ac:dyDescent="0.3">
      <c r="A49" s="601" t="s">
        <v>29</v>
      </c>
      <c r="B49" s="602"/>
      <c r="C49" s="602"/>
      <c r="D49" s="603"/>
    </row>
    <row r="50" spans="1:4" ht="15" x14ac:dyDescent="0.25">
      <c r="A50" s="4"/>
      <c r="B50" s="46" t="s">
        <v>2</v>
      </c>
      <c r="C50" s="46"/>
      <c r="D50" s="498"/>
    </row>
    <row r="51" spans="1:4" ht="15" x14ac:dyDescent="0.25">
      <c r="A51" s="4"/>
      <c r="B51" s="46"/>
      <c r="C51" s="47" t="str">
        <f>IF(D51&lt;&gt;"","▪","")</f>
        <v>▪</v>
      </c>
      <c r="D51" s="498" t="s">
        <v>30</v>
      </c>
    </row>
    <row r="52" spans="1:4" ht="15" x14ac:dyDescent="0.25">
      <c r="A52" s="4"/>
      <c r="B52" s="46"/>
      <c r="C52" s="47" t="str">
        <f>IF(D52&lt;&gt;"","▪","")</f>
        <v>▪</v>
      </c>
      <c r="D52" s="498" t="s">
        <v>31</v>
      </c>
    </row>
    <row r="53" spans="1:4" ht="15" x14ac:dyDescent="0.25">
      <c r="A53" s="4"/>
      <c r="B53" s="46"/>
      <c r="C53" s="46"/>
      <c r="D53" s="499"/>
    </row>
    <row r="54" spans="1:4" ht="18.75" x14ac:dyDescent="0.3">
      <c r="A54" s="604" t="s">
        <v>32</v>
      </c>
      <c r="B54" s="602"/>
      <c r="C54" s="602"/>
      <c r="D54" s="603"/>
    </row>
    <row r="55" spans="1:4" ht="15" x14ac:dyDescent="0.25">
      <c r="A55" s="413"/>
      <c r="B55" s="46" t="s">
        <v>2</v>
      </c>
      <c r="C55" s="46"/>
      <c r="D55" s="498"/>
    </row>
    <row r="56" spans="1:4" ht="15" x14ac:dyDescent="0.25">
      <c r="A56" s="413"/>
      <c r="B56" s="46"/>
      <c r="C56" s="47" t="str">
        <f t="shared" ref="C56" si="0">IF(D56&lt;&gt;"","▪","")</f>
        <v>▪</v>
      </c>
      <c r="D56" s="498" t="s">
        <v>33</v>
      </c>
    </row>
    <row r="57" spans="1:4" ht="30" customHeight="1" x14ac:dyDescent="0.25">
      <c r="A57" s="413"/>
      <c r="B57" s="46"/>
      <c r="C57" s="47" t="str">
        <f t="shared" ref="C57:C62" si="1">IF(D57&lt;&gt;"","▪","")</f>
        <v>▪</v>
      </c>
      <c r="D57" s="498" t="s">
        <v>34</v>
      </c>
    </row>
    <row r="58" spans="1:4" ht="30" customHeight="1" x14ac:dyDescent="0.25">
      <c r="A58" s="413"/>
      <c r="B58" s="46"/>
      <c r="C58" s="47" t="str">
        <f t="shared" si="1"/>
        <v>▪</v>
      </c>
      <c r="D58" s="498" t="s">
        <v>35</v>
      </c>
    </row>
    <row r="59" spans="1:4" ht="30" customHeight="1" x14ac:dyDescent="0.25">
      <c r="A59" s="413"/>
      <c r="B59" s="46"/>
      <c r="C59" s="47" t="str">
        <f t="shared" si="1"/>
        <v>▪</v>
      </c>
      <c r="D59" s="498" t="s">
        <v>36</v>
      </c>
    </row>
    <row r="60" spans="1:4" ht="25.5" x14ac:dyDescent="0.25">
      <c r="A60" s="413"/>
      <c r="B60" s="46"/>
      <c r="C60" s="47" t="str">
        <f t="shared" si="1"/>
        <v>▪</v>
      </c>
      <c r="D60" s="498" t="s">
        <v>37</v>
      </c>
    </row>
    <row r="61" spans="1:4" ht="15" x14ac:dyDescent="0.25">
      <c r="A61" s="413"/>
      <c r="B61" s="46"/>
      <c r="C61" s="47" t="str">
        <f t="shared" si="1"/>
        <v>▪</v>
      </c>
      <c r="D61" s="498" t="s">
        <v>38</v>
      </c>
    </row>
    <row r="62" spans="1:4" ht="30" customHeight="1" x14ac:dyDescent="0.25">
      <c r="A62" s="413"/>
      <c r="B62" s="46"/>
      <c r="C62" s="47" t="str">
        <f t="shared" si="1"/>
        <v>▪</v>
      </c>
      <c r="D62" s="498" t="s">
        <v>39</v>
      </c>
    </row>
    <row r="63" spans="1:4" ht="15" x14ac:dyDescent="0.25">
      <c r="A63" s="413"/>
      <c r="B63" s="46" t="s">
        <v>40</v>
      </c>
      <c r="C63" s="46"/>
      <c r="D63" s="498"/>
    </row>
    <row r="64" spans="1:4" ht="15" x14ac:dyDescent="0.25">
      <c r="A64" s="413"/>
      <c r="B64" s="46"/>
      <c r="C64" s="47" t="str">
        <f>IF(D64&lt;&gt;"","▪","")</f>
        <v>▪</v>
      </c>
      <c r="D64" s="498" t="s">
        <v>41</v>
      </c>
    </row>
    <row r="65" spans="1:4" ht="15" x14ac:dyDescent="0.25">
      <c r="A65" s="413"/>
      <c r="B65" s="46"/>
      <c r="C65" s="47" t="str">
        <f>IF(D65&lt;&gt;"","▪","")</f>
        <v>▪</v>
      </c>
      <c r="D65" s="498" t="s">
        <v>42</v>
      </c>
    </row>
    <row r="66" spans="1:4" ht="15" x14ac:dyDescent="0.25">
      <c r="A66" s="413"/>
      <c r="B66" s="46"/>
      <c r="C66" s="47"/>
      <c r="D66" s="500" t="s">
        <v>43</v>
      </c>
    </row>
    <row r="67" spans="1:4" ht="15" x14ac:dyDescent="0.25">
      <c r="A67" s="413"/>
      <c r="B67" s="46"/>
      <c r="C67" s="47" t="str">
        <f>IF(D67&lt;&gt;"","▪","")</f>
        <v>▪</v>
      </c>
      <c r="D67" s="498" t="s">
        <v>44</v>
      </c>
    </row>
    <row r="68" spans="1:4" ht="15" x14ac:dyDescent="0.25">
      <c r="A68" s="413"/>
      <c r="B68" s="46"/>
      <c r="C68" s="47"/>
      <c r="D68" s="500" t="s">
        <v>45</v>
      </c>
    </row>
    <row r="69" spans="1:4" ht="15" x14ac:dyDescent="0.25">
      <c r="A69" s="413"/>
      <c r="B69" s="46"/>
      <c r="C69" s="47" t="str">
        <f>IF(D69&lt;&gt;"","▪","")</f>
        <v>▪</v>
      </c>
      <c r="D69" s="498" t="s">
        <v>46</v>
      </c>
    </row>
    <row r="70" spans="1:4" ht="15" x14ac:dyDescent="0.25">
      <c r="A70" s="413"/>
      <c r="B70" s="46"/>
      <c r="C70" s="47" t="str">
        <f>IF(D70&lt;&gt;"","▪","")</f>
        <v>▪</v>
      </c>
      <c r="D70" s="498" t="s">
        <v>47</v>
      </c>
    </row>
    <row r="71" spans="1:4" ht="15" x14ac:dyDescent="0.25">
      <c r="A71" s="413"/>
      <c r="B71" s="46" t="s">
        <v>23</v>
      </c>
      <c r="C71" s="46"/>
      <c r="D71" s="498"/>
    </row>
    <row r="72" spans="1:4" ht="15" x14ac:dyDescent="0.25">
      <c r="A72" s="413"/>
      <c r="B72" s="46"/>
      <c r="C72" s="47" t="str">
        <f>IF(D72&lt;&gt;"","▪","")</f>
        <v>▪</v>
      </c>
      <c r="D72" s="498" t="s">
        <v>48</v>
      </c>
    </row>
    <row r="73" spans="1:4" ht="15" x14ac:dyDescent="0.25">
      <c r="A73" s="413"/>
      <c r="B73" s="46" t="s">
        <v>49</v>
      </c>
      <c r="C73" s="46"/>
      <c r="D73" s="498"/>
    </row>
    <row r="74" spans="1:4" ht="15" x14ac:dyDescent="0.25">
      <c r="A74" s="413"/>
      <c r="B74" s="46"/>
      <c r="C74" s="47" t="str">
        <f>IF(D74&lt;&gt;"","▪","")</f>
        <v>▪</v>
      </c>
      <c r="D74" s="498" t="s">
        <v>50</v>
      </c>
    </row>
    <row r="75" spans="1:4" ht="15" x14ac:dyDescent="0.25">
      <c r="A75" s="413"/>
      <c r="B75" s="46"/>
      <c r="C75" s="47" t="str">
        <f>IF(D75&lt;&gt;"","▪","")</f>
        <v>▪</v>
      </c>
      <c r="D75" s="498" t="s">
        <v>51</v>
      </c>
    </row>
    <row r="76" spans="1:4" ht="15" x14ac:dyDescent="0.25">
      <c r="A76" s="413"/>
      <c r="B76" s="46"/>
      <c r="C76" s="47" t="str">
        <f>IF(D76&lt;&gt;"","▪","")</f>
        <v>▪</v>
      </c>
      <c r="D76" s="498" t="s">
        <v>52</v>
      </c>
    </row>
    <row r="77" spans="1:4" ht="15" x14ac:dyDescent="0.25">
      <c r="A77" s="413"/>
      <c r="B77" s="46"/>
      <c r="C77" s="47" t="str">
        <f>IF(D77&lt;&gt;"","▪","")</f>
        <v>▪</v>
      </c>
      <c r="D77" s="498" t="s">
        <v>53</v>
      </c>
    </row>
    <row r="78" spans="1:4" ht="15" x14ac:dyDescent="0.25">
      <c r="A78" s="413"/>
      <c r="B78" s="46" t="s">
        <v>54</v>
      </c>
      <c r="C78" s="46"/>
      <c r="D78" s="498"/>
    </row>
    <row r="79" spans="1:4" ht="15" x14ac:dyDescent="0.25">
      <c r="A79" s="413"/>
      <c r="B79" s="46"/>
      <c r="C79" s="47" t="str">
        <f>IF(D79&lt;&gt;"","▪","")</f>
        <v>▪</v>
      </c>
      <c r="D79" s="498" t="s">
        <v>50</v>
      </c>
    </row>
    <row r="80" spans="1:4" ht="15" x14ac:dyDescent="0.25">
      <c r="A80" s="413"/>
      <c r="B80" s="46"/>
      <c r="C80" s="47" t="str">
        <f>IF(D80&lt;&gt;"","▪","")</f>
        <v>▪</v>
      </c>
      <c r="D80" s="498" t="s">
        <v>55</v>
      </c>
    </row>
    <row r="81" spans="1:4" ht="15" x14ac:dyDescent="0.25">
      <c r="A81" s="413"/>
      <c r="B81" s="46"/>
      <c r="C81" s="47" t="str">
        <f>IF(D81&lt;&gt;"","▪","")</f>
        <v>▪</v>
      </c>
      <c r="D81" s="498" t="s">
        <v>52</v>
      </c>
    </row>
    <row r="82" spans="1:4" ht="15" x14ac:dyDescent="0.25">
      <c r="A82" s="413"/>
      <c r="B82" s="46"/>
      <c r="C82" s="47" t="str">
        <f>IF(D82&lt;&gt;"","▪","")</f>
        <v>▪</v>
      </c>
      <c r="D82" s="498" t="s">
        <v>53</v>
      </c>
    </row>
    <row r="83" spans="1:4" ht="15" x14ac:dyDescent="0.25">
      <c r="A83" s="413"/>
      <c r="B83" s="46" t="s">
        <v>17</v>
      </c>
      <c r="C83" s="46"/>
      <c r="D83" s="498"/>
    </row>
    <row r="84" spans="1:4" ht="20.100000000000001" customHeight="1" x14ac:dyDescent="0.25">
      <c r="A84" s="413"/>
      <c r="B84" s="46"/>
      <c r="C84" s="47" t="str">
        <f>IF(D84&lt;&gt;"","▪","")</f>
        <v>▪</v>
      </c>
      <c r="D84" s="498" t="s">
        <v>56</v>
      </c>
    </row>
    <row r="85" spans="1:4" ht="15" x14ac:dyDescent="0.25">
      <c r="A85" s="413"/>
      <c r="B85" s="46" t="s">
        <v>57</v>
      </c>
      <c r="C85" s="46"/>
      <c r="D85" s="498"/>
    </row>
    <row r="86" spans="1:4" ht="20.100000000000001" customHeight="1" x14ac:dyDescent="0.25">
      <c r="A86" s="413"/>
      <c r="B86" s="46"/>
      <c r="C86" s="47" t="str">
        <f>IF(D86&lt;&gt;"","▪","")</f>
        <v>▪</v>
      </c>
      <c r="D86" s="498" t="s">
        <v>58</v>
      </c>
    </row>
    <row r="87" spans="1:4" ht="15" x14ac:dyDescent="0.25">
      <c r="A87" s="417"/>
      <c r="B87" s="476"/>
      <c r="C87" s="476"/>
      <c r="D87" s="501"/>
    </row>
    <row r="88" spans="1:4" ht="18.75" x14ac:dyDescent="0.3">
      <c r="A88" s="601" t="s">
        <v>59</v>
      </c>
      <c r="B88" s="602"/>
      <c r="C88" s="602"/>
      <c r="D88" s="603"/>
    </row>
    <row r="89" spans="1:4" ht="15" x14ac:dyDescent="0.25">
      <c r="A89" s="4"/>
      <c r="B89" s="46" t="s">
        <v>2</v>
      </c>
      <c r="C89" s="46"/>
      <c r="D89" s="498"/>
    </row>
    <row r="90" spans="1:4" ht="15" x14ac:dyDescent="0.25">
      <c r="A90" s="4"/>
      <c r="B90" s="46"/>
      <c r="C90" s="47" t="str">
        <f>IF(D90&lt;&gt;"","▪","")</f>
        <v>▪</v>
      </c>
      <c r="D90" s="498" t="s">
        <v>60</v>
      </c>
    </row>
    <row r="91" spans="1:4" ht="15" x14ac:dyDescent="0.25">
      <c r="A91" s="4"/>
      <c r="B91" s="46" t="s">
        <v>40</v>
      </c>
      <c r="C91" s="46"/>
      <c r="D91" s="498"/>
    </row>
    <row r="92" spans="1:4" ht="15" x14ac:dyDescent="0.25">
      <c r="A92" s="4"/>
      <c r="B92" s="46"/>
      <c r="C92" s="47" t="str">
        <f>IF(D92&lt;&gt;"","▪","")</f>
        <v>▪</v>
      </c>
      <c r="D92" s="498" t="s">
        <v>61</v>
      </c>
    </row>
    <row r="93" spans="1:4" ht="38.25" x14ac:dyDescent="0.25">
      <c r="A93" s="4"/>
      <c r="B93" s="46"/>
      <c r="C93" s="47" t="str">
        <f>IF(D93&lt;&gt;"","▪","")</f>
        <v>▪</v>
      </c>
      <c r="D93" s="498" t="s">
        <v>62</v>
      </c>
    </row>
    <row r="94" spans="1:4" ht="25.5" x14ac:dyDescent="0.25">
      <c r="A94" s="4"/>
      <c r="B94" s="46"/>
      <c r="C94" s="47" t="str">
        <f>IF(D94&lt;&gt;"","▪","")</f>
        <v>▪</v>
      </c>
      <c r="D94" s="498" t="s">
        <v>63</v>
      </c>
    </row>
    <row r="95" spans="1:4" ht="15" x14ac:dyDescent="0.25">
      <c r="A95" s="4"/>
      <c r="B95" s="46" t="s">
        <v>23</v>
      </c>
      <c r="C95" s="46"/>
      <c r="D95" s="498"/>
    </row>
    <row r="96" spans="1:4" ht="15" x14ac:dyDescent="0.25">
      <c r="A96" s="4"/>
      <c r="B96" s="46"/>
      <c r="C96" s="47" t="str">
        <f>IF(D96&lt;&gt;"","▪","")</f>
        <v>▪</v>
      </c>
      <c r="D96" s="498" t="s">
        <v>64</v>
      </c>
    </row>
    <row r="97" spans="1:4" ht="15" x14ac:dyDescent="0.25">
      <c r="A97" s="4"/>
      <c r="B97" s="46" t="s">
        <v>11</v>
      </c>
      <c r="C97" s="46"/>
      <c r="D97" s="498"/>
    </row>
    <row r="98" spans="1:4" ht="15" x14ac:dyDescent="0.25">
      <c r="A98" s="4"/>
      <c r="B98" s="46"/>
      <c r="C98" s="47" t="str">
        <f>IF(D98&lt;&gt;"","▪","")</f>
        <v>▪</v>
      </c>
      <c r="D98" s="498" t="s">
        <v>65</v>
      </c>
    </row>
    <row r="99" spans="1:4" ht="15" x14ac:dyDescent="0.25">
      <c r="A99" s="413"/>
      <c r="B99" s="46" t="s">
        <v>49</v>
      </c>
      <c r="C99" s="46"/>
      <c r="D99" s="498"/>
    </row>
    <row r="100" spans="1:4" ht="25.5" x14ac:dyDescent="0.25">
      <c r="A100" s="413"/>
      <c r="B100" s="46"/>
      <c r="C100" s="47" t="str">
        <f>IF(D100&lt;&gt;"","▪","")</f>
        <v>▪</v>
      </c>
      <c r="D100" s="498" t="s">
        <v>66</v>
      </c>
    </row>
    <row r="101" spans="1:4" ht="15" x14ac:dyDescent="0.25">
      <c r="A101" s="413"/>
      <c r="B101" s="46"/>
      <c r="C101" s="47" t="str">
        <f>IF(D101&lt;&gt;"","▪","")</f>
        <v>▪</v>
      </c>
      <c r="D101" s="498" t="s">
        <v>67</v>
      </c>
    </row>
    <row r="102" spans="1:4" ht="15" x14ac:dyDescent="0.25">
      <c r="A102" s="413"/>
      <c r="B102" s="46" t="s">
        <v>20</v>
      </c>
      <c r="C102" s="46"/>
      <c r="D102" s="498"/>
    </row>
    <row r="103" spans="1:4" ht="15" x14ac:dyDescent="0.25">
      <c r="A103" s="413"/>
      <c r="B103" s="46"/>
      <c r="C103" s="47" t="str">
        <f>IF(D103&lt;&gt;"","▪","")</f>
        <v>▪</v>
      </c>
      <c r="D103" s="498" t="s">
        <v>68</v>
      </c>
    </row>
    <row r="104" spans="1:4" ht="15" x14ac:dyDescent="0.25">
      <c r="A104" s="4"/>
      <c r="B104" s="46" t="s">
        <v>54</v>
      </c>
      <c r="C104" s="46"/>
      <c r="D104" s="498"/>
    </row>
    <row r="105" spans="1:4" ht="15" x14ac:dyDescent="0.25">
      <c r="A105" s="4"/>
      <c r="B105" s="46"/>
      <c r="C105" s="47" t="str">
        <f>IF(D105&lt;&gt;"","▪","")</f>
        <v>▪</v>
      </c>
      <c r="D105" s="498" t="s">
        <v>69</v>
      </c>
    </row>
    <row r="106" spans="1:4" ht="15" x14ac:dyDescent="0.25">
      <c r="A106" s="4"/>
      <c r="B106" s="46"/>
      <c r="C106" s="47" t="str">
        <f>IF(D106&lt;&gt;"","▪","")</f>
        <v>▪</v>
      </c>
      <c r="D106" s="498" t="s">
        <v>70</v>
      </c>
    </row>
    <row r="107" spans="1:4" ht="15" x14ac:dyDescent="0.25">
      <c r="A107" s="4"/>
      <c r="B107" s="46" t="s">
        <v>71</v>
      </c>
      <c r="C107" s="46"/>
      <c r="D107" s="498"/>
    </row>
    <row r="108" spans="1:4" ht="15" x14ac:dyDescent="0.25">
      <c r="A108" s="4"/>
      <c r="B108" s="46"/>
      <c r="C108" s="47" t="str">
        <f>IF(D108&lt;&gt;"","▪","")</f>
        <v>▪</v>
      </c>
      <c r="D108" s="498" t="s">
        <v>72</v>
      </c>
    </row>
    <row r="109" spans="1:4" ht="15" x14ac:dyDescent="0.25">
      <c r="A109" s="4"/>
      <c r="B109" s="46"/>
      <c r="C109" s="47" t="str">
        <f>IF(D109&lt;&gt;"","▪","")</f>
        <v>▪</v>
      </c>
      <c r="D109" s="498" t="s">
        <v>73</v>
      </c>
    </row>
    <row r="110" spans="1:4" ht="15" x14ac:dyDescent="0.25">
      <c r="A110" s="4"/>
      <c r="B110" s="46"/>
      <c r="C110" s="47" t="str">
        <f>IF(D110&lt;&gt;"","▪","")</f>
        <v>▪</v>
      </c>
      <c r="D110" s="498" t="s">
        <v>74</v>
      </c>
    </row>
    <row r="111" spans="1:4" ht="15" x14ac:dyDescent="0.25">
      <c r="A111" s="4"/>
      <c r="B111" s="46" t="s">
        <v>17</v>
      </c>
      <c r="C111" s="46"/>
      <c r="D111" s="498"/>
    </row>
    <row r="112" spans="1:4" ht="15" x14ac:dyDescent="0.25">
      <c r="A112" s="4"/>
      <c r="B112" s="46"/>
      <c r="C112" s="47" t="str">
        <f>IF(D112&lt;&gt;"","▪","")</f>
        <v>▪</v>
      </c>
      <c r="D112" s="498" t="s">
        <v>75</v>
      </c>
    </row>
    <row r="113" spans="1:4" ht="15" x14ac:dyDescent="0.25">
      <c r="A113" s="4"/>
      <c r="B113" s="46" t="s">
        <v>76</v>
      </c>
      <c r="C113" s="46"/>
      <c r="D113" s="498"/>
    </row>
    <row r="114" spans="1:4" ht="15" x14ac:dyDescent="0.25">
      <c r="A114" s="4"/>
      <c r="B114" s="46"/>
      <c r="C114" s="47" t="str">
        <f>IF(D114&lt;&gt;"","▪","")</f>
        <v>▪</v>
      </c>
      <c r="D114" s="498" t="s">
        <v>77</v>
      </c>
    </row>
    <row r="115" spans="1:4" ht="15" x14ac:dyDescent="0.25">
      <c r="A115" s="4"/>
      <c r="B115" s="46" t="s">
        <v>78</v>
      </c>
      <c r="C115" s="46"/>
      <c r="D115" s="498"/>
    </row>
    <row r="116" spans="1:4" ht="15" x14ac:dyDescent="0.25">
      <c r="A116" s="4"/>
      <c r="B116" s="46"/>
      <c r="C116" s="47" t="str">
        <f>IF(D116&lt;&gt;"","▪","")</f>
        <v>▪</v>
      </c>
      <c r="D116" s="498" t="s">
        <v>79</v>
      </c>
    </row>
    <row r="117" spans="1:4" ht="15" x14ac:dyDescent="0.25">
      <c r="A117" s="417"/>
      <c r="B117" s="476"/>
      <c r="C117" s="476"/>
      <c r="D117" s="501"/>
    </row>
    <row r="118" spans="1:4" ht="18.75" x14ac:dyDescent="0.3">
      <c r="A118" s="601" t="s">
        <v>80</v>
      </c>
      <c r="B118" s="602"/>
      <c r="C118" s="602"/>
      <c r="D118" s="603"/>
    </row>
    <row r="119" spans="1:4" ht="15" x14ac:dyDescent="0.25">
      <c r="A119" s="4"/>
      <c r="B119" s="46" t="s">
        <v>40</v>
      </c>
      <c r="C119" s="46"/>
      <c r="D119" s="498"/>
    </row>
    <row r="120" spans="1:4" ht="25.5" x14ac:dyDescent="0.25">
      <c r="A120" s="4"/>
      <c r="B120" s="46"/>
      <c r="C120" s="47" t="str">
        <f>IF(D120&lt;&gt;"","▪","")</f>
        <v>▪</v>
      </c>
      <c r="D120" s="498" t="s">
        <v>81</v>
      </c>
    </row>
    <row r="121" spans="1:4" ht="15" x14ac:dyDescent="0.25">
      <c r="A121" s="4"/>
      <c r="B121" s="46" t="s">
        <v>11</v>
      </c>
      <c r="C121" s="46"/>
      <c r="D121" s="498"/>
    </row>
    <row r="122" spans="1:4" ht="15" x14ac:dyDescent="0.25">
      <c r="A122" s="4"/>
      <c r="B122" s="46"/>
      <c r="C122" s="47" t="str">
        <f>IF(D122&lt;&gt;"","▪","")</f>
        <v>▪</v>
      </c>
      <c r="D122" s="498" t="s">
        <v>82</v>
      </c>
    </row>
    <row r="123" spans="1:4" ht="15" x14ac:dyDescent="0.25">
      <c r="A123" s="4"/>
      <c r="B123" s="46" t="s">
        <v>23</v>
      </c>
      <c r="C123" s="46"/>
      <c r="D123" s="498"/>
    </row>
    <row r="124" spans="1:4" ht="15" x14ac:dyDescent="0.25">
      <c r="A124" s="4"/>
      <c r="B124" s="46"/>
      <c r="C124" s="47" t="str">
        <f>IF(D124&lt;&gt;"","▪","")</f>
        <v>▪</v>
      </c>
      <c r="D124" s="498" t="s">
        <v>83</v>
      </c>
    </row>
    <row r="125" spans="1:4" ht="15" x14ac:dyDescent="0.25">
      <c r="A125" s="417"/>
      <c r="B125" s="476"/>
      <c r="C125" s="476"/>
      <c r="D125" s="501"/>
    </row>
    <row r="126" spans="1:4" ht="18.75" x14ac:dyDescent="0.3">
      <c r="A126" s="601" t="s">
        <v>931</v>
      </c>
      <c r="B126" s="602"/>
      <c r="C126" s="602"/>
      <c r="D126" s="603"/>
    </row>
    <row r="127" spans="1:4" ht="15" x14ac:dyDescent="0.25">
      <c r="A127" s="4"/>
      <c r="B127" s="46" t="s">
        <v>2</v>
      </c>
      <c r="C127" s="46"/>
      <c r="D127" s="498"/>
    </row>
    <row r="128" spans="1:4" ht="15" x14ac:dyDescent="0.25">
      <c r="A128" s="4"/>
      <c r="B128" s="46"/>
      <c r="C128" s="47" t="str">
        <f>IF(D128&lt;&gt;"","▪","")</f>
        <v>▪</v>
      </c>
      <c r="D128" s="498" t="s">
        <v>932</v>
      </c>
    </row>
    <row r="129" spans="1:4" ht="15" x14ac:dyDescent="0.25">
      <c r="A129" s="417"/>
      <c r="B129" s="476"/>
      <c r="C129" s="476"/>
      <c r="D129" s="501"/>
    </row>
    <row r="130" spans="1:4" ht="18.75" x14ac:dyDescent="0.3">
      <c r="A130" s="601" t="s">
        <v>933</v>
      </c>
      <c r="B130" s="602"/>
      <c r="C130" s="602"/>
      <c r="D130" s="603"/>
    </row>
    <row r="131" spans="1:4" ht="15" x14ac:dyDescent="0.25">
      <c r="A131" s="4"/>
      <c r="B131" s="46" t="s">
        <v>40</v>
      </c>
      <c r="C131" s="46"/>
      <c r="D131" s="498"/>
    </row>
    <row r="132" spans="1:4" ht="15" x14ac:dyDescent="0.25">
      <c r="A132" s="4"/>
      <c r="B132" s="46"/>
      <c r="C132" s="47" t="str">
        <f>IF(D132&lt;&gt;"","▪","")</f>
        <v>▪</v>
      </c>
      <c r="D132" s="498" t="s">
        <v>935</v>
      </c>
    </row>
    <row r="133" spans="1:4" ht="15" x14ac:dyDescent="0.25">
      <c r="A133" s="4"/>
      <c r="B133" s="46"/>
      <c r="C133" s="47" t="str">
        <f>IF(D133&lt;&gt;"","▪","")</f>
        <v>▪</v>
      </c>
      <c r="D133" s="498" t="s">
        <v>938</v>
      </c>
    </row>
    <row r="134" spans="1:4" ht="15" x14ac:dyDescent="0.25">
      <c r="A134" s="4"/>
      <c r="B134" s="46" t="s">
        <v>71</v>
      </c>
      <c r="C134" s="46"/>
      <c r="D134" s="498"/>
    </row>
    <row r="135" spans="1:4" ht="15" x14ac:dyDescent="0.25">
      <c r="A135" s="413"/>
      <c r="B135" s="46"/>
      <c r="C135" s="47" t="str">
        <f>IF(D135&lt;&gt;"","▪","")</f>
        <v>▪</v>
      </c>
      <c r="D135" s="498" t="s">
        <v>936</v>
      </c>
    </row>
    <row r="136" spans="1:4" ht="15" x14ac:dyDescent="0.25">
      <c r="A136" s="4"/>
      <c r="B136" s="46" t="s">
        <v>17</v>
      </c>
      <c r="C136" s="46"/>
      <c r="D136" s="498"/>
    </row>
    <row r="137" spans="1:4" ht="15" x14ac:dyDescent="0.2">
      <c r="A137" s="413"/>
      <c r="C137" s="47" t="str">
        <f>IF(D137&lt;&gt;"","▪","")</f>
        <v>▪</v>
      </c>
      <c r="D137" s="498" t="s">
        <v>934</v>
      </c>
    </row>
    <row r="138" spans="1:4" ht="15" x14ac:dyDescent="0.25">
      <c r="A138" s="417"/>
      <c r="B138" s="476"/>
      <c r="C138" s="476"/>
      <c r="D138" s="501"/>
    </row>
    <row r="139" spans="1:4" ht="18.75" x14ac:dyDescent="0.3">
      <c r="A139" s="601" t="s">
        <v>944</v>
      </c>
      <c r="B139" s="602"/>
      <c r="C139" s="602"/>
      <c r="D139" s="603"/>
    </row>
    <row r="140" spans="1:4" ht="15" x14ac:dyDescent="0.25">
      <c r="A140" s="4"/>
      <c r="B140" s="46" t="s">
        <v>40</v>
      </c>
      <c r="C140" s="46"/>
      <c r="D140" s="498"/>
    </row>
    <row r="141" spans="1:4" ht="25.5" x14ac:dyDescent="0.25">
      <c r="A141" s="4"/>
      <c r="B141" s="46"/>
      <c r="C141" s="47" t="str">
        <f>IF(D141&lt;&gt;"","▪","")</f>
        <v>▪</v>
      </c>
      <c r="D141" s="498" t="s">
        <v>949</v>
      </c>
    </row>
    <row r="142" spans="1:4" ht="15" x14ac:dyDescent="0.25">
      <c r="A142" s="4"/>
      <c r="B142" s="46" t="s">
        <v>23</v>
      </c>
      <c r="C142" s="46"/>
      <c r="D142" s="498"/>
    </row>
    <row r="143" spans="1:4" ht="15" x14ac:dyDescent="0.25">
      <c r="A143" s="413"/>
      <c r="B143" s="46"/>
      <c r="C143" s="47" t="str">
        <f>IF(D143&lt;&gt;"","▪","")</f>
        <v>▪</v>
      </c>
      <c r="D143" s="498" t="s">
        <v>945</v>
      </c>
    </row>
    <row r="144" spans="1:4" ht="15" x14ac:dyDescent="0.25">
      <c r="A144" s="4"/>
      <c r="B144" s="46" t="s">
        <v>11</v>
      </c>
      <c r="C144" s="46"/>
      <c r="D144" s="498"/>
    </row>
    <row r="145" spans="1:4" ht="15" x14ac:dyDescent="0.2">
      <c r="A145" s="413"/>
      <c r="C145" s="47" t="str">
        <f>IF(D145&lt;&gt;"","▪","")</f>
        <v>▪</v>
      </c>
      <c r="D145" s="498" t="s">
        <v>945</v>
      </c>
    </row>
    <row r="146" spans="1:4" ht="15" x14ac:dyDescent="0.25">
      <c r="A146" s="4"/>
      <c r="B146" s="46" t="s">
        <v>49</v>
      </c>
      <c r="C146" s="46"/>
      <c r="D146" s="498"/>
    </row>
    <row r="147" spans="1:4" ht="15" x14ac:dyDescent="0.2">
      <c r="A147" s="413"/>
      <c r="C147" s="47" t="str">
        <f>IF(D147&lt;&gt;"","▪","")</f>
        <v>▪</v>
      </c>
      <c r="D147" s="498" t="s">
        <v>946</v>
      </c>
    </row>
    <row r="148" spans="1:4" ht="15" x14ac:dyDescent="0.25">
      <c r="A148" s="4"/>
      <c r="B148" s="46" t="s">
        <v>20</v>
      </c>
      <c r="C148" s="46"/>
      <c r="D148" s="498"/>
    </row>
    <row r="149" spans="1:4" ht="15" x14ac:dyDescent="0.2">
      <c r="A149" s="413"/>
      <c r="C149" s="47" t="str">
        <f>IF(D149&lt;&gt;"","▪","")</f>
        <v>▪</v>
      </c>
      <c r="D149" s="498" t="s">
        <v>945</v>
      </c>
    </row>
    <row r="150" spans="1:4" ht="15" x14ac:dyDescent="0.25">
      <c r="A150" s="4"/>
      <c r="B150" s="46" t="s">
        <v>54</v>
      </c>
      <c r="C150" s="46"/>
      <c r="D150" s="498"/>
    </row>
    <row r="151" spans="1:4" ht="15" x14ac:dyDescent="0.2">
      <c r="A151" s="413"/>
      <c r="C151" s="47" t="str">
        <f>IF(D151&lt;&gt;"","▪","")</f>
        <v>▪</v>
      </c>
      <c r="D151" s="498" t="s">
        <v>947</v>
      </c>
    </row>
    <row r="152" spans="1:4" ht="15" x14ac:dyDescent="0.25">
      <c r="A152" s="4"/>
      <c r="B152" s="46" t="s">
        <v>71</v>
      </c>
      <c r="C152" s="46"/>
      <c r="D152" s="498"/>
    </row>
    <row r="153" spans="1:4" ht="15" x14ac:dyDescent="0.2">
      <c r="A153" s="413"/>
      <c r="C153" s="47" t="str">
        <f>IF(D153&lt;&gt;"","▪","")</f>
        <v>▪</v>
      </c>
      <c r="D153" s="498" t="s">
        <v>948</v>
      </c>
    </row>
    <row r="154" spans="1:4" ht="15" x14ac:dyDescent="0.25">
      <c r="A154" s="417"/>
      <c r="B154" s="476"/>
      <c r="C154" s="476"/>
      <c r="D154" s="501"/>
    </row>
    <row r="155" spans="1:4" ht="18.75" x14ac:dyDescent="0.3">
      <c r="A155" s="601" t="s">
        <v>951</v>
      </c>
      <c r="B155" s="602"/>
      <c r="C155" s="602"/>
      <c r="D155" s="603"/>
    </row>
    <row r="156" spans="1:4" ht="15" x14ac:dyDescent="0.25">
      <c r="A156" s="4"/>
      <c r="B156" s="46" t="s">
        <v>2</v>
      </c>
      <c r="C156" s="46"/>
      <c r="D156" s="498"/>
    </row>
    <row r="157" spans="1:4" ht="15" x14ac:dyDescent="0.25">
      <c r="A157" s="4"/>
      <c r="B157" s="46"/>
      <c r="C157" s="47" t="str">
        <f>IF(D157&lt;&gt;"","▪","")</f>
        <v>▪</v>
      </c>
      <c r="D157" s="498" t="s">
        <v>986</v>
      </c>
    </row>
    <row r="158" spans="1:4" ht="15" x14ac:dyDescent="0.25">
      <c r="A158" s="4"/>
      <c r="B158" s="46" t="s">
        <v>40</v>
      </c>
      <c r="C158" s="46"/>
      <c r="D158" s="498"/>
    </row>
    <row r="159" spans="1:4" ht="25.5" x14ac:dyDescent="0.25">
      <c r="A159" s="4"/>
      <c r="B159" s="46"/>
      <c r="C159" s="47" t="str">
        <f>IF(D159&lt;&gt;"","▪","")</f>
        <v>▪</v>
      </c>
      <c r="D159" s="498" t="s">
        <v>987</v>
      </c>
    </row>
    <row r="160" spans="1:4" ht="25.5" x14ac:dyDescent="0.25">
      <c r="A160" s="4"/>
      <c r="B160" s="46"/>
      <c r="C160" s="47" t="str">
        <f>IF(D160&lt;&gt;"","▪","")</f>
        <v>▪</v>
      </c>
      <c r="D160" s="498" t="s">
        <v>993</v>
      </c>
    </row>
    <row r="161" spans="1:4" ht="38.25" x14ac:dyDescent="0.25">
      <c r="A161" s="4"/>
      <c r="B161" s="46"/>
      <c r="C161" s="47" t="str">
        <f>IF(D161&lt;&gt;"","▪","")</f>
        <v>▪</v>
      </c>
      <c r="D161" s="498" t="s">
        <v>953</v>
      </c>
    </row>
    <row r="162" spans="1:4" ht="15" x14ac:dyDescent="0.25">
      <c r="A162" s="4"/>
      <c r="B162" s="46" t="s">
        <v>11</v>
      </c>
      <c r="C162" s="46"/>
      <c r="D162" s="498"/>
    </row>
    <row r="163" spans="1:4" ht="15" x14ac:dyDescent="0.2">
      <c r="A163" s="413"/>
      <c r="C163" s="47" t="str">
        <f>IF(D163&lt;&gt;"","▪","")</f>
        <v>▪</v>
      </c>
      <c r="D163" s="498" t="s">
        <v>983</v>
      </c>
    </row>
    <row r="164" spans="1:4" ht="15" x14ac:dyDescent="0.2">
      <c r="A164" s="413"/>
      <c r="C164" s="47" t="str">
        <f>IF(D164&lt;&gt;"","▪","")</f>
        <v>▪</v>
      </c>
      <c r="D164" s="498" t="s">
        <v>952</v>
      </c>
    </row>
    <row r="165" spans="1:4" ht="15" x14ac:dyDescent="0.2">
      <c r="A165" s="413"/>
      <c r="C165" s="47" t="str">
        <f>IF(D165&lt;&gt;"","▪","")</f>
        <v>▪</v>
      </c>
      <c r="D165" s="498" t="s">
        <v>997</v>
      </c>
    </row>
    <row r="166" spans="1:4" ht="15" x14ac:dyDescent="0.2">
      <c r="A166" s="413"/>
      <c r="C166" s="47" t="str">
        <f>IF(D166&lt;&gt;"","▪","")</f>
        <v>▪</v>
      </c>
      <c r="D166" s="498" t="s">
        <v>988</v>
      </c>
    </row>
    <row r="167" spans="1:4" ht="15" x14ac:dyDescent="0.2">
      <c r="A167" s="413"/>
      <c r="C167" s="47" t="str">
        <f>IF(D167&lt;&gt;"","▪","")</f>
        <v>▪</v>
      </c>
      <c r="D167" s="498" t="s">
        <v>989</v>
      </c>
    </row>
    <row r="168" spans="1:4" ht="15" x14ac:dyDescent="0.25">
      <c r="A168" s="4"/>
      <c r="B168" s="46" t="s">
        <v>20</v>
      </c>
      <c r="C168" s="46"/>
      <c r="D168" s="498"/>
    </row>
    <row r="169" spans="1:4" ht="25.5" x14ac:dyDescent="0.2">
      <c r="A169" s="413"/>
      <c r="C169" s="47" t="str">
        <f>IF(D169&lt;&gt;"","▪","")</f>
        <v>▪</v>
      </c>
      <c r="D169" s="498" t="s">
        <v>990</v>
      </c>
    </row>
    <row r="170" spans="1:4" ht="15" x14ac:dyDescent="0.2">
      <c r="A170" s="413"/>
      <c r="C170" s="47" t="str">
        <f t="shared" ref="C170:C171" si="2">IF(D170&lt;&gt;"","▪","")</f>
        <v>▪</v>
      </c>
      <c r="D170" s="498" t="s">
        <v>991</v>
      </c>
    </row>
    <row r="171" spans="1:4" ht="15" x14ac:dyDescent="0.2">
      <c r="A171" s="413"/>
      <c r="C171" s="47" t="str">
        <f t="shared" si="2"/>
        <v>▪</v>
      </c>
      <c r="D171" s="498" t="s">
        <v>992</v>
      </c>
    </row>
    <row r="172" spans="1:4" ht="15" x14ac:dyDescent="0.25">
      <c r="A172" s="4"/>
      <c r="B172" s="46" t="s">
        <v>54</v>
      </c>
      <c r="C172" s="46"/>
      <c r="D172" s="498"/>
    </row>
    <row r="173" spans="1:4" ht="15" x14ac:dyDescent="0.2">
      <c r="A173" s="413"/>
      <c r="C173" s="47" t="str">
        <f>IF(D173&lt;&gt;"","▪","")</f>
        <v>▪</v>
      </c>
      <c r="D173" s="498" t="s">
        <v>947</v>
      </c>
    </row>
    <row r="174" spans="1:4" ht="15" x14ac:dyDescent="0.25">
      <c r="A174" s="4"/>
      <c r="B174" s="46" t="s">
        <v>76</v>
      </c>
      <c r="C174" s="46"/>
      <c r="D174" s="498"/>
    </row>
    <row r="175" spans="1:4" ht="15" x14ac:dyDescent="0.2">
      <c r="A175" s="413"/>
      <c r="C175" s="47" t="str">
        <f>IF(D175&lt;&gt;"","▪","")</f>
        <v>▪</v>
      </c>
      <c r="D175" s="498" t="s">
        <v>984</v>
      </c>
    </row>
    <row r="176" spans="1:4" ht="15" x14ac:dyDescent="0.25">
      <c r="A176" s="4"/>
      <c r="B176" s="46" t="s">
        <v>17</v>
      </c>
      <c r="C176" s="46"/>
      <c r="D176" s="498"/>
    </row>
    <row r="177" spans="1:4" ht="15" x14ac:dyDescent="0.2">
      <c r="A177" s="413"/>
      <c r="C177" s="47" t="str">
        <f>IF(D177&lt;&gt;"","▪","")</f>
        <v>▪</v>
      </c>
      <c r="D177" s="498" t="s">
        <v>985</v>
      </c>
    </row>
    <row r="178" spans="1:4" ht="15" x14ac:dyDescent="0.25">
      <c r="A178" s="417"/>
      <c r="B178" s="476"/>
      <c r="C178" s="476"/>
      <c r="D178" s="501"/>
    </row>
    <row r="179" spans="1:4" ht="18.75" x14ac:dyDescent="0.3">
      <c r="A179" s="601" t="s">
        <v>998</v>
      </c>
      <c r="B179" s="602"/>
      <c r="C179" s="602"/>
      <c r="D179" s="603"/>
    </row>
    <row r="180" spans="1:4" ht="15" x14ac:dyDescent="0.25">
      <c r="A180" s="4"/>
      <c r="B180" s="46" t="s">
        <v>2</v>
      </c>
      <c r="C180" s="46"/>
      <c r="D180" s="498"/>
    </row>
    <row r="181" spans="1:4" ht="15" x14ac:dyDescent="0.25">
      <c r="A181" s="4"/>
      <c r="B181" s="46"/>
      <c r="C181" s="47" t="str">
        <f>IF(D181&lt;&gt;"","▪","")</f>
        <v>▪</v>
      </c>
      <c r="D181" s="498" t="s">
        <v>999</v>
      </c>
    </row>
    <row r="182" spans="1:4" ht="15" x14ac:dyDescent="0.25">
      <c r="A182" s="4"/>
      <c r="B182" s="46" t="s">
        <v>40</v>
      </c>
      <c r="C182" s="46"/>
      <c r="D182" s="498"/>
    </row>
    <row r="183" spans="1:4" ht="15" x14ac:dyDescent="0.25">
      <c r="A183" s="4"/>
      <c r="B183" s="46"/>
      <c r="C183" s="47" t="str">
        <f>IF(D183&lt;&gt;"","▪","")</f>
        <v>▪</v>
      </c>
      <c r="D183" s="498" t="s">
        <v>1000</v>
      </c>
    </row>
    <row r="184" spans="1:4" ht="15" x14ac:dyDescent="0.25">
      <c r="A184" s="4"/>
      <c r="B184" s="46"/>
      <c r="C184" s="47" t="str">
        <f>IF(D184&lt;&gt;"","▪","")</f>
        <v>▪</v>
      </c>
      <c r="D184" s="498" t="s">
        <v>1001</v>
      </c>
    </row>
    <row r="185" spans="1:4" ht="15" x14ac:dyDescent="0.25">
      <c r="A185" s="417"/>
      <c r="B185" s="476"/>
      <c r="C185" s="476"/>
      <c r="D185" s="501"/>
    </row>
    <row r="186" spans="1:4" ht="18.75" x14ac:dyDescent="0.3">
      <c r="A186" s="601" t="s">
        <v>1002</v>
      </c>
      <c r="B186" s="602"/>
      <c r="C186" s="602"/>
      <c r="D186" s="603"/>
    </row>
    <row r="187" spans="1:4" ht="15" x14ac:dyDescent="0.25">
      <c r="A187" s="4"/>
      <c r="B187" s="46" t="s">
        <v>11</v>
      </c>
      <c r="C187" s="46"/>
      <c r="D187" s="498"/>
    </row>
    <row r="188" spans="1:4" ht="15" x14ac:dyDescent="0.25">
      <c r="A188" s="4"/>
      <c r="B188" s="46"/>
      <c r="C188" s="47" t="str">
        <f>IF(D188&lt;&gt;"","▪","")</f>
        <v>▪</v>
      </c>
      <c r="D188" s="498" t="s">
        <v>1003</v>
      </c>
    </row>
    <row r="189" spans="1:4" ht="15" x14ac:dyDescent="0.25">
      <c r="A189" s="417"/>
      <c r="B189" s="476"/>
      <c r="C189" s="476"/>
      <c r="D189" s="501"/>
    </row>
    <row r="190" spans="1:4" ht="18.75" x14ac:dyDescent="0.3">
      <c r="A190" s="601" t="s">
        <v>1005</v>
      </c>
      <c r="B190" s="602"/>
      <c r="C190" s="602"/>
      <c r="D190" s="603"/>
    </row>
    <row r="191" spans="1:4" ht="15" x14ac:dyDescent="0.25">
      <c r="A191" s="4"/>
      <c r="B191" s="46" t="s">
        <v>23</v>
      </c>
      <c r="C191" s="46"/>
      <c r="D191" s="498"/>
    </row>
    <row r="192" spans="1:4" ht="15" x14ac:dyDescent="0.25">
      <c r="A192" s="4"/>
      <c r="B192" s="46"/>
      <c r="C192" s="47" t="str">
        <f>IF(D192&lt;&gt;"","▪","")</f>
        <v>▪</v>
      </c>
      <c r="D192" s="498" t="s">
        <v>1006</v>
      </c>
    </row>
    <row r="193" spans="1:4" ht="15" x14ac:dyDescent="0.25">
      <c r="A193" s="417"/>
      <c r="B193" s="476"/>
      <c r="C193" s="476"/>
      <c r="D193" s="501"/>
    </row>
  </sheetData>
  <sheetProtection algorithmName="SHA-512" hashValue="bpB2KKm7PGxHxCrkPli1yniAlGkaKrTBc2A4XxAf4DG0SXiTZir3+TvbG70t6OvFbg5tQqbWeVqasXQDJJMA8Q==" saltValue="AgjVOVqELYUUoyrfa2Y9H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topLeftCell="C1"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3"/>
      <c r="B1" s="403"/>
      <c r="C1" s="403"/>
      <c r="D1" s="403"/>
      <c r="E1" s="403"/>
      <c r="F1" s="403"/>
      <c r="G1" s="403"/>
      <c r="H1" s="403"/>
      <c r="I1" s="403"/>
      <c r="J1" s="490" t="s">
        <v>84</v>
      </c>
      <c r="K1" s="509" t="b">
        <v>1</v>
      </c>
    </row>
    <row r="2" spans="1:15" ht="22.5" customHeight="1" x14ac:dyDescent="0.2">
      <c r="A2" s="403"/>
      <c r="B2" s="405"/>
      <c r="C2" s="405"/>
      <c r="D2" s="405"/>
      <c r="E2" s="695" t="str">
        <f>CHOOSE(MATCH(Objeto,{"PM","PO"}),"PLANILHA MÚLTIPLA ","PLANILHA ORÇAMENTÁRIA ")&amp; Versao</f>
        <v>PLANILHA MÚLTIPLA v3.16</v>
      </c>
      <c r="F2" s="695"/>
      <c r="G2" s="695"/>
      <c r="H2" s="407"/>
      <c r="I2" s="405"/>
      <c r="J2" s="490" t="s">
        <v>1004</v>
      </c>
      <c r="K2" s="509" t="b">
        <v>1</v>
      </c>
    </row>
    <row r="3" spans="1:15" ht="22.5" customHeight="1" x14ac:dyDescent="0.2">
      <c r="A3" s="403"/>
      <c r="B3" s="405"/>
      <c r="C3" s="405"/>
      <c r="D3" s="405"/>
      <c r="E3" s="695"/>
      <c r="F3" s="695"/>
      <c r="G3" s="695"/>
      <c r="H3" s="407"/>
      <c r="I3" s="405"/>
      <c r="O3" s="605">
        <v>1</v>
      </c>
    </row>
    <row r="4" spans="1:15" ht="17.100000000000001" customHeight="1" x14ac:dyDescent="0.2">
      <c r="A4" s="403"/>
      <c r="B4" s="405"/>
      <c r="C4" s="405"/>
      <c r="D4" s="405"/>
      <c r="E4" s="405"/>
      <c r="F4" s="406"/>
      <c r="G4" s="407"/>
      <c r="H4" s="407"/>
      <c r="I4" s="405"/>
      <c r="J4" s="150" t="str">
        <f>IF(VALUE(MENU!$O$4)=2,"BM","PLE")</f>
        <v>PLE</v>
      </c>
      <c r="O4" s="605">
        <v>1</v>
      </c>
    </row>
    <row r="5" spans="1:15" ht="17.100000000000001" customHeight="1" thickBot="1" x14ac:dyDescent="0.25">
      <c r="A5" s="403"/>
      <c r="B5" s="405"/>
      <c r="C5" s="405"/>
      <c r="D5" s="405"/>
      <c r="E5" s="405"/>
      <c r="F5" s="406"/>
      <c r="G5" s="407"/>
      <c r="H5" s="407"/>
      <c r="I5" s="405"/>
      <c r="J5" s="150" t="s">
        <v>85</v>
      </c>
    </row>
    <row r="6" spans="1:15" ht="21" customHeight="1" thickBot="1" x14ac:dyDescent="0.25">
      <c r="A6" s="403"/>
      <c r="B6" s="403"/>
      <c r="C6" s="403"/>
      <c r="D6" s="403"/>
      <c r="E6" s="508" t="s">
        <v>86</v>
      </c>
      <c r="F6" s="404"/>
      <c r="G6" s="508" t="s">
        <v>87</v>
      </c>
      <c r="H6" s="403"/>
      <c r="I6" s="403"/>
      <c r="J6" s="150" t="s">
        <v>88</v>
      </c>
    </row>
    <row r="7" spans="1:15" x14ac:dyDescent="0.2">
      <c r="A7" s="403"/>
      <c r="B7" s="403"/>
      <c r="C7" s="403"/>
      <c r="D7" s="403"/>
      <c r="E7" s="403"/>
      <c r="F7" s="403"/>
      <c r="G7" s="403"/>
      <c r="H7" s="403"/>
      <c r="I7" s="403"/>
      <c r="J7" s="150" t="s">
        <v>76</v>
      </c>
      <c r="K7" s="606"/>
      <c r="L7" s="607"/>
      <c r="M7" s="607"/>
      <c r="N7" s="608"/>
    </row>
    <row r="8" spans="1:15" ht="21" customHeight="1" x14ac:dyDescent="0.2">
      <c r="A8" s="405"/>
      <c r="B8" s="694" t="str">
        <f>IF($O$3&lt;&gt;2,"DOCUMENTAÇÃO DA PROPOSTA","PROPOSTA: Para visualizar/preencher esta seção, altere o TIPO DE ORÇAMENTO para 'Proposto'")</f>
        <v>DOCUMENTAÇÃO DA PROPOSTA</v>
      </c>
      <c r="C8" s="694"/>
      <c r="D8" s="694"/>
      <c r="E8" s="694"/>
      <c r="F8" s="694"/>
      <c r="G8" s="694"/>
      <c r="H8" s="694"/>
      <c r="I8" s="403"/>
      <c r="J8" s="150" t="s">
        <v>78</v>
      </c>
      <c r="K8" s="411"/>
      <c r="L8" s="412" t="s">
        <v>89</v>
      </c>
      <c r="M8" s="412"/>
      <c r="N8" s="413"/>
    </row>
    <row r="9" spans="1:15" ht="13.5" thickBot="1" x14ac:dyDescent="0.25">
      <c r="A9" s="403"/>
      <c r="B9" s="403"/>
      <c r="C9" s="403"/>
      <c r="D9" s="403"/>
      <c r="E9" s="403"/>
      <c r="F9" s="403"/>
      <c r="G9" s="403"/>
      <c r="H9" s="403"/>
      <c r="I9" s="403"/>
      <c r="K9" s="411"/>
      <c r="L9" t="s">
        <v>90</v>
      </c>
      <c r="N9" s="413"/>
    </row>
    <row r="10" spans="1:15" ht="21" customHeight="1" thickBot="1" x14ac:dyDescent="0.25">
      <c r="A10" s="403"/>
      <c r="B10" s="403"/>
      <c r="C10" s="477" t="str" cm="1">
        <f t="array" ref="C10">IF(TIPOORCAMENTO&lt;&gt;"Proposto","","                    BDI                    ")</f>
        <v xml:space="preserve">                    BDI                    </v>
      </c>
      <c r="D10" s="404"/>
      <c r="E10" s="477" t="str" cm="1">
        <f t="array" ref="E10">IF(TIPOORCAMENTO&lt;&gt;"Proposto","","             ORÇAMENTO             ")</f>
        <v xml:space="preserve">             ORÇAMENTO             </v>
      </c>
      <c r="F10" s="404"/>
      <c r="G10" s="479" t="str" cm="1">
        <f t="array" ref="G10">IF(TIPOORCAMENTO&lt;&gt;"Proposto","","MEMÓRIA DE CÁLCULO / PLQ")</f>
        <v>MEMÓRIA DE CÁLCULO / PLQ</v>
      </c>
      <c r="H10" s="403"/>
      <c r="I10" s="403"/>
      <c r="K10" s="411"/>
      <c r="L10" s="5"/>
      <c r="M10" s="3"/>
      <c r="N10" s="414" t="s">
        <v>91</v>
      </c>
    </row>
    <row r="11" spans="1:15" ht="13.5" thickBot="1" x14ac:dyDescent="0.25">
      <c r="A11" s="403"/>
      <c r="B11" s="403"/>
      <c r="C11" s="404"/>
      <c r="D11" s="404"/>
      <c r="E11" s="404"/>
      <c r="F11" s="404"/>
      <c r="G11" s="404"/>
      <c r="H11" s="403"/>
      <c r="I11" s="403"/>
      <c r="K11" s="411"/>
      <c r="N11" s="413"/>
    </row>
    <row r="12" spans="1:15" ht="21" customHeight="1" thickBot="1" x14ac:dyDescent="0.25">
      <c r="A12" s="403"/>
      <c r="B12" s="403"/>
      <c r="C12" s="477" t="str" cm="1">
        <f t="array" ref="C12">IF(TIPOORCAMENTO&lt;&gt;"Proposto","","                    QCI                    ")</f>
        <v xml:space="preserve">                    QCI                    </v>
      </c>
      <c r="D12" s="404"/>
      <c r="E12" s="478" t="str" cm="1">
        <f t="array" ref="E12">IF(TIPOORCAMENTO&lt;&gt;"Proposto","","CRONOGRAMA FÍSICO-FINANCEIRO")</f>
        <v>CRONOGRAMA FÍSICO-FINANCEIRO</v>
      </c>
      <c r="F12" s="404"/>
      <c r="G12" s="404"/>
      <c r="H12" s="403"/>
      <c r="I12" s="403"/>
      <c r="K12" s="411"/>
      <c r="L12" s="6"/>
      <c r="M12" s="3"/>
      <c r="N12" s="414" t="s">
        <v>92</v>
      </c>
    </row>
    <row r="13" spans="1:15" x14ac:dyDescent="0.2">
      <c r="A13" s="403"/>
      <c r="B13" s="403"/>
      <c r="C13" s="403"/>
      <c r="D13" s="403"/>
      <c r="E13" s="403"/>
      <c r="F13" s="403"/>
      <c r="G13" s="403"/>
      <c r="H13" s="403"/>
      <c r="I13" s="403"/>
      <c r="K13" s="411"/>
      <c r="N13" s="413"/>
    </row>
    <row r="14" spans="1:15" x14ac:dyDescent="0.2">
      <c r="A14" s="403"/>
      <c r="B14" s="403"/>
      <c r="C14" s="403"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08-2026.xlsm.</v>
      </c>
      <c r="D14" s="403"/>
      <c r="E14" s="403"/>
      <c r="F14" s="403"/>
      <c r="G14" s="403"/>
      <c r="H14" s="403"/>
      <c r="I14" s="403"/>
      <c r="K14" s="411"/>
      <c r="N14" s="413"/>
    </row>
    <row r="15" spans="1:15" x14ac:dyDescent="0.2">
      <c r="A15" s="403"/>
      <c r="B15" s="403"/>
      <c r="C15" s="403"/>
      <c r="D15" s="403"/>
      <c r="E15" s="403"/>
      <c r="F15" s="403"/>
      <c r="G15" s="403"/>
      <c r="H15" s="403"/>
      <c r="I15" s="403"/>
      <c r="K15" s="411"/>
      <c r="L15" t="s">
        <v>93</v>
      </c>
      <c r="N15" s="413"/>
    </row>
    <row r="16" spans="1:15" ht="21" customHeight="1" x14ac:dyDescent="0.2">
      <c r="A16" s="403"/>
      <c r="B16" s="694" t="str">
        <f>IF($O$3&lt;&gt;2,"PÓS-LICITADO: Para visualizar/preencher esta seção, altere o TIPO DE ORÇAMENTO para 'Licitado'","RESULTADO DO PROCESSO LICITATÓRIO")</f>
        <v>PÓS-LICITADO: Para visualizar/preencher esta seção, altere o TIPO DE ORÇAMENTO para 'Licitado'</v>
      </c>
      <c r="C16" s="694"/>
      <c r="D16" s="694"/>
      <c r="E16" s="694"/>
      <c r="F16" s="694"/>
      <c r="G16" s="694"/>
      <c r="H16" s="694"/>
      <c r="I16" s="403"/>
      <c r="K16" s="411"/>
      <c r="L16" s="480"/>
      <c r="M16" s="3"/>
      <c r="N16" s="414" t="s">
        <v>94</v>
      </c>
    </row>
    <row r="17" spans="1:14" ht="13.5" thickBot="1" x14ac:dyDescent="0.25">
      <c r="A17" s="403"/>
      <c r="B17" s="403"/>
      <c r="C17" s="403"/>
      <c r="D17" s="403"/>
      <c r="E17" s="403"/>
      <c r="F17" s="403"/>
      <c r="G17" s="403"/>
      <c r="H17" s="403"/>
      <c r="I17" s="403"/>
      <c r="K17" s="411"/>
      <c r="N17" s="413"/>
    </row>
    <row r="18" spans="1:14" ht="21" customHeight="1" thickBot="1" x14ac:dyDescent="0.25">
      <c r="A18" s="403"/>
      <c r="B18" s="403"/>
      <c r="C18" s="477" t="str" cm="1">
        <f t="array" ref="C18">IF(TIPOORCAMENTO&lt;&gt;"Licitado","","             ORÇAMENTO             ")</f>
        <v/>
      </c>
      <c r="D18" s="404"/>
      <c r="E18" s="477" t="str" cm="1">
        <f t="array" ref="E18">IF(TIPOORCAMENTO&lt;&gt;"Licitado","","                    QCI                    ")</f>
        <v/>
      </c>
      <c r="F18" s="404"/>
      <c r="G18" s="478" t="str" cm="1">
        <f t="array" ref="G18">IF(TIPOORCAMENTO&lt;&gt;"Licitado","","CRONOGRAMA FÍSICO-FINANCEIRO")</f>
        <v/>
      </c>
      <c r="H18" s="403"/>
      <c r="I18" s="403"/>
      <c r="K18" s="411"/>
      <c r="L18" s="408"/>
      <c r="M18" s="3"/>
      <c r="N18" s="414" t="s">
        <v>95</v>
      </c>
    </row>
    <row r="19" spans="1:14" x14ac:dyDescent="0.2">
      <c r="A19" s="403"/>
      <c r="B19" s="403"/>
      <c r="C19" s="403"/>
      <c r="D19" s="403"/>
      <c r="E19" s="403"/>
      <c r="F19" s="403"/>
      <c r="G19" s="403"/>
      <c r="H19" s="403"/>
      <c r="I19" s="403"/>
      <c r="K19" s="415"/>
      <c r="L19" s="416"/>
      <c r="M19" s="416"/>
      <c r="N19" s="417"/>
    </row>
    <row r="20" spans="1:14" ht="21" customHeight="1" x14ac:dyDescent="0.2">
      <c r="A20" s="405"/>
      <c r="B20" s="694" t="str">
        <f>IF($O$3&lt;&gt;2,"ACOMPANHAMENTO: Para visualizar/preencher esta seção, altere o TIPO DE ORÇAMENTO para 'Licitado'","ACOMPANHAMENTO DO EMPREENDIMENTO")</f>
        <v>ACOMPANHAMENTO: Para visualizar/preencher esta seção, altere o TIPO DE ORÇAMENTO para 'Licitado'</v>
      </c>
      <c r="C20" s="694"/>
      <c r="D20" s="694"/>
      <c r="E20" s="694"/>
      <c r="F20" s="694"/>
      <c r="G20" s="694"/>
      <c r="H20" s="694"/>
      <c r="I20" s="403"/>
    </row>
    <row r="21" spans="1:14" ht="13.5" thickBot="1" x14ac:dyDescent="0.25">
      <c r="A21" s="403"/>
      <c r="B21" s="403"/>
      <c r="C21" s="403"/>
      <c r="D21" s="403"/>
      <c r="E21" s="403"/>
      <c r="F21" s="403"/>
      <c r="G21" s="403"/>
      <c r="H21" s="403"/>
      <c r="I21" s="403"/>
    </row>
    <row r="22" spans="1:14" ht="21" customHeight="1" thickBot="1" x14ac:dyDescent="0.25">
      <c r="A22" s="403"/>
      <c r="B22" s="403"/>
      <c r="C22" s="481" t="str" cm="1">
        <f t="array" ref="C22">IF(OR(TIPOORCAMENTO&lt;&gt;"Licitado",ACOMPANHAMENTO&lt;&gt;"PLE"),"","PLAN. DE LEVANT. DE EVENTOS - PLE")</f>
        <v/>
      </c>
      <c r="D22" s="404"/>
      <c r="E22" s="477" t="str" cm="1">
        <f t="array" ref="E22">IF(TIPOORCAMENTO&lt;&gt;"Licitado","","                    RRE                    ")</f>
        <v/>
      </c>
      <c r="F22" s="404"/>
      <c r="G22" s="479" t="str" cm="1">
        <f t="array" ref="G22">IF(OR(TIPOORCAMENTO&lt;&gt;"Licitado",ACOMPANHAMENTO&lt;&gt;"BM"),"","  BOLETIM DE MEDIÇÃO - BM  ")</f>
        <v/>
      </c>
      <c r="H22" s="403"/>
      <c r="I22" s="403"/>
    </row>
    <row r="23" spans="1:14" ht="13.5" thickBot="1" x14ac:dyDescent="0.25">
      <c r="A23" s="403"/>
      <c r="B23" s="403"/>
      <c r="C23" s="404"/>
      <c r="D23" s="404"/>
      <c r="E23" s="404"/>
      <c r="F23" s="404"/>
      <c r="G23" s="404"/>
      <c r="H23" s="403"/>
      <c r="I23" s="403"/>
    </row>
    <row r="24" spans="1:14" ht="21" customHeight="1" thickBot="1" x14ac:dyDescent="0.25">
      <c r="A24" s="403"/>
      <c r="B24" s="403"/>
      <c r="C24" s="404"/>
      <c r="D24" s="404"/>
      <c r="E24" s="481" t="str" cm="1">
        <f t="array" ref="E24">IF(TIPOORCAMENTO&lt;&gt;"Licitado","","OF. DE SOLICITAÇÃO DE DESBLOQUEIO")</f>
        <v/>
      </c>
      <c r="F24" s="404"/>
      <c r="G24" s="404"/>
      <c r="H24" s="403"/>
      <c r="I24" s="403"/>
    </row>
    <row r="25" spans="1:14" x14ac:dyDescent="0.2">
      <c r="A25" s="403"/>
      <c r="B25" s="403"/>
      <c r="C25" s="403"/>
      <c r="D25" s="403"/>
      <c r="E25" s="403"/>
      <c r="F25" s="403"/>
      <c r="G25" s="403"/>
      <c r="H25" s="403"/>
      <c r="I25" s="403"/>
    </row>
  </sheetData>
  <sheetProtection algorithmName="SHA-512" hashValue="he3D6ysiHf+83TV8BpewYOKS4cFun4Qb3eRAPwJR/4i+41UtwvOkEEFFmuuP4S5qJ0hGoC9rFkXU/a7STHXWCA==" saltValue="CssBv2WhQkj75XuHChGL1w==" spinCount="100000" sheet="1" objects="1" scenarios="1" autoFilter="0"/>
  <mergeCells count="4">
    <mergeCell ref="B20:H20"/>
    <mergeCell ref="B8:H8"/>
    <mergeCell ref="E2:G3"/>
    <mergeCell ref="B16:H16"/>
  </mergeCells>
  <phoneticPr fontId="38" type="noConversion"/>
  <conditionalFormatting sqref="B8:H8">
    <cfRule type="expression" dxfId="257" priority="601" stopIfTrue="1">
      <formula>$O$3&lt;&gt;1</formula>
    </cfRule>
  </conditionalFormatting>
  <conditionalFormatting sqref="B16:H16 B20:H20">
    <cfRule type="expression" dxfId="256" priority="599" stopIfTrue="1">
      <formula>$O$3&lt;&gt;2</formula>
    </cfRule>
  </conditionalFormatting>
  <conditionalFormatting sqref="C22">
    <cfRule type="expression" dxfId="255" priority="73" stopIfTrue="1">
      <formula>OR(TIPOORCAMENTO&lt;&gt;"Licitado",ACOMPANHAMENTO&lt;&gt;"PLE")</formula>
    </cfRule>
  </conditionalFormatting>
  <conditionalFormatting sqref="C10:G14">
    <cfRule type="expression" dxfId="254" priority="70" stopIfTrue="1">
      <formula>TIPOORCAMENTO="Licitado"</formula>
    </cfRule>
  </conditionalFormatting>
  <conditionalFormatting sqref="C18:G18 E22:E24">
    <cfRule type="expression" dxfId="253" priority="71" stopIfTrue="1">
      <formula>TIPOORCAMENTO&lt;&gt;"Licitado"</formula>
    </cfRule>
  </conditionalFormatting>
  <conditionalFormatting sqref="G22">
    <cfRule type="expression" dxfId="252" priority="74" stopIfTrue="1">
      <formula>OR(TIPOORCAMENTO&lt;&gt;"Licitado",ACOMPANHAMENTO&lt;&gt;"BM")</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9"/>
      <c r="N1" s="697" t="s">
        <v>97</v>
      </c>
      <c r="O1" s="697"/>
      <c r="P1" s="697"/>
      <c r="Q1" s="697"/>
      <c r="R1" s="697"/>
      <c r="S1" s="697"/>
      <c r="T1" s="697"/>
      <c r="U1" s="697"/>
      <c r="V1" s="697"/>
      <c r="W1" s="697"/>
      <c r="X1" s="697"/>
      <c r="Y1" s="697"/>
      <c r="Z1" s="697"/>
      <c r="AA1" s="697"/>
      <c r="AB1" s="697"/>
      <c r="AC1" s="697"/>
      <c r="AD1" s="697"/>
      <c r="AE1" s="697"/>
      <c r="AF1" s="697"/>
      <c r="AG1" s="697"/>
      <c r="AH1" s="697"/>
      <c r="AI1" s="697"/>
      <c r="AJ1" s="697"/>
      <c r="AK1" s="697"/>
      <c r="AL1" s="697"/>
      <c r="AM1" s="697"/>
      <c r="AN1" s="697"/>
      <c r="AO1" s="697"/>
      <c r="AP1" s="697"/>
      <c r="AQ1" s="697"/>
      <c r="AR1" s="697"/>
      <c r="AS1" s="697"/>
      <c r="AT1" s="697"/>
      <c r="AV1" s="610" t="s">
        <v>98</v>
      </c>
      <c r="AW1" s="611"/>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3" t="s">
        <v>118</v>
      </c>
    </row>
    <row r="3" spans="2:49" ht="15.75" thickBot="1" x14ac:dyDescent="0.3">
      <c r="B3" s="696" t="s">
        <v>119</v>
      </c>
      <c r="C3" s="696"/>
      <c r="D3" s="561"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2"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1012</v>
      </c>
      <c r="D5" s="562"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1007</v>
      </c>
      <c r="D6" s="562"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1033</v>
      </c>
      <c r="D7" s="562"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1034</v>
      </c>
      <c r="D8" s="562"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2870210</v>
      </c>
      <c r="D9" s="562" t="str">
        <f t="shared" ca="1" si="0"/>
        <v/>
      </c>
      <c r="I9" t="s">
        <v>973</v>
      </c>
      <c r="L9" s="12" t="s">
        <v>106</v>
      </c>
      <c r="U9" t="s">
        <v>198</v>
      </c>
      <c r="V9" s="7" t="s">
        <v>126</v>
      </c>
      <c r="W9" t="s">
        <v>199</v>
      </c>
      <c r="X9" s="7" t="s">
        <v>128</v>
      </c>
      <c r="AV9" t="s">
        <v>200</v>
      </c>
      <c r="AW9" t="s">
        <v>201</v>
      </c>
    </row>
    <row r="10" spans="2:49" x14ac:dyDescent="0.2">
      <c r="B10" s="17" t="s">
        <v>202</v>
      </c>
      <c r="C10" s="19">
        <v>221743.04</v>
      </c>
      <c r="D10" s="562" t="str">
        <f t="shared" ca="1" si="0"/>
        <v/>
      </c>
      <c r="L10" s="12" t="s">
        <v>107</v>
      </c>
      <c r="U10" t="s">
        <v>203</v>
      </c>
      <c r="V10" s="7" t="s">
        <v>148</v>
      </c>
      <c r="W10" t="s">
        <v>204</v>
      </c>
      <c r="X10" s="7" t="s">
        <v>121</v>
      </c>
      <c r="AV10" t="s">
        <v>205</v>
      </c>
      <c r="AW10" t="s">
        <v>206</v>
      </c>
    </row>
    <row r="11" spans="2:49" x14ac:dyDescent="0.2">
      <c r="B11" s="17" t="s">
        <v>207</v>
      </c>
      <c r="C11" s="20">
        <v>1E-3</v>
      </c>
      <c r="D11" s="562" t="str">
        <f t="shared" ca="1" si="0"/>
        <v/>
      </c>
      <c r="L11" s="12" t="s">
        <v>108</v>
      </c>
      <c r="U11" t="s">
        <v>208</v>
      </c>
      <c r="V11" s="7" t="s">
        <v>126</v>
      </c>
      <c r="AV11" t="s">
        <v>209</v>
      </c>
      <c r="AW11" t="s">
        <v>210</v>
      </c>
    </row>
    <row r="12" spans="2:49" x14ac:dyDescent="0.2">
      <c r="B12" s="17" t="s">
        <v>211</v>
      </c>
      <c r="C12" s="19">
        <v>119592.08</v>
      </c>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6" t="s">
        <v>220</v>
      </c>
      <c r="C15" s="696"/>
      <c r="D15" s="561" t="str">
        <f ca="1">IF(COUNTIF(D16:D19,"◄")=0,"","Falta preencher a linha "&amp;MATCH("◄",D16:D19,0)+ROW(D15))</f>
        <v/>
      </c>
      <c r="L15" s="12" t="s">
        <v>112</v>
      </c>
      <c r="AV15" t="s">
        <v>221</v>
      </c>
      <c r="AW15" t="s">
        <v>222</v>
      </c>
    </row>
    <row r="16" spans="2:49" x14ac:dyDescent="0.2">
      <c r="B16" s="24" t="s">
        <v>223</v>
      </c>
      <c r="C16" s="25" t="s">
        <v>1013</v>
      </c>
      <c r="D16" s="562" t="str">
        <f t="shared" ref="D16:D19" ca="1" si="1">IF(OFFSET(D16,0,-1)="","◄","")</f>
        <v/>
      </c>
      <c r="L16" s="12" t="s">
        <v>113</v>
      </c>
      <c r="AV16" t="s">
        <v>224</v>
      </c>
      <c r="AW16" t="s">
        <v>225</v>
      </c>
    </row>
    <row r="17" spans="2:49" ht="25.5" x14ac:dyDescent="0.2">
      <c r="B17" s="17" t="s">
        <v>226</v>
      </c>
      <c r="C17" s="26" t="s">
        <v>1014</v>
      </c>
      <c r="D17" s="562" t="str">
        <f t="shared" ca="1" si="1"/>
        <v/>
      </c>
      <c r="L17" s="12" t="s">
        <v>114</v>
      </c>
      <c r="AV17" t="s">
        <v>227</v>
      </c>
      <c r="AW17" t="s">
        <v>228</v>
      </c>
    </row>
    <row r="18" spans="2:49" x14ac:dyDescent="0.2">
      <c r="B18" s="17" t="s">
        <v>229</v>
      </c>
      <c r="C18" s="27" t="s">
        <v>966</v>
      </c>
      <c r="D18" s="562" t="str">
        <f ca="1">IF(OR(OFFSET(D18,0,-1)="",OFFSET(D18,0,-1)="(SELECIONAR)"),"◄","")</f>
        <v/>
      </c>
      <c r="L18" s="12" t="s">
        <v>115</v>
      </c>
      <c r="AV18" t="s">
        <v>230</v>
      </c>
      <c r="AW18" t="s">
        <v>231</v>
      </c>
    </row>
    <row r="19" spans="2:49" ht="13.5" thickBot="1" x14ac:dyDescent="0.25">
      <c r="B19" s="28" t="s">
        <v>232</v>
      </c>
      <c r="C19" s="29">
        <v>46235</v>
      </c>
      <c r="D19" s="562" t="str">
        <f t="shared" ca="1" si="1"/>
        <v/>
      </c>
      <c r="L19" s="12" t="s">
        <v>116</v>
      </c>
      <c r="AV19" t="s">
        <v>233</v>
      </c>
      <c r="AW19" t="s">
        <v>234</v>
      </c>
    </row>
    <row r="20" spans="2:49" ht="13.5" thickBot="1" x14ac:dyDescent="0.25">
      <c r="C20" s="30"/>
      <c r="L20" s="12"/>
      <c r="AV20" t="s">
        <v>235</v>
      </c>
      <c r="AW20" t="s">
        <v>236</v>
      </c>
    </row>
    <row r="21" spans="2:49" ht="15.75" thickBot="1" x14ac:dyDescent="0.3">
      <c r="B21" s="696" t="s">
        <v>237</v>
      </c>
      <c r="C21" s="696"/>
      <c r="D21" s="561" t="str">
        <f ca="1">IF(COUNTIF(D22:D25,"◄")=0,"","Falta preencher a linha "&amp;MATCH("◄",D22:D25,0)+ROW(D21))</f>
        <v/>
      </c>
      <c r="L21" s="12"/>
      <c r="AV21" t="s">
        <v>238</v>
      </c>
      <c r="AW21" t="s">
        <v>239</v>
      </c>
    </row>
    <row r="22" spans="2:49" x14ac:dyDescent="0.2">
      <c r="B22" s="15" t="s">
        <v>240</v>
      </c>
      <c r="C22" s="18" t="s">
        <v>1010</v>
      </c>
      <c r="D22" s="562" t="str">
        <f t="shared" ref="D22:D24" ca="1" si="2">IF(OFFSET(D22,0,-1)="","◄","")</f>
        <v/>
      </c>
      <c r="AV22" t="s">
        <v>241</v>
      </c>
      <c r="AW22" t="s">
        <v>242</v>
      </c>
    </row>
    <row r="23" spans="2:49" x14ac:dyDescent="0.2">
      <c r="B23" s="17" t="s">
        <v>243</v>
      </c>
      <c r="C23" s="675" t="s">
        <v>1011</v>
      </c>
      <c r="D23" s="562" t="str">
        <f t="shared" ca="1" si="2"/>
        <v/>
      </c>
      <c r="AV23" t="s">
        <v>244</v>
      </c>
      <c r="AW23" t="s">
        <v>245</v>
      </c>
    </row>
    <row r="24" spans="2:49" x14ac:dyDescent="0.2">
      <c r="B24" s="17" t="s">
        <v>246</v>
      </c>
      <c r="C24" s="18" t="s">
        <v>1049</v>
      </c>
      <c r="D24" s="562" t="str">
        <f t="shared" ca="1" si="2"/>
        <v/>
      </c>
      <c r="AV24" t="s">
        <v>247</v>
      </c>
      <c r="AW24" t="s">
        <v>248</v>
      </c>
    </row>
    <row r="25" spans="2:49" ht="13.5" thickBot="1" x14ac:dyDescent="0.25">
      <c r="B25" s="21" t="s">
        <v>249</v>
      </c>
      <c r="C25" s="31">
        <v>46295</v>
      </c>
      <c r="D25" s="562" t="s">
        <v>250</v>
      </c>
      <c r="AV25" t="s">
        <v>251</v>
      </c>
      <c r="AW25" t="s">
        <v>252</v>
      </c>
    </row>
    <row r="26" spans="2:49" ht="13.5" thickBot="1" x14ac:dyDescent="0.25">
      <c r="AV26" t="s">
        <v>253</v>
      </c>
      <c r="AW26" t="s">
        <v>254</v>
      </c>
    </row>
    <row r="27" spans="2:49" ht="15.75" thickBot="1" x14ac:dyDescent="0.3">
      <c r="B27" s="696" t="s">
        <v>255</v>
      </c>
      <c r="C27" s="696"/>
      <c r="D27" s="561" t="str">
        <f ca="1">IF(COUNTIF(D28:D29,"◄")=0,"","Falta preencher a linha "&amp;MATCH("◄",D28:D29,0)+ROW(D27))</f>
        <v/>
      </c>
      <c r="AV27" t="s">
        <v>256</v>
      </c>
      <c r="AW27" t="s">
        <v>257</v>
      </c>
    </row>
    <row r="28" spans="2:49" x14ac:dyDescent="0.2">
      <c r="B28" s="13" t="s">
        <v>240</v>
      </c>
      <c r="C28" s="32" t="s">
        <v>1008</v>
      </c>
      <c r="D28" s="562" t="str">
        <f t="shared" ref="D28:D29" ca="1" si="3">IF(OFFSET(D28,0,-1)="","◄","")</f>
        <v/>
      </c>
      <c r="AV28" t="s">
        <v>258</v>
      </c>
      <c r="AW28" t="s">
        <v>259</v>
      </c>
    </row>
    <row r="29" spans="2:49" ht="13.5" thickBot="1" x14ac:dyDescent="0.25">
      <c r="B29" s="21" t="s">
        <v>260</v>
      </c>
      <c r="C29" s="33" t="s">
        <v>1009</v>
      </c>
      <c r="D29" s="562" t="str">
        <f t="shared" ca="1" si="3"/>
        <v/>
      </c>
      <c r="AV29" t="s">
        <v>261</v>
      </c>
      <c r="AW29" t="s">
        <v>262</v>
      </c>
    </row>
    <row r="30" spans="2:49" ht="16.5" thickBot="1" x14ac:dyDescent="0.25">
      <c r="B30" s="8"/>
      <c r="AV30" t="s">
        <v>263</v>
      </c>
      <c r="AW30" t="s">
        <v>262</v>
      </c>
    </row>
    <row r="31" spans="2:49" ht="13.5" thickBot="1" x14ac:dyDescent="0.25">
      <c r="B31" s="473" t="s">
        <v>264</v>
      </c>
      <c r="C31" s="474" t="s">
        <v>950</v>
      </c>
      <c r="D31" s="562"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6" t="s">
        <v>273</v>
      </c>
      <c r="C35" s="696"/>
      <c r="D35" s="561" t="str">
        <f ca="1">IF(COUNTIF(D36:D39,"◄")=0,"","Falta preencher a linha "&amp;MATCH("◄",D36:D39,0)+ROW(D35))</f>
        <v/>
      </c>
      <c r="AV35" t="s">
        <v>274</v>
      </c>
      <c r="AW35" t="s">
        <v>275</v>
      </c>
    </row>
    <row r="36" spans="2:49" x14ac:dyDescent="0.2">
      <c r="B36" s="13" t="s">
        <v>276</v>
      </c>
      <c r="C36" s="34"/>
      <c r="D36" s="562" t="str" cm="1">
        <f t="array" aca="1" ref="D36" ca="1">IF(AND(TIPOORCAMENTO="Licitado",OFFSET(D36,0,-1)=""),"◄","")</f>
        <v/>
      </c>
      <c r="AV36" t="s">
        <v>277</v>
      </c>
      <c r="AW36" t="s">
        <v>278</v>
      </c>
    </row>
    <row r="37" spans="2:49" x14ac:dyDescent="0.2">
      <c r="B37" s="15" t="s">
        <v>279</v>
      </c>
      <c r="C37" s="16"/>
      <c r="D37" s="562" t="str" cm="1">
        <f t="array" aca="1" ref="D37" ca="1">IF(AND(TIPOORCAMENTO="Licitado",OFFSET(D37,0,-1)=""),"◄","")</f>
        <v/>
      </c>
      <c r="AV37" t="s">
        <v>280</v>
      </c>
      <c r="AW37" t="s">
        <v>281</v>
      </c>
    </row>
    <row r="38" spans="2:49" x14ac:dyDescent="0.2">
      <c r="B38" s="17" t="s">
        <v>282</v>
      </c>
      <c r="C38" s="18"/>
      <c r="D38" s="562" t="str" cm="1">
        <f t="array" aca="1" ref="D38" ca="1">IF(AND(TIPOORCAMENTO="Licitado",OFFSET(D38,0,-1)=""),"◄","")</f>
        <v/>
      </c>
      <c r="AV38" t="s">
        <v>283</v>
      </c>
      <c r="AW38" t="s">
        <v>284</v>
      </c>
    </row>
    <row r="39" spans="2:49" x14ac:dyDescent="0.2">
      <c r="B39" s="17" t="s">
        <v>285</v>
      </c>
      <c r="C39" s="18"/>
      <c r="D39" s="562" t="str" cm="1">
        <f t="array" aca="1" ref="D39" ca="1">IF(AND(TIPOORCAMENTO="Licitado",OFFSET(D39,0,-1)=""),"◄","")</f>
        <v/>
      </c>
      <c r="AV39" t="s">
        <v>286</v>
      </c>
      <c r="AW39" t="s">
        <v>287</v>
      </c>
    </row>
    <row r="40" spans="2:49" x14ac:dyDescent="0.2">
      <c r="B40" s="17" t="s">
        <v>288</v>
      </c>
      <c r="C40" s="27" t="s">
        <v>968</v>
      </c>
      <c r="D40" s="562" t="str" cm="1">
        <f t="array" aca="1" ref="D40" ca="1">IF(AND(TIPOORCAMENTO="Licitado",OR(OFFSET(D40,0,-1)="",OFFSET(D40,0,-1)="(SELECIONAR)")),"◄","")</f>
        <v/>
      </c>
      <c r="AV40" t="s">
        <v>289</v>
      </c>
      <c r="AW40" t="s">
        <v>290</v>
      </c>
    </row>
    <row r="41" spans="2:49" ht="13.5" thickBot="1" x14ac:dyDescent="0.25">
      <c r="B41" s="28" t="s">
        <v>291</v>
      </c>
      <c r="C41" s="35"/>
      <c r="D41" s="562"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6" t="s">
        <v>303</v>
      </c>
      <c r="C46" s="696"/>
      <c r="D46" s="561" t="str">
        <f ca="1">IF(COUNTIF(D47:D48,"◄")=0,"","Falta preencher a linha "&amp;MATCH("◄",D47:D48,0)+ROW(D46))</f>
        <v/>
      </c>
      <c r="AV46" t="s">
        <v>304</v>
      </c>
      <c r="AW46" t="s">
        <v>305</v>
      </c>
    </row>
    <row r="47" spans="2:49" x14ac:dyDescent="0.2">
      <c r="B47" s="13" t="s">
        <v>306</v>
      </c>
      <c r="C47" s="34"/>
      <c r="D47" s="562" t="str" cm="1">
        <f t="array" aca="1" ref="D47" ca="1">IF(AND(TIPOORCAMENTO="Licitado",OFFSET(D47,0,-1)="",IFERROR(RRE!$O$28,0)&gt;0),"◄","")</f>
        <v/>
      </c>
      <c r="AV47" t="s">
        <v>307</v>
      </c>
      <c r="AW47" t="s">
        <v>308</v>
      </c>
    </row>
    <row r="48" spans="2:49" ht="13.5" thickBot="1" x14ac:dyDescent="0.25">
      <c r="B48" s="28" t="s">
        <v>309</v>
      </c>
      <c r="C48" s="36"/>
      <c r="D48" s="562"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96" t="s">
        <v>314</v>
      </c>
      <c r="C50" s="696"/>
      <c r="D50" s="561" t="str">
        <f ca="1">IF(COUNTIF(D51:D54,"◄")=0,"","Falta preencher a linha "&amp;MATCH("◄",D51:D54,0)+ROW(D50))</f>
        <v/>
      </c>
      <c r="AV50" t="s">
        <v>315</v>
      </c>
      <c r="AW50" t="s">
        <v>316</v>
      </c>
    </row>
    <row r="51" spans="2:49" x14ac:dyDescent="0.2">
      <c r="B51" s="13" t="s">
        <v>240</v>
      </c>
      <c r="C51" s="37"/>
      <c r="D51" s="562" t="str" cm="1">
        <f t="array" aca="1" ref="D51" ca="1">IF(AND(TIPOORCAMENTO="Licitado",OFFSET(D51,0,-1)="",IFERROR(RRE!$O$28,0)&gt;0),"◄","")</f>
        <v/>
      </c>
      <c r="AV51" t="s">
        <v>317</v>
      </c>
      <c r="AW51" t="s">
        <v>318</v>
      </c>
    </row>
    <row r="52" spans="2:49" x14ac:dyDescent="0.2">
      <c r="B52" s="17" t="s">
        <v>319</v>
      </c>
      <c r="C52" s="18"/>
      <c r="D52" s="562" t="str" cm="1">
        <f t="array" aca="1" ref="D52" ca="1">IF(AND(TIPOORCAMENTO="Licitado",OFFSET(D52,0,-1)="",IFERROR(RRE!$O$28,0)&gt;0),"◄","")</f>
        <v/>
      </c>
      <c r="AV52" t="s">
        <v>320</v>
      </c>
      <c r="AW52" t="s">
        <v>321</v>
      </c>
    </row>
    <row r="53" spans="2:49" x14ac:dyDescent="0.2">
      <c r="B53" s="17" t="s">
        <v>322</v>
      </c>
      <c r="C53" s="18"/>
      <c r="D53" s="562" t="str" cm="1">
        <f t="array" aca="1" ref="D53" ca="1">IF(AND(TIPOORCAMENTO="Licitado",OFFSET(D53,0,-1)="",IFERROR(RRE!$O$28,0)&gt;0),"◄","")</f>
        <v/>
      </c>
      <c r="AV53" t="s">
        <v>323</v>
      </c>
      <c r="AW53" t="s">
        <v>324</v>
      </c>
    </row>
    <row r="54" spans="2:49" ht="13.5" thickBot="1" x14ac:dyDescent="0.25">
      <c r="B54" s="21" t="s">
        <v>325</v>
      </c>
      <c r="C54" s="38"/>
      <c r="D54" s="562"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6" t="s">
        <v>337</v>
      </c>
      <c r="C59" s="696"/>
      <c r="AV59" t="s">
        <v>338</v>
      </c>
      <c r="AW59" t="s">
        <v>339</v>
      </c>
    </row>
    <row r="60" spans="2:49" x14ac:dyDescent="0.2">
      <c r="B60" s="13" t="s">
        <v>240</v>
      </c>
      <c r="C60" s="37"/>
      <c r="AV60" t="s">
        <v>340</v>
      </c>
      <c r="AW60" t="s">
        <v>341</v>
      </c>
    </row>
    <row r="61" spans="2:49" ht="13.5" thickBot="1" x14ac:dyDescent="0.25">
      <c r="B61" s="28" t="s">
        <v>342</v>
      </c>
      <c r="C61" s="39"/>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8"/>
      <c r="AW222" s="83"/>
    </row>
  </sheetData>
  <sheetProtection algorithmName="SHA-512" hashValue="dut6C0RNU76jiKZM1s/sxu751zMa2i46/+NJIqg94xRcrEpu2YY8OXUh5fc60kUvYYQzrHhtRafl6AElQY5rcg==" saltValue="1U7Ib3WIwoUhnmz60oL9W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251" priority="2" stopIfTrue="1">
      <formula>CAIXA.Modo=FALSE</formula>
    </cfRule>
  </conditionalFormatting>
  <conditionalFormatting sqref="B59:C61">
    <cfRule type="expression" dxfId="25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8" hidden="1" customWidth="1"/>
    <col min="5" max="6" width="11.42578125" style="48" hidden="1" customWidth="1"/>
    <col min="7" max="7" width="11.85546875" style="48" hidden="1" customWidth="1"/>
    <col min="8" max="8" width="10.5703125" customWidth="1"/>
    <col min="9" max="9" width="3.5703125" customWidth="1"/>
    <col min="10" max="15" width="10.5703125" style="48" customWidth="1"/>
    <col min="16" max="16" width="12.85546875" style="48" customWidth="1"/>
    <col min="17" max="19" width="10.5703125" style="48" customWidth="1"/>
  </cols>
  <sheetData>
    <row r="1" spans="1:21" ht="15.75" x14ac:dyDescent="0.25">
      <c r="E1" s="49" t="s">
        <v>641</v>
      </c>
      <c r="F1" s="49" t="s">
        <v>642</v>
      </c>
      <c r="G1" s="49" t="s">
        <v>643</v>
      </c>
      <c r="O1" s="50" t="str">
        <f>"Quadro de Composição do BDI"</f>
        <v>Quadro de Composição do BDI</v>
      </c>
      <c r="R1" s="719" t="s">
        <v>644</v>
      </c>
      <c r="S1" s="719"/>
    </row>
    <row r="2" spans="1:21" x14ac:dyDescent="0.2">
      <c r="A2" s="48" t="s">
        <v>645</v>
      </c>
      <c r="B2" s="52" t="s">
        <v>646</v>
      </c>
      <c r="C2" s="48" t="str">
        <f t="shared" ref="C2:C49" si="0">CONCATENATE(A2,"-",B2)</f>
        <v>Construção e Reforma de Edifícios-AC</v>
      </c>
      <c r="E2" s="53">
        <v>0.03</v>
      </c>
      <c r="F2" s="53">
        <v>0.04</v>
      </c>
      <c r="G2" s="53">
        <v>5.5E-2</v>
      </c>
      <c r="R2" s="720" t="s">
        <v>647</v>
      </c>
      <c r="S2" s="720"/>
    </row>
    <row r="3" spans="1:21" x14ac:dyDescent="0.2">
      <c r="A3" s="48" t="str">
        <f>A2</f>
        <v>Construção e Reforma de Edifícios</v>
      </c>
      <c r="B3" s="52" t="s">
        <v>648</v>
      </c>
      <c r="C3" s="48" t="str">
        <f t="shared" si="0"/>
        <v>Construção e Reforma de Edifícios-SG</v>
      </c>
      <c r="E3" s="53">
        <v>8.0000000000000002E-3</v>
      </c>
      <c r="F3" s="53">
        <v>8.0000000000000002E-3</v>
      </c>
      <c r="G3" s="53">
        <v>0.01</v>
      </c>
    </row>
    <row r="4" spans="1:21" x14ac:dyDescent="0.2">
      <c r="A4" s="48" t="str">
        <f>A3</f>
        <v>Construção e Reforma de Edifícios</v>
      </c>
      <c r="B4" s="52" t="s">
        <v>649</v>
      </c>
      <c r="C4" s="48" t="str">
        <f t="shared" si="0"/>
        <v>Construção e Reforma de Edifícios-R</v>
      </c>
      <c r="E4" s="53">
        <v>9.7000000000000003E-3</v>
      </c>
      <c r="F4" s="53">
        <v>1.2699999999999999E-2</v>
      </c>
      <c r="G4" s="53">
        <v>1.2699999999999999E-2</v>
      </c>
      <c r="J4" s="677" t="s">
        <v>650</v>
      </c>
      <c r="K4" s="677"/>
      <c r="L4" s="677" t="s">
        <v>651</v>
      </c>
      <c r="M4" s="677"/>
      <c r="N4" s="677" t="s">
        <v>652</v>
      </c>
      <c r="O4" s="677"/>
      <c r="P4" s="677"/>
      <c r="Q4" s="677"/>
      <c r="R4" s="677"/>
      <c r="S4" s="677"/>
    </row>
    <row r="5" spans="1:21" ht="12.75" customHeight="1" x14ac:dyDescent="0.2">
      <c r="A5" s="48" t="str">
        <f>A4</f>
        <v>Construção e Reforma de Edifícios</v>
      </c>
      <c r="B5" s="52" t="s">
        <v>653</v>
      </c>
      <c r="C5" s="48" t="str">
        <f t="shared" si="0"/>
        <v>Construção e Reforma de Edifícios-DF</v>
      </c>
      <c r="E5" s="53">
        <v>5.8999999999999999E-3</v>
      </c>
      <c r="F5" s="53">
        <v>1.23E-2</v>
      </c>
      <c r="G5" s="53">
        <v>1.3899999999999999E-2</v>
      </c>
      <c r="J5" s="683" t="str">
        <f>Import.CR</f>
        <v>1091265-71</v>
      </c>
      <c r="K5" s="683"/>
      <c r="L5" s="683" t="str">
        <f>Import.TransfereGOV</f>
        <v>060795/2023</v>
      </c>
      <c r="M5" s="683"/>
      <c r="N5" s="683" t="str">
        <f>Import.Proponente</f>
        <v>PREFEITURA MUNICIPAL DE MARIALVA</v>
      </c>
      <c r="O5" s="683"/>
      <c r="P5" s="683"/>
      <c r="Q5" s="683"/>
      <c r="R5" s="683"/>
      <c r="S5" s="683"/>
    </row>
    <row r="6" spans="1:21" x14ac:dyDescent="0.2">
      <c r="A6" s="48" t="str">
        <f>A5</f>
        <v>Construção e Reforma de Edifícios</v>
      </c>
      <c r="B6" s="52" t="s">
        <v>654</v>
      </c>
      <c r="C6" s="48" t="str">
        <f t="shared" si="0"/>
        <v>Construção e Reforma de Edifícios-L</v>
      </c>
      <c r="E6" s="53">
        <v>6.1600000000000002E-2</v>
      </c>
      <c r="F6" s="53">
        <v>7.400000000000001E-2</v>
      </c>
      <c r="G6" s="53">
        <v>8.9600000000000013E-2</v>
      </c>
      <c r="I6" s="680" t="s">
        <v>655</v>
      </c>
      <c r="J6" s="56"/>
      <c r="K6" s="56"/>
      <c r="L6" s="56"/>
      <c r="M6" s="56"/>
      <c r="N6" s="56"/>
      <c r="O6" s="56"/>
      <c r="P6" s="56"/>
      <c r="Q6" s="56"/>
      <c r="R6" s="56"/>
      <c r="S6" s="56"/>
    </row>
    <row r="7" spans="1:21" ht="25.5" x14ac:dyDescent="0.25">
      <c r="A7" s="48" t="str">
        <f>A6</f>
        <v>Construção e Reforma de Edifícios</v>
      </c>
      <c r="B7" s="57" t="s">
        <v>656</v>
      </c>
      <c r="C7" s="48" t="str">
        <f t="shared" si="0"/>
        <v>Construção e Reforma de Edifícios-BDI PAD</v>
      </c>
      <c r="E7" s="53">
        <v>0.2034</v>
      </c>
      <c r="F7" s="53">
        <v>0.22120000000000001</v>
      </c>
      <c r="G7" s="53">
        <v>0.25</v>
      </c>
      <c r="I7" s="680"/>
      <c r="J7" s="677" t="s">
        <v>657</v>
      </c>
      <c r="K7" s="677"/>
      <c r="L7" s="677"/>
      <c r="M7" s="677"/>
      <c r="N7" s="677"/>
      <c r="O7" s="677"/>
      <c r="P7" s="677"/>
      <c r="Q7" s="677"/>
      <c r="R7" s="677"/>
      <c r="S7" s="677"/>
      <c r="U7" s="520" t="str">
        <f ca="1">IF(OR(U10&lt;&gt;"",U11&lt;&gt;""),"Falta preencher os percentuais do ISS",IF(U14&lt;&gt;"","Falta preencher o BDI 1",IF(U54&lt;&gt;"","Falta preencher o BDI 2",IF(U94&lt;&gt;"","Falta preencher o BDI 3",""))))</f>
        <v/>
      </c>
    </row>
    <row r="8" spans="1:21" ht="15.75" x14ac:dyDescent="0.25">
      <c r="A8" s="48" t="s">
        <v>658</v>
      </c>
      <c r="B8" s="52" t="s">
        <v>646</v>
      </c>
      <c r="C8" s="48" t="str">
        <f t="shared" si="0"/>
        <v>Construção de Praças Urbanas, Rodovias, Ferrovias e recapeamento e pavimentação de vias urbanas-AC</v>
      </c>
      <c r="E8" s="53">
        <v>3.7999999999999999E-2</v>
      </c>
      <c r="F8" s="53">
        <v>4.0099999999999997E-2</v>
      </c>
      <c r="G8" s="53">
        <v>4.6699999999999998E-2</v>
      </c>
      <c r="I8" s="680"/>
      <c r="J8" s="723" t="str">
        <f>Import.Apelido&amp;" / "&amp;Import.DescLote</f>
        <v>RECAPEAMENTO ASFÁLTICO / RECAPEAMENTO ASFÁLTICO DE VIAS PÚBLICAS NO MÚNICIPIO DE MARIALVA/PR</v>
      </c>
      <c r="K8" s="723"/>
      <c r="L8" s="723"/>
      <c r="M8" s="723"/>
      <c r="N8" s="723"/>
      <c r="O8" s="723"/>
      <c r="P8" s="723"/>
      <c r="Q8" s="723"/>
      <c r="R8" s="723"/>
      <c r="S8" s="723"/>
      <c r="U8" s="520" t="str">
        <f ca="1">IF(U29="FORA DO INTERVALO","BDI 1 fora do intervalo",IF(U69="FORA DO INTERVALO","BDI 2 fora do intervalo",IF(U109="FORA DO INTERVALO","BDI 3 fora do intervalo","")))</f>
        <v/>
      </c>
    </row>
    <row r="9" spans="1:21" x14ac:dyDescent="0.2">
      <c r="A9" s="48" t="s">
        <v>658</v>
      </c>
      <c r="B9" s="52" t="s">
        <v>648</v>
      </c>
      <c r="C9" s="48" t="str">
        <f t="shared" si="0"/>
        <v>Construção de Praças Urbanas, Rodovias, Ferrovias e recapeamento e pavimentação de vias urbanas-SG</v>
      </c>
      <c r="E9" s="53">
        <v>3.2000000000000002E-3</v>
      </c>
      <c r="F9" s="53">
        <v>4.0000000000000001E-3</v>
      </c>
      <c r="G9" s="53">
        <v>7.4000000000000003E-3</v>
      </c>
      <c r="I9" s="680"/>
      <c r="J9" s="56"/>
      <c r="K9" s="56"/>
      <c r="L9" s="56"/>
      <c r="M9" s="56"/>
      <c r="N9" s="56"/>
      <c r="O9" s="56"/>
      <c r="P9" s="56"/>
      <c r="Q9" s="56"/>
      <c r="R9" s="56"/>
      <c r="S9" s="56"/>
    </row>
    <row r="10" spans="1:21" ht="12.75" customHeight="1" x14ac:dyDescent="0.2">
      <c r="A10" s="48" t="s">
        <v>658</v>
      </c>
      <c r="B10" s="52" t="s">
        <v>649</v>
      </c>
      <c r="C10" s="48" t="str">
        <f t="shared" si="0"/>
        <v>Construção de Praças Urbanas, Rodovias, Ferrovias e recapeamento e pavimentação de vias urbanas-R</v>
      </c>
      <c r="E10" s="53">
        <v>5.0000000000000001E-3</v>
      </c>
      <c r="F10" s="53">
        <v>5.6000000000000008E-3</v>
      </c>
      <c r="G10" s="53">
        <v>9.7000000000000003E-3</v>
      </c>
      <c r="I10" s="680"/>
      <c r="J10" s="724" t="s">
        <v>659</v>
      </c>
      <c r="K10" s="724"/>
      <c r="L10" s="724"/>
      <c r="M10" s="724"/>
      <c r="N10" s="724"/>
      <c r="O10" s="724"/>
      <c r="P10" s="724"/>
      <c r="Q10" s="724"/>
      <c r="R10" s="722">
        <v>1</v>
      </c>
      <c r="S10" s="722"/>
      <c r="U10" s="570" t="str">
        <f>IF(R10="","Falta definir a base de cálculo para o ISS","")</f>
        <v/>
      </c>
    </row>
    <row r="11" spans="1:21" ht="12.75" customHeight="1" x14ac:dyDescent="0.2">
      <c r="A11" s="48" t="s">
        <v>658</v>
      </c>
      <c r="B11" s="52" t="s">
        <v>653</v>
      </c>
      <c r="C11" s="48" t="str">
        <f t="shared" si="0"/>
        <v>Construção de Praças Urbanas, Rodovias, Ferrovias e recapeamento e pavimentação de vias urbanas-DF</v>
      </c>
      <c r="E11" s="53">
        <v>1.0200000000000001E-2</v>
      </c>
      <c r="F11" s="53">
        <v>1.11E-2</v>
      </c>
      <c r="G11" s="53">
        <v>1.21E-2</v>
      </c>
      <c r="I11" s="105" t="s">
        <v>660</v>
      </c>
      <c r="J11" s="721" t="s">
        <v>661</v>
      </c>
      <c r="K11" s="721"/>
      <c r="L11" s="721"/>
      <c r="M11" s="721"/>
      <c r="N11" s="721"/>
      <c r="O11" s="721"/>
      <c r="P11" s="721"/>
      <c r="Q11" s="721"/>
      <c r="R11" s="722">
        <v>0.05</v>
      </c>
      <c r="S11" s="722"/>
      <c r="U11" s="570" t="str">
        <f>IF(R11="","Falta definir a alíquota do ISS","")</f>
        <v/>
      </c>
    </row>
    <row r="12" spans="1:21" x14ac:dyDescent="0.2">
      <c r="A12" s="48" t="s">
        <v>658</v>
      </c>
      <c r="B12" s="52" t="s">
        <v>654</v>
      </c>
      <c r="C12" s="48" t="str">
        <f t="shared" si="0"/>
        <v>Construção de Praças Urbanas, Rodovias, Ferrovias e recapeamento e pavimentação de vias urbanas-L</v>
      </c>
      <c r="E12" s="53">
        <v>6.6400000000000001E-2</v>
      </c>
      <c r="F12" s="53">
        <v>7.2999999999999995E-2</v>
      </c>
      <c r="G12" s="53">
        <v>8.6899999999999991E-2</v>
      </c>
      <c r="I12" s="7" t="s">
        <v>536</v>
      </c>
      <c r="J12" s="58"/>
      <c r="K12" s="58"/>
      <c r="L12" s="58"/>
      <c r="M12" s="58"/>
      <c r="N12" s="58"/>
      <c r="O12" s="58"/>
      <c r="P12" s="58"/>
      <c r="Q12" s="58"/>
      <c r="R12" s="58"/>
      <c r="S12" s="58"/>
    </row>
    <row r="13" spans="1:21" ht="15" customHeight="1" x14ac:dyDescent="0.2">
      <c r="A13" s="48" t="s">
        <v>658</v>
      </c>
      <c r="B13" s="57" t="s">
        <v>656</v>
      </c>
      <c r="C13" s="48" t="str">
        <f t="shared" si="0"/>
        <v>Construção de Praças Urbanas, Rodovias, Ferrovias e recapeamento e pavimentação de vias urbanas-BDI PAD</v>
      </c>
      <c r="E13" s="53">
        <v>0.19600000000000001</v>
      </c>
      <c r="F13" s="53">
        <v>0.2097</v>
      </c>
      <c r="G13" s="53">
        <v>0.24230000000000002</v>
      </c>
      <c r="I13" s="7" t="s">
        <v>536</v>
      </c>
    </row>
    <row r="14" spans="1:21" ht="15.75" x14ac:dyDescent="0.25">
      <c r="A14" s="48" t="s">
        <v>662</v>
      </c>
      <c r="B14" s="52" t="s">
        <v>646</v>
      </c>
      <c r="C14" s="48" t="str">
        <f t="shared" si="0"/>
        <v>Construção de Redes de Abastecimento de Água, Coleta de Esgoto-AC</v>
      </c>
      <c r="E14" s="53">
        <v>3.4300000000000004E-2</v>
      </c>
      <c r="F14" s="53">
        <v>4.9299999999999997E-2</v>
      </c>
      <c r="G14" s="53">
        <v>6.7099999999999993E-2</v>
      </c>
      <c r="I14" s="7" t="s">
        <v>536</v>
      </c>
      <c r="J14" s="718" t="s">
        <v>663</v>
      </c>
      <c r="K14" s="718"/>
      <c r="L14" s="718"/>
      <c r="M14" s="718"/>
      <c r="N14" s="718"/>
      <c r="O14" s="718"/>
      <c r="P14" s="718"/>
      <c r="Q14" s="718"/>
      <c r="R14" s="718"/>
      <c r="S14" s="718"/>
      <c r="U14" s="520" t="str">
        <f ca="1">IF(COUNTIF(ORÇAMENTO!$V$15:$V$35,BDI_1.Título)=0,"",IF(OR(Import.BDI.Tipo1="(SELECIONAR)",Import.BDI.Tipo1="",U17&lt;&gt;"",AND($J17&lt;&gt;$A$145,OR(S21="",S22="",AND($J17&lt;&gt;$A$146,OR(S23="",S24="")),S25="",S26=""))),"Falta preencher o BDI 1",""))</f>
        <v/>
      </c>
    </row>
    <row r="15" spans="1:21" x14ac:dyDescent="0.2">
      <c r="A15" s="48" t="str">
        <f>A14</f>
        <v>Construção de Redes de Abastecimento de Água, Coleta de Esgoto</v>
      </c>
      <c r="B15" s="52" t="s">
        <v>648</v>
      </c>
      <c r="C15" s="48" t="str">
        <f t="shared" si="0"/>
        <v>Construção de Redes de Abastecimento de Água, Coleta de Esgoto-SG</v>
      </c>
      <c r="E15" s="53">
        <v>2.8000000000000004E-3</v>
      </c>
      <c r="F15" s="53">
        <v>4.8999999999999998E-3</v>
      </c>
      <c r="G15" s="53">
        <v>7.4999999999999997E-3</v>
      </c>
      <c r="I15" s="7" t="s">
        <v>536</v>
      </c>
    </row>
    <row r="16" spans="1:21" x14ac:dyDescent="0.2">
      <c r="A16" s="48" t="str">
        <f>A15</f>
        <v>Construção de Redes de Abastecimento de Água, Coleta de Esgoto</v>
      </c>
      <c r="B16" s="52" t="s">
        <v>649</v>
      </c>
      <c r="C16" s="48" t="str">
        <f t="shared" si="0"/>
        <v>Construção de Redes de Abastecimento de Água, Coleta de Esgoto-R</v>
      </c>
      <c r="E16" s="53">
        <v>0.01</v>
      </c>
      <c r="F16" s="53">
        <v>1.3899999999999999E-2</v>
      </c>
      <c r="G16" s="53">
        <v>1.7399999999999999E-2</v>
      </c>
      <c r="I16" s="7" t="s">
        <v>536</v>
      </c>
      <c r="J16" s="677" t="s">
        <v>664</v>
      </c>
      <c r="K16" s="677"/>
      <c r="L16" s="677"/>
      <c r="M16" s="677"/>
      <c r="N16" s="677"/>
      <c r="O16" s="677"/>
      <c r="P16" s="677"/>
      <c r="Q16" s="677"/>
      <c r="R16" s="677"/>
      <c r="S16" s="677"/>
    </row>
    <row r="17" spans="1:26" ht="15" x14ac:dyDescent="0.25">
      <c r="A17" s="48" t="str">
        <f>A16</f>
        <v>Construção de Redes de Abastecimento de Água, Coleta de Esgoto</v>
      </c>
      <c r="B17" s="52" t="s">
        <v>653</v>
      </c>
      <c r="C17" s="48" t="str">
        <f t="shared" si="0"/>
        <v>Construção de Redes de Abastecimento de Água, Coleta de Esgoto-DF</v>
      </c>
      <c r="E17" s="53">
        <v>9.3999999999999986E-3</v>
      </c>
      <c r="F17" s="53">
        <v>9.8999999999999991E-3</v>
      </c>
      <c r="G17" s="53">
        <v>1.1699999999999999E-2</v>
      </c>
      <c r="I17" s="7" t="s">
        <v>536</v>
      </c>
      <c r="J17" s="717" t="s">
        <v>658</v>
      </c>
      <c r="K17" s="717"/>
      <c r="L17" s="717"/>
      <c r="M17" s="717"/>
      <c r="N17" s="717"/>
      <c r="O17" s="717"/>
      <c r="P17" s="717"/>
      <c r="Q17" s="717"/>
      <c r="R17" s="717"/>
      <c r="S17" s="717"/>
      <c r="T17" s="562" t="str">
        <f ca="1">IF(U17="","","◄")</f>
        <v/>
      </c>
      <c r="U17" s="561" t="str">
        <f ca="1">IF(AND(OR(S29&gt;0,COUNTIF(ORÇAMENTO!$V$15:$V$35,BDI_1.Título)&gt;0),OR(Import.BDI.Tipo1="(SELECIONAR)",Import.BDI.Tipo1="")),"Selecione o Tipo de obra","")</f>
        <v/>
      </c>
    </row>
    <row r="18" spans="1:26" x14ac:dyDescent="0.2">
      <c r="A18" s="48" t="str">
        <f>A17</f>
        <v>Construção de Redes de Abastecimento de Água, Coleta de Esgoto</v>
      </c>
      <c r="B18" s="52" t="s">
        <v>654</v>
      </c>
      <c r="C18" s="48" t="str">
        <f t="shared" si="0"/>
        <v>Construção de Redes de Abastecimento de Água, Coleta de Esgoto-L</v>
      </c>
      <c r="E18" s="53">
        <v>6.7400000000000002E-2</v>
      </c>
      <c r="F18" s="53">
        <v>8.0399999999999985E-2</v>
      </c>
      <c r="G18" s="53">
        <v>9.4E-2</v>
      </c>
      <c r="I18" s="7" t="s">
        <v>536</v>
      </c>
    </row>
    <row r="19" spans="1:26" ht="12.75" customHeight="1" x14ac:dyDescent="0.2">
      <c r="A19" s="48" t="str">
        <f>A18</f>
        <v>Construção de Redes de Abastecimento de Água, Coleta de Esgoto</v>
      </c>
      <c r="B19" s="57" t="s">
        <v>656</v>
      </c>
      <c r="C19" s="48" t="str">
        <f t="shared" si="0"/>
        <v>Construção de Redes de Abastecimento de Água, Coleta de Esgoto-BDI PAD</v>
      </c>
      <c r="E19" s="53">
        <v>0.20760000000000001</v>
      </c>
      <c r="F19" s="53">
        <v>0.24179999999999999</v>
      </c>
      <c r="G19" s="53">
        <v>0.26440000000000002</v>
      </c>
      <c r="I19" s="7" t="s">
        <v>536</v>
      </c>
      <c r="J19" s="716" t="s">
        <v>666</v>
      </c>
      <c r="K19" s="716"/>
      <c r="L19" s="716"/>
      <c r="M19" s="716"/>
      <c r="N19" s="716"/>
      <c r="O19" s="716"/>
      <c r="P19" s="716"/>
      <c r="Q19" s="716"/>
      <c r="R19" s="716" t="s">
        <v>667</v>
      </c>
      <c r="S19" s="708" t="s">
        <v>668</v>
      </c>
      <c r="U19" s="708" t="s">
        <v>669</v>
      </c>
      <c r="V19" s="708"/>
      <c r="W19" s="708"/>
      <c r="X19" s="715" t="s">
        <v>670</v>
      </c>
      <c r="Y19" s="715" t="s">
        <v>671</v>
      </c>
      <c r="Z19" s="715" t="s">
        <v>672</v>
      </c>
    </row>
    <row r="20" spans="1:26" ht="12.75" customHeight="1" x14ac:dyDescent="0.2">
      <c r="A20" s="48" t="s">
        <v>673</v>
      </c>
      <c r="B20" s="52" t="s">
        <v>646</v>
      </c>
      <c r="C20" s="48" t="str">
        <f t="shared" si="0"/>
        <v>Construção e Manutenção de Estações e Redes de Distribuição de Energia Elétrica-AC</v>
      </c>
      <c r="E20" s="53">
        <v>5.2900000000000003E-2</v>
      </c>
      <c r="F20" s="53">
        <v>5.9200000000000003E-2</v>
      </c>
      <c r="G20" s="53">
        <v>7.9299999999999995E-2</v>
      </c>
      <c r="I20" s="7" t="s">
        <v>536</v>
      </c>
      <c r="J20" s="716"/>
      <c r="K20" s="716"/>
      <c r="L20" s="716"/>
      <c r="M20" s="716"/>
      <c r="N20" s="716"/>
      <c r="O20" s="716"/>
      <c r="P20" s="716"/>
      <c r="Q20" s="716"/>
      <c r="R20" s="716"/>
      <c r="S20" s="708"/>
      <c r="U20" s="708"/>
      <c r="V20" s="708"/>
      <c r="W20" s="708"/>
      <c r="X20" s="715"/>
      <c r="Y20" s="715"/>
      <c r="Z20" s="715"/>
    </row>
    <row r="21" spans="1:26" ht="15" customHeight="1" x14ac:dyDescent="0.2">
      <c r="A21" s="48" t="str">
        <f>A20</f>
        <v>Construção e Manutenção de Estações e Redes de Distribuição de Energia Elétrica</v>
      </c>
      <c r="B21" s="52" t="s">
        <v>648</v>
      </c>
      <c r="C21" s="48" t="str">
        <f t="shared" si="0"/>
        <v>Construção e Manutenção de Estações e Redes de Distribuição de Energia Elétrica-SG</v>
      </c>
      <c r="E21" s="53">
        <v>2.5000000000000001E-3</v>
      </c>
      <c r="F21" s="53">
        <v>5.1000000000000004E-3</v>
      </c>
      <c r="G21" s="53">
        <v>5.6000000000000008E-3</v>
      </c>
      <c r="I21" s="7" t="s">
        <v>536</v>
      </c>
      <c r="J21" s="706" t="str">
        <f>IF($J$17=$A$146,"Encargos Sociais incidentes sobre a mão de obra","Administração Central")</f>
        <v>Administração Central</v>
      </c>
      <c r="K21" s="706"/>
      <c r="L21" s="706"/>
      <c r="M21" s="706"/>
      <c r="N21" s="706"/>
      <c r="O21" s="706"/>
      <c r="P21" s="706"/>
      <c r="Q21" s="706"/>
      <c r="R21" s="59" t="str">
        <f>IF($J17=$A$146,"K1","AC")</f>
        <v>AC</v>
      </c>
      <c r="S21" s="60">
        <v>3.7999999999999999E-2</v>
      </c>
      <c r="T21" s="571" t="str">
        <f ca="1">IF(AND($U$14&lt;&gt;"",$U$17="",R21&lt;&gt;"",S21=""),"◄","")</f>
        <v/>
      </c>
      <c r="U21" s="707" t="str">
        <f ca="1">IFERROR(IF(T21="◄","FALTA PREENCHER",IF(AND(OR(S21&gt;=X21,X21="-"),OR(S21&lt;=Z21,Z21="-")),"OK","FORA DO INTERVALO")),"-")</f>
        <v>OK</v>
      </c>
      <c r="V21" s="707"/>
      <c r="W21" s="707"/>
      <c r="X21" s="61">
        <f>VLOOKUP(CONCATENATE(J17,"-",R21),$C$2:$G$136,3,FALSE)</f>
        <v>3.7999999999999999E-2</v>
      </c>
      <c r="Y21" s="61">
        <f>VLOOKUP(CONCATENATE(J17,"-",R21),$C$2:$G$136,4,FALSE)</f>
        <v>4.0099999999999997E-2</v>
      </c>
      <c r="Z21" s="61">
        <f>VLOOKUP(CONCATENATE(J17,"-",R21),$C$2:$G$136,5,FALSE)</f>
        <v>4.6699999999999998E-2</v>
      </c>
    </row>
    <row r="22" spans="1:26" ht="15" customHeight="1" x14ac:dyDescent="0.2">
      <c r="A22" s="48" t="str">
        <f>A21</f>
        <v>Construção e Manutenção de Estações e Redes de Distribuição de Energia Elétrica</v>
      </c>
      <c r="B22" s="52" t="s">
        <v>649</v>
      </c>
      <c r="C22" s="48" t="str">
        <f t="shared" si="0"/>
        <v>Construção e Manutenção de Estações e Redes de Distribuição de Energia Elétrica-R</v>
      </c>
      <c r="E22" s="53">
        <v>0.01</v>
      </c>
      <c r="F22" s="53">
        <v>1.4800000000000001E-2</v>
      </c>
      <c r="G22" s="53">
        <v>1.9699999999999999E-2</v>
      </c>
      <c r="I22" s="7" t="s">
        <v>536</v>
      </c>
      <c r="J22" s="706" t="str">
        <f>IF($J$17=$A$146,"Administração Central da empresa ou consultoria - overhead","Seguro e Garantia")</f>
        <v>Seguro e Garantia</v>
      </c>
      <c r="K22" s="706"/>
      <c r="L22" s="706"/>
      <c r="M22" s="706"/>
      <c r="N22" s="706"/>
      <c r="O22" s="706"/>
      <c r="P22" s="706"/>
      <c r="Q22" s="706"/>
      <c r="R22" s="59" t="str">
        <f>IF($J17=$A$146,"K2","SG")</f>
        <v>SG</v>
      </c>
      <c r="S22" s="60">
        <v>3.2000000000000002E-3</v>
      </c>
      <c r="T22" s="571" t="str">
        <f t="shared" ref="T22:T26" ca="1" si="1">IF(AND($U$14&lt;&gt;"",$U$17="",R22&lt;&gt;"",S22=""),"◄","")</f>
        <v/>
      </c>
      <c r="U22" s="707" t="str">
        <f t="shared" ref="U22:U28" ca="1" si="2">IFERROR(IF(T22="◄","FALTA PREENCHER",IF(AND(OR(S22&gt;=X22,X22="-"),OR(S22&lt;=Z22,Z22="-")),"OK","FORA DO INTERVALO")),"-")</f>
        <v>OK</v>
      </c>
      <c r="V22" s="707"/>
      <c r="W22" s="707"/>
      <c r="X22" s="61">
        <f>VLOOKUP(CONCATENATE(J17,"-",R22),$C$2:$G$136,3,FALSE)</f>
        <v>3.2000000000000002E-3</v>
      </c>
      <c r="Y22" s="61">
        <f>VLOOKUP(CONCATENATE(J17,"-",R22),$C$2:$G$136,4,FALSE)</f>
        <v>4.0000000000000001E-3</v>
      </c>
      <c r="Z22" s="61">
        <f>VLOOKUP(CONCATENATE(J17,"-",R22),$C$2:$G$136,5,FALSE)</f>
        <v>7.4000000000000003E-3</v>
      </c>
    </row>
    <row r="23" spans="1:26" ht="15" customHeight="1" x14ac:dyDescent="0.2">
      <c r="A23" s="48" t="str">
        <f>A22</f>
        <v>Construção e Manutenção de Estações e Redes de Distribuição de Energia Elétrica</v>
      </c>
      <c r="B23" s="52" t="s">
        <v>653</v>
      </c>
      <c r="C23" s="48" t="str">
        <f t="shared" si="0"/>
        <v>Construção e Manutenção de Estações e Redes de Distribuição de Energia Elétrica-DF</v>
      </c>
      <c r="E23" s="53">
        <v>1.01E-2</v>
      </c>
      <c r="F23" s="53">
        <v>1.0700000000000001E-2</v>
      </c>
      <c r="G23" s="53">
        <v>1.11E-2</v>
      </c>
      <c r="I23" s="7" t="s">
        <v>536</v>
      </c>
      <c r="J23" s="706" t="s">
        <v>942</v>
      </c>
      <c r="K23" s="706"/>
      <c r="L23" s="706"/>
      <c r="M23" s="706"/>
      <c r="N23" s="706"/>
      <c r="O23" s="706"/>
      <c r="P23" s="706"/>
      <c r="Q23" s="706"/>
      <c r="R23" s="59" t="str">
        <f>IF($J17=$A$146,"","R")</f>
        <v>R</v>
      </c>
      <c r="S23" s="60">
        <v>5.0000000000000001E-3</v>
      </c>
      <c r="T23" s="571" t="str">
        <f t="shared" ca="1" si="1"/>
        <v/>
      </c>
      <c r="U23" s="707" t="str">
        <f t="shared" ca="1" si="2"/>
        <v>OK</v>
      </c>
      <c r="V23" s="707"/>
      <c r="W23" s="707"/>
      <c r="X23" s="61">
        <f>VLOOKUP(CONCATENATE(J17,"-",R23),$C$2:$G$136,3,FALSE)</f>
        <v>5.0000000000000001E-3</v>
      </c>
      <c r="Y23" s="61">
        <f>VLOOKUP(CONCATENATE(J17,"-",R23),$C$2:$G$136,4,FALSE)</f>
        <v>5.6000000000000008E-3</v>
      </c>
      <c r="Z23" s="61">
        <f>VLOOKUP(CONCATENATE(J17,"-",R23),$C$2:$G$136,5,FALSE)</f>
        <v>9.7000000000000003E-3</v>
      </c>
    </row>
    <row r="24" spans="1:26" ht="15" customHeight="1" x14ac:dyDescent="0.2">
      <c r="A24" s="48" t="str">
        <f>A23</f>
        <v>Construção e Manutenção de Estações e Redes de Distribuição de Energia Elétrica</v>
      </c>
      <c r="B24" s="52" t="s">
        <v>654</v>
      </c>
      <c r="C24" s="48" t="str">
        <f t="shared" si="0"/>
        <v>Construção e Manutenção de Estações e Redes de Distribuição de Energia Elétrica-L</v>
      </c>
      <c r="E24" s="53">
        <v>0.08</v>
      </c>
      <c r="F24" s="53">
        <v>8.3100000000000007E-2</v>
      </c>
      <c r="G24" s="53">
        <v>9.5100000000000004E-2</v>
      </c>
      <c r="I24" s="7" t="s">
        <v>536</v>
      </c>
      <c r="J24" s="706" t="s">
        <v>943</v>
      </c>
      <c r="K24" s="706"/>
      <c r="L24" s="706"/>
      <c r="M24" s="706"/>
      <c r="N24" s="706"/>
      <c r="O24" s="706"/>
      <c r="P24" s="706"/>
      <c r="Q24" s="706"/>
      <c r="R24" s="59" t="str">
        <f>IF($J17=$A$146,"","DF")</f>
        <v>DF</v>
      </c>
      <c r="S24" s="60">
        <v>1.0200000000000001E-2</v>
      </c>
      <c r="T24" s="571" t="str">
        <f t="shared" ca="1" si="1"/>
        <v/>
      </c>
      <c r="U24" s="707" t="str">
        <f t="shared" ca="1" si="2"/>
        <v>OK</v>
      </c>
      <c r="V24" s="707"/>
      <c r="W24" s="707"/>
      <c r="X24" s="61">
        <f>VLOOKUP(CONCATENATE(J17,"-",R24),$C$2:$G$136,3,FALSE)</f>
        <v>1.0200000000000001E-2</v>
      </c>
      <c r="Y24" s="61">
        <f>VLOOKUP(CONCATENATE(J17,"-",R24),$C$2:$G$136,4,FALSE)</f>
        <v>1.11E-2</v>
      </c>
      <c r="Z24" s="61">
        <f>VLOOKUP(CONCATENATE(J17,"-",R24),$C$2:$G$136,5,FALSE)</f>
        <v>1.21E-2</v>
      </c>
    </row>
    <row r="25" spans="1:26" ht="15" customHeight="1" x14ac:dyDescent="0.2">
      <c r="A25" s="48" t="str">
        <f>A24</f>
        <v>Construção e Manutenção de Estações e Redes de Distribuição de Energia Elétrica</v>
      </c>
      <c r="B25" s="57" t="s">
        <v>656</v>
      </c>
      <c r="C25" s="48" t="str">
        <f t="shared" si="0"/>
        <v>Construção e Manutenção de Estações e Redes de Distribuição de Energia Elétrica-BDI PAD</v>
      </c>
      <c r="E25" s="53">
        <v>0.24</v>
      </c>
      <c r="F25" s="53">
        <v>0.25840000000000002</v>
      </c>
      <c r="G25" s="53">
        <v>0.27860000000000001</v>
      </c>
      <c r="I25" s="7" t="s">
        <v>536</v>
      </c>
      <c r="J25" s="706" t="str">
        <f>IF($J$17=$A$146,"Margem bruta da empresa de consultoria","Lucro")</f>
        <v>Lucro</v>
      </c>
      <c r="K25" s="706"/>
      <c r="L25" s="706"/>
      <c r="M25" s="706"/>
      <c r="N25" s="706"/>
      <c r="O25" s="706"/>
      <c r="P25" s="706"/>
      <c r="Q25" s="706"/>
      <c r="R25" s="59" t="str">
        <f>IF($J17=$A$146,"K3","L")</f>
        <v>L</v>
      </c>
      <c r="S25" s="60">
        <v>6.6500000000000004E-2</v>
      </c>
      <c r="T25" s="571" t="str">
        <f t="shared" ca="1" si="1"/>
        <v/>
      </c>
      <c r="U25" s="707" t="str">
        <f t="shared" ca="1" si="2"/>
        <v>OK</v>
      </c>
      <c r="V25" s="707"/>
      <c r="W25" s="707"/>
      <c r="X25" s="61">
        <f>VLOOKUP(CONCATENATE(J17,"-",R25),$C$2:$G$136,3,FALSE)</f>
        <v>6.6400000000000001E-2</v>
      </c>
      <c r="Y25" s="61">
        <f>VLOOKUP(CONCATENATE(J17,"-",R25),$C$2:$G$136,4,FALSE)</f>
        <v>7.2999999999999995E-2</v>
      </c>
      <c r="Z25" s="61">
        <f>VLOOKUP(CONCATENATE(J17,"-",R25),$C$2:$G$136,5,FALSE)</f>
        <v>8.6899999999999991E-2</v>
      </c>
    </row>
    <row r="26" spans="1:26" ht="15" customHeight="1" x14ac:dyDescent="0.2">
      <c r="A26" s="48" t="s">
        <v>674</v>
      </c>
      <c r="B26" s="52" t="s">
        <v>646</v>
      </c>
      <c r="C26" s="48" t="str">
        <f t="shared" si="0"/>
        <v>Obras Portuárias, Marítimas e Fluviais-AC</v>
      </c>
      <c r="E26" s="53">
        <v>0.04</v>
      </c>
      <c r="F26" s="53">
        <v>5.5199999999999999E-2</v>
      </c>
      <c r="G26" s="53">
        <v>7.85E-2</v>
      </c>
      <c r="I26" s="7" t="s">
        <v>536</v>
      </c>
      <c r="J26" s="706" t="s">
        <v>675</v>
      </c>
      <c r="K26" s="706"/>
      <c r="L26" s="706"/>
      <c r="M26" s="706"/>
      <c r="N26" s="706"/>
      <c r="O26" s="706"/>
      <c r="P26" s="706"/>
      <c r="Q26" s="706"/>
      <c r="R26" s="59" t="s">
        <v>456</v>
      </c>
      <c r="S26" s="60">
        <v>3.6499999999999998E-2</v>
      </c>
      <c r="T26" s="571" t="str">
        <f t="shared" ca="1" si="1"/>
        <v/>
      </c>
      <c r="U26" s="707" t="str">
        <f t="shared" ca="1" si="2"/>
        <v>OK</v>
      </c>
      <c r="V26" s="707"/>
      <c r="W26" s="707"/>
      <c r="X26" s="61">
        <f>Y26</f>
        <v>3.6499999999999998E-2</v>
      </c>
      <c r="Y26" s="61">
        <f>IF($J17=$A$145,"-",3.65%)</f>
        <v>3.6499999999999998E-2</v>
      </c>
      <c r="Z26" s="61">
        <f>Y26</f>
        <v>3.6499999999999998E-2</v>
      </c>
    </row>
    <row r="27" spans="1:26" ht="15" customHeight="1" x14ac:dyDescent="0.2">
      <c r="A27" s="48" t="str">
        <f>A26</f>
        <v>Obras Portuárias, Marítimas e Fluviais</v>
      </c>
      <c r="B27" s="52" t="s">
        <v>648</v>
      </c>
      <c r="C27" s="48" t="str">
        <f t="shared" si="0"/>
        <v>Obras Portuárias, Marítimas e Fluviais-SG</v>
      </c>
      <c r="E27" s="53">
        <v>8.1000000000000013E-3</v>
      </c>
      <c r="F27" s="53">
        <v>1.2199999999999999E-2</v>
      </c>
      <c r="G27" s="53">
        <v>1.9900000000000001E-2</v>
      </c>
      <c r="I27" s="7" t="s">
        <v>536</v>
      </c>
      <c r="J27" s="706" t="s">
        <v>676</v>
      </c>
      <c r="K27" s="706"/>
      <c r="L27" s="706"/>
      <c r="M27" s="706"/>
      <c r="N27" s="706"/>
      <c r="O27" s="706"/>
      <c r="P27" s="706"/>
      <c r="Q27" s="706"/>
      <c r="R27" s="59" t="s">
        <v>677</v>
      </c>
      <c r="S27" s="61">
        <f ca="1">IF(AND($J17&lt;&gt;$A$145,COUNTA(OFFSET(S20,1,0,6))&gt;0),$R$11*$R$10,0)</f>
        <v>0.05</v>
      </c>
      <c r="U27" s="707" t="str">
        <f t="shared" ca="1" si="2"/>
        <v>OK</v>
      </c>
      <c r="V27" s="707"/>
      <c r="W27" s="707"/>
      <c r="X27" s="61">
        <v>0</v>
      </c>
      <c r="Y27" s="61">
        <v>2.5000000000000001E-2</v>
      </c>
      <c r="Z27" s="61">
        <v>0.05</v>
      </c>
    </row>
    <row r="28" spans="1:26" ht="15" customHeight="1" x14ac:dyDescent="0.2">
      <c r="A28" s="48" t="str">
        <f>A27</f>
        <v>Obras Portuárias, Marítimas e Fluviais</v>
      </c>
      <c r="B28" s="52" t="s">
        <v>649</v>
      </c>
      <c r="C28" s="48" t="str">
        <f t="shared" si="0"/>
        <v>Obras Portuárias, Marítimas e Fluviais-R</v>
      </c>
      <c r="E28" s="53">
        <v>1.46E-2</v>
      </c>
      <c r="F28" s="53">
        <v>2.3199999999999998E-2</v>
      </c>
      <c r="G28" s="53">
        <v>3.1600000000000003E-2</v>
      </c>
      <c r="I28" s="7" t="s">
        <v>536</v>
      </c>
      <c r="J28" s="706" t="s">
        <v>678</v>
      </c>
      <c r="K28" s="706"/>
      <c r="L28" s="706"/>
      <c r="M28" s="706"/>
      <c r="N28" s="706"/>
      <c r="O28" s="706"/>
      <c r="P28" s="706"/>
      <c r="Q28" s="706"/>
      <c r="R28" s="59" t="s">
        <v>679</v>
      </c>
      <c r="S28" s="61" cm="1">
        <f t="array" aca="1" ref="S28" ca="1">IF(BDI.Opcao&lt;&gt;"Desonerado",0,IF(AND($J17&lt;&gt;$A$145,COUNTA(OFFSET(S20,1,0,6))&gt;0),IF(YEAR(Import.DataBase)&lt;2025,4.5%,IF(YEAR(Import.DataBase)=2025,3.6%,IF(YEAR(Import.DataBase)=2026,2.7%,IF(YEAR(Import.DataBase)=2027,1.8%,0%)))),0%))</f>
        <v>0</v>
      </c>
      <c r="U28" s="707" t="str">
        <f t="shared" ca="1" si="2"/>
        <v>OK</v>
      </c>
      <c r="V28" s="707"/>
      <c r="W28" s="707"/>
      <c r="X28" s="62">
        <f ca="1">$S28</f>
        <v>0</v>
      </c>
      <c r="Y28" s="62">
        <f ca="1">$S28</f>
        <v>0</v>
      </c>
      <c r="Z28" s="62">
        <f ca="1">$S28</f>
        <v>0</v>
      </c>
    </row>
    <row r="29" spans="1:26" ht="15" customHeight="1" x14ac:dyDescent="0.2">
      <c r="A29" s="48" t="str">
        <f>A28</f>
        <v>Obras Portuárias, Marítimas e Fluviais</v>
      </c>
      <c r="B29" s="52" t="s">
        <v>653</v>
      </c>
      <c r="C29" s="48" t="str">
        <f t="shared" si="0"/>
        <v>Obras Portuárias, Marítimas e Fluviais-DF</v>
      </c>
      <c r="E29" s="53">
        <v>9.3999999999999986E-3</v>
      </c>
      <c r="F29" s="53">
        <v>1.0200000000000001E-2</v>
      </c>
      <c r="G29" s="53">
        <v>1.3300000000000001E-2</v>
      </c>
      <c r="I29" s="7" t="s">
        <v>536</v>
      </c>
      <c r="J29" s="706" t="s">
        <v>680</v>
      </c>
      <c r="K29" s="706"/>
      <c r="L29" s="706"/>
      <c r="M29" s="706"/>
      <c r="N29" s="706"/>
      <c r="O29" s="706"/>
      <c r="P29" s="706"/>
      <c r="Q29" s="706"/>
      <c r="R29" s="63" t="s">
        <v>656</v>
      </c>
      <c r="S29" s="61">
        <f ca="1">IF($J17=$A$145,0,ROUND((((1+S21+S22+S23)*(1+S24)*(1+S25)/(1-(S26+S27)))-1),4))</f>
        <v>0.2339</v>
      </c>
      <c r="U29" s="708" t="str">
        <f ca="1">IFERROR(IF(AND(OR(S29&gt;=X29,X29="-"),OR(S29&lt;=Z29,Z29="-")),"OK","FORA DO INTERVALO"),IF(S29=0,"OK","Selecione o Tipo de obra"))</f>
        <v>OK</v>
      </c>
      <c r="V29" s="708"/>
      <c r="W29" s="708"/>
      <c r="X29" s="61">
        <f>IF($J17=$A$145,0,VLOOKUP(CONCATENATE($J17,"-",$R29),$C$2:$G$136,3,FALSE))</f>
        <v>0.19600000000000001</v>
      </c>
      <c r="Y29" s="61">
        <f>IF($J17=$A$145,0,VLOOKUP(CONCATENATE($J17,"-",$R29),$C$2:$G$136,4,FALSE))</f>
        <v>0.2097</v>
      </c>
      <c r="Z29" s="61">
        <f>IF($J17=$A$145,0,VLOOKUP(CONCATENATE($J17,"-",$R29),$C$2:$G$136,5,FALSE))</f>
        <v>0.24230000000000002</v>
      </c>
    </row>
    <row r="30" spans="1:26" ht="15" customHeight="1" x14ac:dyDescent="0.2">
      <c r="A30" s="48" t="str">
        <f>A29</f>
        <v>Obras Portuárias, Marítimas e Fluviais</v>
      </c>
      <c r="B30" s="52" t="s">
        <v>654</v>
      </c>
      <c r="C30" s="48" t="str">
        <f t="shared" si="0"/>
        <v>Obras Portuárias, Marítimas e Fluviais-L</v>
      </c>
      <c r="E30" s="53">
        <v>7.1399999999999991E-2</v>
      </c>
      <c r="F30" s="53">
        <v>8.4000000000000005E-2</v>
      </c>
      <c r="G30" s="53">
        <v>0.1043</v>
      </c>
      <c r="I30" s="7" t="s">
        <v>536</v>
      </c>
      <c r="J30" s="709" t="s">
        <v>681</v>
      </c>
      <c r="K30" s="709"/>
      <c r="L30" s="709"/>
      <c r="M30" s="709"/>
      <c r="N30" s="709"/>
      <c r="O30" s="709"/>
      <c r="P30" s="709"/>
      <c r="Q30" s="709"/>
      <c r="R30" s="64" t="s">
        <v>682</v>
      </c>
      <c r="S30" s="65">
        <f ca="1">IF($J17=$A$145,0,ROUND((((1+S21+S22+S23)*(1+S24)*(1+S25)/(1-(S26+S27+S28)))-1),4))</f>
        <v>0.2339</v>
      </c>
    </row>
    <row r="31" spans="1:26" ht="15" customHeight="1" x14ac:dyDescent="0.2">
      <c r="A31" s="48" t="str">
        <f>A30</f>
        <v>Obras Portuárias, Marítimas e Fluviais</v>
      </c>
      <c r="B31" s="57" t="s">
        <v>656</v>
      </c>
      <c r="C31" s="48" t="str">
        <f t="shared" si="0"/>
        <v>Obras Portuárias, Marítimas e Fluviais-BDI PAD</v>
      </c>
      <c r="E31" s="53">
        <v>0.22800000000000001</v>
      </c>
      <c r="F31" s="53">
        <v>0.27479999999999999</v>
      </c>
      <c r="G31" s="53">
        <v>0.3095</v>
      </c>
      <c r="I31" s="7" t="s">
        <v>536</v>
      </c>
    </row>
    <row r="32" spans="1:26" ht="15.75" x14ac:dyDescent="0.2">
      <c r="A32" s="48" t="s">
        <v>665</v>
      </c>
      <c r="B32" s="52" t="s">
        <v>646</v>
      </c>
      <c r="C32" s="48" t="str">
        <f t="shared" si="0"/>
        <v>Fornecimento de Materiais e Equipamentos (aquisição indireta - em conjunto com licitação de obras)-AC</v>
      </c>
      <c r="E32" s="53">
        <v>1.4999999999999999E-2</v>
      </c>
      <c r="F32" s="53">
        <v>3.4500000000000003E-2</v>
      </c>
      <c r="G32" s="53">
        <v>4.4900000000000002E-2</v>
      </c>
      <c r="I32" s="7" t="s">
        <v>536</v>
      </c>
      <c r="J32" s="66" t="str">
        <f ca="1">IF(U29&lt;&gt;"ok","X","")</f>
        <v/>
      </c>
      <c r="K32" s="710" t="str">
        <f ca="1">IF(U29&lt;&gt;"ok","Anexo: Relatório Técnico Circunstanciado justificando a adoção do percentual de cada parcela do BDI.","")</f>
        <v/>
      </c>
      <c r="L32" s="710"/>
      <c r="M32" s="710"/>
      <c r="N32" s="710"/>
      <c r="O32" s="710"/>
      <c r="P32" s="710"/>
      <c r="Q32" s="710"/>
      <c r="R32" s="710"/>
      <c r="S32" s="710"/>
    </row>
    <row r="33" spans="1:19" x14ac:dyDescent="0.2">
      <c r="A33" s="48" t="str">
        <f>A32</f>
        <v>Fornecimento de Materiais e Equipamentos (aquisição indireta - em conjunto com licitação de obras)</v>
      </c>
      <c r="B33" s="52" t="s">
        <v>648</v>
      </c>
      <c r="C33" s="48" t="str">
        <f t="shared" si="0"/>
        <v>Fornecimento de Materiais e Equipamentos (aquisição indireta - em conjunto com licitação de obras)-SG</v>
      </c>
      <c r="E33" s="53">
        <v>3.0000000000000001E-3</v>
      </c>
      <c r="F33" s="53">
        <v>4.7999999999999996E-3</v>
      </c>
      <c r="G33" s="53">
        <v>8.199999999999999E-3</v>
      </c>
      <c r="I33" s="7" t="s">
        <v>536</v>
      </c>
    </row>
    <row r="34" spans="1:19" x14ac:dyDescent="0.2">
      <c r="A34" s="48" t="str">
        <f>A33</f>
        <v>Fornecimento de Materiais e Equipamentos (aquisição indireta - em conjunto com licitação de obras)</v>
      </c>
      <c r="B34" s="52" t="s">
        <v>649</v>
      </c>
      <c r="C34" s="48" t="str">
        <f t="shared" si="0"/>
        <v>Fornecimento de Materiais e Equipamentos (aquisição indireta - em conjunto com licitação de obras)-R</v>
      </c>
      <c r="E34" s="53">
        <v>5.6000000000000008E-3</v>
      </c>
      <c r="F34" s="53">
        <v>8.5000000000000006E-3</v>
      </c>
      <c r="G34" s="53">
        <v>8.8999999999999999E-3</v>
      </c>
      <c r="I34" s="7" t="s">
        <v>536</v>
      </c>
      <c r="J34" s="711" t="s">
        <v>683</v>
      </c>
      <c r="K34" s="711"/>
      <c r="L34" s="711"/>
      <c r="M34" s="711"/>
      <c r="N34" s="711"/>
      <c r="O34" s="711"/>
      <c r="P34" s="711"/>
      <c r="Q34" s="711"/>
      <c r="R34" s="711"/>
      <c r="S34" s="711"/>
    </row>
    <row r="35" spans="1:19" ht="15.75" x14ac:dyDescent="0.25">
      <c r="A35" s="48" t="str">
        <f>A34</f>
        <v>Fornecimento de Materiais e Equipamentos (aquisição indireta - em conjunto com licitação de obras)</v>
      </c>
      <c r="B35" s="52" t="s">
        <v>653</v>
      </c>
      <c r="C35" s="48" t="str">
        <f t="shared" si="0"/>
        <v>Fornecimento de Materiais e Equipamentos (aquisição indireta - em conjunto com licitação de obras)-DF</v>
      </c>
      <c r="E35" s="53">
        <v>8.5000000000000006E-3</v>
      </c>
      <c r="F35" s="53">
        <v>8.5000000000000006E-3</v>
      </c>
      <c r="G35" s="53">
        <v>1.11E-2</v>
      </c>
      <c r="I35" s="7" t="s">
        <v>536</v>
      </c>
      <c r="J35" s="67"/>
      <c r="K35" s="67"/>
      <c r="L35" s="67"/>
      <c r="M35" s="712" t="s">
        <v>684</v>
      </c>
      <c r="N35" s="713" t="str">
        <f>IF($J17=$A$146,"(1+K1+K2)*(1+K3)","(1+AC + S + R + G)*(1 + DF)*(1+L)")</f>
        <v>(1+AC + S + R + G)*(1 + DF)*(1+L)</v>
      </c>
      <c r="O35" s="713"/>
      <c r="P35" s="713"/>
      <c r="Q35" s="714" t="s">
        <v>685</v>
      </c>
      <c r="R35" s="67"/>
      <c r="S35" s="67"/>
    </row>
    <row r="36" spans="1:19" ht="15.75" x14ac:dyDescent="0.2">
      <c r="A36" s="48" t="str">
        <f>A35</f>
        <v>Fornecimento de Materiais e Equipamentos (aquisição indireta - em conjunto com licitação de obras)</v>
      </c>
      <c r="B36" s="52" t="s">
        <v>654</v>
      </c>
      <c r="C36" s="48" t="str">
        <f t="shared" si="0"/>
        <v>Fornecimento de Materiais e Equipamentos (aquisição indireta - em conjunto com licitação de obras)-L</v>
      </c>
      <c r="E36" s="53">
        <v>3.5000000000000003E-2</v>
      </c>
      <c r="F36" s="53">
        <v>5.1100000000000007E-2</v>
      </c>
      <c r="G36" s="53">
        <v>6.2199999999999998E-2</v>
      </c>
      <c r="I36" s="7" t="s">
        <v>536</v>
      </c>
      <c r="J36" s="67"/>
      <c r="K36" s="67"/>
      <c r="L36" s="67"/>
      <c r="M36" s="712"/>
      <c r="N36" s="705" t="s">
        <v>686</v>
      </c>
      <c r="O36" s="705"/>
      <c r="P36" s="705"/>
      <c r="Q36" s="714"/>
      <c r="R36" s="67"/>
      <c r="S36" s="67"/>
    </row>
    <row r="37" spans="1:19" ht="15" customHeight="1" x14ac:dyDescent="0.2">
      <c r="A37" s="48" t="str">
        <f>A36</f>
        <v>Fornecimento de Materiais e Equipamentos (aquisição indireta - em conjunto com licitação de obras)</v>
      </c>
      <c r="B37" s="57" t="s">
        <v>656</v>
      </c>
      <c r="C37" s="48" t="str">
        <f t="shared" si="0"/>
        <v>Fornecimento de Materiais e Equipamentos (aquisição indireta - em conjunto com licitação de obras)-BDI PAD</v>
      </c>
      <c r="E37" s="53">
        <v>0.111</v>
      </c>
      <c r="F37" s="53">
        <v>0.14019999999999999</v>
      </c>
      <c r="G37" s="53">
        <v>0.16800000000000001</v>
      </c>
      <c r="I37" s="7" t="s">
        <v>536</v>
      </c>
      <c r="J37" s="71"/>
      <c r="K37" s="71"/>
      <c r="L37" s="71"/>
      <c r="M37" s="71"/>
      <c r="N37" s="71"/>
      <c r="O37" s="71"/>
      <c r="P37" s="71"/>
      <c r="Q37" s="71"/>
      <c r="R37" s="71"/>
      <c r="S37" s="71"/>
    </row>
    <row r="38" spans="1:19" ht="50.1" customHeight="1" x14ac:dyDescent="0.2">
      <c r="A38" s="48" t="s">
        <v>687</v>
      </c>
      <c r="B38" s="57" t="s">
        <v>646</v>
      </c>
      <c r="C38" s="48" t="str">
        <f t="shared" si="0"/>
        <v>Fornecimento de Materiais e Equipamentos (aquisição direta)-AC</v>
      </c>
      <c r="E38" s="53" t="s">
        <v>688</v>
      </c>
      <c r="F38" s="53" t="s">
        <v>688</v>
      </c>
      <c r="G38" s="53" t="s">
        <v>688</v>
      </c>
      <c r="I38" t="s">
        <v>536</v>
      </c>
      <c r="J38" s="69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99"/>
      <c r="L38" s="699"/>
      <c r="M38" s="699"/>
      <c r="N38" s="699"/>
      <c r="O38" s="699"/>
      <c r="P38" s="699"/>
      <c r="Q38" s="699"/>
      <c r="R38" s="699"/>
      <c r="S38" s="699"/>
    </row>
    <row r="39" spans="1:19" x14ac:dyDescent="0.2">
      <c r="A39" s="48" t="s">
        <v>687</v>
      </c>
      <c r="B39" s="57" t="s">
        <v>648</v>
      </c>
      <c r="C39" s="48" t="str">
        <f t="shared" si="0"/>
        <v>Fornecimento de Materiais e Equipamentos (aquisição direta)-SG</v>
      </c>
      <c r="E39" s="53" t="s">
        <v>688</v>
      </c>
      <c r="F39" s="53" t="s">
        <v>688</v>
      </c>
      <c r="G39" s="53" t="s">
        <v>688</v>
      </c>
      <c r="I39" t="s">
        <v>536</v>
      </c>
    </row>
    <row r="40" spans="1:19" ht="50.1" customHeight="1" x14ac:dyDescent="0.2">
      <c r="A40" s="48" t="s">
        <v>687</v>
      </c>
      <c r="B40" s="57" t="s">
        <v>649</v>
      </c>
      <c r="C40" s="48" t="str">
        <f t="shared" si="0"/>
        <v>Fornecimento de Materiais e Equipamentos (aquisição direta)-R</v>
      </c>
      <c r="E40" s="53" t="s">
        <v>688</v>
      </c>
      <c r="F40" s="53" t="s">
        <v>688</v>
      </c>
      <c r="G40" s="53" t="s">
        <v>688</v>
      </c>
      <c r="I40" t="s">
        <v>536</v>
      </c>
      <c r="J40" s="699"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9"/>
      <c r="L40" s="699"/>
      <c r="M40" s="699"/>
      <c r="N40" s="699"/>
      <c r="O40" s="699"/>
      <c r="P40" s="699"/>
      <c r="Q40" s="699"/>
      <c r="R40" s="699"/>
      <c r="S40" s="699"/>
    </row>
    <row r="41" spans="1:19" x14ac:dyDescent="0.2">
      <c r="A41" s="48" t="s">
        <v>687</v>
      </c>
      <c r="B41" s="57" t="s">
        <v>653</v>
      </c>
      <c r="C41" s="48" t="str">
        <f t="shared" si="0"/>
        <v>Fornecimento de Materiais e Equipamentos (aquisição direta)-DF</v>
      </c>
      <c r="E41" s="53" t="s">
        <v>688</v>
      </c>
      <c r="F41" s="53" t="s">
        <v>688</v>
      </c>
      <c r="G41" s="53" t="s">
        <v>688</v>
      </c>
      <c r="I41" t="s">
        <v>536</v>
      </c>
    </row>
    <row r="42" spans="1:19" x14ac:dyDescent="0.2">
      <c r="A42" s="48" t="s">
        <v>687</v>
      </c>
      <c r="B42" s="57" t="s">
        <v>654</v>
      </c>
      <c r="C42" s="48" t="str">
        <f t="shared" si="0"/>
        <v>Fornecimento de Materiais e Equipamentos (aquisição direta)-L</v>
      </c>
      <c r="E42" s="53" t="s">
        <v>688</v>
      </c>
      <c r="F42" s="53" t="s">
        <v>688</v>
      </c>
      <c r="G42" s="53" t="s">
        <v>688</v>
      </c>
      <c r="I42" t="s">
        <v>536</v>
      </c>
      <c r="J42" s="48" t="s">
        <v>689</v>
      </c>
    </row>
    <row r="43" spans="1:19" ht="99.95" customHeight="1" x14ac:dyDescent="0.2">
      <c r="A43" s="48" t="s">
        <v>687</v>
      </c>
      <c r="B43" s="57" t="s">
        <v>656</v>
      </c>
      <c r="C43" s="48" t="str">
        <f t="shared" si="0"/>
        <v>Fornecimento de Materiais e Equipamentos (aquisição direta)-BDI PAD</v>
      </c>
      <c r="E43" s="53" t="s">
        <v>688</v>
      </c>
      <c r="F43" s="53" t="s">
        <v>688</v>
      </c>
      <c r="G43" s="53" t="s">
        <v>688</v>
      </c>
      <c r="I43" t="s">
        <v>536</v>
      </c>
      <c r="J43" s="700"/>
      <c r="K43" s="700"/>
      <c r="L43" s="700"/>
      <c r="M43" s="700"/>
      <c r="N43" s="700"/>
      <c r="O43" s="700"/>
      <c r="P43" s="700"/>
      <c r="Q43" s="700"/>
      <c r="R43" s="700"/>
      <c r="S43" s="700"/>
    </row>
    <row r="44" spans="1:19" x14ac:dyDescent="0.2">
      <c r="A44" s="48" t="s">
        <v>690</v>
      </c>
      <c r="B44" s="52" t="s">
        <v>691</v>
      </c>
      <c r="C44" s="48" t="str">
        <f t="shared" si="0"/>
        <v>Estudos e Projetos, Planos e Gerenciamento e outros correlatos-K1</v>
      </c>
      <c r="E44" s="53" t="s">
        <v>688</v>
      </c>
      <c r="F44" s="53" t="s">
        <v>688</v>
      </c>
      <c r="G44" s="53" t="s">
        <v>688</v>
      </c>
      <c r="I44" t="s">
        <v>536</v>
      </c>
    </row>
    <row r="45" spans="1:19" x14ac:dyDescent="0.2">
      <c r="A45" s="48" t="str">
        <f>A44</f>
        <v>Estudos e Projetos, Planos e Gerenciamento e outros correlatos</v>
      </c>
      <c r="B45" s="52" t="s">
        <v>692</v>
      </c>
      <c r="C45" s="48" t="str">
        <f t="shared" si="0"/>
        <v>Estudos e Projetos, Planos e Gerenciamento e outros correlatos-K2</v>
      </c>
      <c r="E45" s="53" t="s">
        <v>688</v>
      </c>
      <c r="F45" s="53">
        <v>0.2</v>
      </c>
      <c r="G45" s="53" t="s">
        <v>688</v>
      </c>
      <c r="I45" t="s">
        <v>536</v>
      </c>
      <c r="J45" s="701" t="str">
        <f>Import.Município</f>
        <v>Marialva-PR</v>
      </c>
      <c r="K45" s="701"/>
      <c r="L45" s="701"/>
      <c r="M45" s="701"/>
      <c r="P45" s="702">
        <f>DADOS!$C$25</f>
        <v>46295</v>
      </c>
      <c r="Q45" s="702"/>
      <c r="R45" s="702"/>
      <c r="S45" s="702"/>
    </row>
    <row r="46" spans="1:19" x14ac:dyDescent="0.2">
      <c r="A46" s="48" t="str">
        <f>A45</f>
        <v>Estudos e Projetos, Planos e Gerenciamento e outros correlatos</v>
      </c>
      <c r="B46" s="52"/>
      <c r="C46" s="48" t="str">
        <f t="shared" si="0"/>
        <v>Estudos e Projetos, Planos e Gerenciamento e outros correlatos-</v>
      </c>
      <c r="E46" s="53" t="s">
        <v>688</v>
      </c>
      <c r="F46" s="53" t="s">
        <v>688</v>
      </c>
      <c r="G46" s="53" t="s">
        <v>688</v>
      </c>
      <c r="I46" t="s">
        <v>536</v>
      </c>
      <c r="J46" s="703" t="s">
        <v>693</v>
      </c>
      <c r="K46" s="703"/>
      <c r="L46" s="703"/>
      <c r="M46" s="703"/>
      <c r="O46" s="72"/>
      <c r="P46" s="73" t="s">
        <v>694</v>
      </c>
      <c r="Q46" s="74"/>
      <c r="R46" s="74"/>
      <c r="S46" s="74"/>
    </row>
    <row r="47" spans="1:19" ht="30" customHeight="1" x14ac:dyDescent="0.2">
      <c r="A47" s="48" t="str">
        <f>A46</f>
        <v>Estudos e Projetos, Planos e Gerenciamento e outros correlatos</v>
      </c>
      <c r="B47" s="52"/>
      <c r="C47" s="48" t="str">
        <f t="shared" si="0"/>
        <v>Estudos e Projetos, Planos e Gerenciamento e outros correlatos-</v>
      </c>
      <c r="E47" s="53" t="s">
        <v>688</v>
      </c>
      <c r="F47" s="53" t="s">
        <v>688</v>
      </c>
      <c r="G47" s="53" t="s">
        <v>688</v>
      </c>
      <c r="I47" t="s">
        <v>536</v>
      </c>
    </row>
    <row r="48" spans="1:19" ht="15" x14ac:dyDescent="0.2">
      <c r="A48" s="48" t="str">
        <f>A47</f>
        <v>Estudos e Projetos, Planos e Gerenciamento e outros correlatos</v>
      </c>
      <c r="B48" s="52" t="s">
        <v>695</v>
      </c>
      <c r="C48" s="48" t="str">
        <f t="shared" si="0"/>
        <v>Estudos e Projetos, Planos e Gerenciamento e outros correlatos-K3</v>
      </c>
      <c r="E48" s="53" t="s">
        <v>688</v>
      </c>
      <c r="F48" s="53">
        <v>0.12</v>
      </c>
      <c r="G48" s="53" t="s">
        <v>688</v>
      </c>
      <c r="I48" t="s">
        <v>536</v>
      </c>
      <c r="J48" s="704"/>
      <c r="K48" s="704"/>
      <c r="L48" s="704"/>
      <c r="M48" s="704"/>
      <c r="N48" s="75"/>
    </row>
    <row r="49" spans="1:26" ht="12.75" customHeight="1" x14ac:dyDescent="0.2">
      <c r="A49" s="48" t="str">
        <f>A48</f>
        <v>Estudos e Projetos, Planos e Gerenciamento e outros correlatos</v>
      </c>
      <c r="B49" s="57" t="s">
        <v>656</v>
      </c>
      <c r="C49" s="48" t="str">
        <f t="shared" si="0"/>
        <v>Estudos e Projetos, Planos e Gerenciamento e outros correlatos-BDI PAD</v>
      </c>
      <c r="E49" s="53" t="s">
        <v>688</v>
      </c>
      <c r="F49" s="53" t="s">
        <v>688</v>
      </c>
      <c r="G49" s="53" t="s">
        <v>688</v>
      </c>
      <c r="I49" t="s">
        <v>536</v>
      </c>
      <c r="J49" s="698" t="s">
        <v>696</v>
      </c>
      <c r="K49" s="698"/>
      <c r="L49" s="698"/>
      <c r="M49" s="698"/>
    </row>
    <row r="50" spans="1:26" ht="14.25" x14ac:dyDescent="0.2">
      <c r="B50" s="57"/>
      <c r="E50" s="53"/>
      <c r="F50" s="53"/>
      <c r="G50" s="53"/>
      <c r="I50" t="s">
        <v>536</v>
      </c>
      <c r="J50" s="76" t="s">
        <v>240</v>
      </c>
      <c r="K50" s="77" t="str">
        <f t="array" ref="K50:K52">Import.RespOrçamento</f>
        <v>Fernando Vinicius Moraes Viana</v>
      </c>
      <c r="L50" s="78"/>
      <c r="M50" s="78"/>
      <c r="N50" s="75"/>
    </row>
    <row r="51" spans="1:26" ht="14.25" x14ac:dyDescent="0.2">
      <c r="A51"/>
      <c r="B51"/>
      <c r="C51"/>
      <c r="D51"/>
      <c r="E51"/>
      <c r="F51"/>
      <c r="G51"/>
      <c r="I51" t="s">
        <v>536</v>
      </c>
      <c r="J51" s="76" t="s">
        <v>243</v>
      </c>
      <c r="K51" s="77" t="str">
        <v>144.403/D</v>
      </c>
      <c r="L51" s="78"/>
      <c r="M51" s="78"/>
      <c r="N51" s="75"/>
    </row>
    <row r="52" spans="1:26" ht="14.25" x14ac:dyDescent="0.2">
      <c r="A52"/>
      <c r="B52"/>
      <c r="C52"/>
      <c r="D52"/>
      <c r="E52"/>
      <c r="F52"/>
      <c r="G52"/>
      <c r="I52" t="s">
        <v>536</v>
      </c>
      <c r="J52" s="76" t="s">
        <v>246</v>
      </c>
      <c r="K52" s="77" t="str">
        <v>1720265939600</v>
      </c>
      <c r="L52" s="78"/>
      <c r="M52" s="78"/>
      <c r="N52" s="75"/>
    </row>
    <row r="53" spans="1:26" ht="14.25" x14ac:dyDescent="0.2">
      <c r="A53"/>
      <c r="B53"/>
      <c r="C53"/>
      <c r="D53"/>
      <c r="E53"/>
      <c r="F53"/>
      <c r="G53"/>
      <c r="I53" t="s">
        <v>536</v>
      </c>
      <c r="J53" s="76"/>
      <c r="K53" s="79"/>
      <c r="L53" s="78"/>
      <c r="M53" s="78"/>
      <c r="N53" s="75"/>
    </row>
    <row r="54" spans="1:26" ht="15.75" x14ac:dyDescent="0.25">
      <c r="A54"/>
      <c r="B54"/>
      <c r="C54"/>
      <c r="D54"/>
      <c r="E54"/>
      <c r="F54"/>
      <c r="G54"/>
      <c r="I54" t="str">
        <f ca="1">IF($S$69=0,"","F")</f>
        <v/>
      </c>
      <c r="J54" s="718" t="s">
        <v>697</v>
      </c>
      <c r="K54" s="718"/>
      <c r="L54" s="718"/>
      <c r="M54" s="718"/>
      <c r="N54" s="718"/>
      <c r="O54" s="718"/>
      <c r="P54" s="718"/>
      <c r="Q54" s="718"/>
      <c r="R54" s="718"/>
      <c r="S54" s="718"/>
      <c r="U54" s="520" t="str">
        <f>IF(COUNTIF(ORÇAMENTO!$V$15:$V$35,BDI_2.Título)=0,"",IF(OR(Import.BDI.Tipo2="(SELECIONAR)",Import.BDI.Tipo2="",U57&lt;&gt;"",AND($J57&lt;&gt;$A$145,OR(S61="",S62="",AND($J57&lt;&gt;$A$146,OR(S63="",S64="")),S65="",S66=""))),"Falta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77" t="s">
        <v>664</v>
      </c>
      <c r="K56" s="677"/>
      <c r="L56" s="677"/>
      <c r="M56" s="677"/>
      <c r="N56" s="677"/>
      <c r="O56" s="677"/>
      <c r="P56" s="677"/>
      <c r="Q56" s="677"/>
      <c r="R56" s="677"/>
      <c r="S56" s="677"/>
    </row>
    <row r="57" spans="1:26" ht="15" x14ac:dyDescent="0.25">
      <c r="A57"/>
      <c r="B57"/>
      <c r="C57"/>
      <c r="D57"/>
      <c r="E57"/>
      <c r="F57"/>
      <c r="G57"/>
      <c r="I57" t="str">
        <f t="shared" ca="1" si="3"/>
        <v/>
      </c>
      <c r="J57" s="717" t="s">
        <v>139</v>
      </c>
      <c r="K57" s="717"/>
      <c r="L57" s="717"/>
      <c r="M57" s="717"/>
      <c r="N57" s="717"/>
      <c r="O57" s="717"/>
      <c r="P57" s="717"/>
      <c r="Q57" s="717"/>
      <c r="R57" s="717"/>
      <c r="S57" s="717"/>
      <c r="T57" s="562" t="str">
        <f ca="1">IF(U57="","","◄")</f>
        <v/>
      </c>
      <c r="U57" s="561" t="str">
        <f ca="1">IF(AND(OR(S69&gt;0,COUNTIF(ORÇAMENTO!$V$15:$V$35,BDI_2.Título)&gt;0),OR(Import.BDI.Tipo2="(SELECIONAR)",Import.BDI.Tipo2="")),"Selecione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16" t="s">
        <v>666</v>
      </c>
      <c r="K59" s="716"/>
      <c r="L59" s="716"/>
      <c r="M59" s="716"/>
      <c r="N59" s="716"/>
      <c r="O59" s="716"/>
      <c r="P59" s="716"/>
      <c r="Q59" s="716"/>
      <c r="R59" s="716" t="s">
        <v>667</v>
      </c>
      <c r="S59" s="708" t="s">
        <v>668</v>
      </c>
      <c r="U59" s="708" t="s">
        <v>669</v>
      </c>
      <c r="V59" s="708"/>
      <c r="W59" s="708"/>
      <c r="X59" s="715" t="s">
        <v>670</v>
      </c>
      <c r="Y59" s="715" t="s">
        <v>671</v>
      </c>
      <c r="Z59" s="715" t="s">
        <v>672</v>
      </c>
    </row>
    <row r="60" spans="1:26" ht="12.75" customHeight="1" x14ac:dyDescent="0.2">
      <c r="A60"/>
      <c r="B60"/>
      <c r="C60"/>
      <c r="D60"/>
      <c r="E60"/>
      <c r="F60"/>
      <c r="G60"/>
      <c r="I60" t="str">
        <f t="shared" ca="1" si="3"/>
        <v/>
      </c>
      <c r="J60" s="716"/>
      <c r="K60" s="716"/>
      <c r="L60" s="716"/>
      <c r="M60" s="716"/>
      <c r="N60" s="716"/>
      <c r="O60" s="716"/>
      <c r="P60" s="716"/>
      <c r="Q60" s="716"/>
      <c r="R60" s="716"/>
      <c r="S60" s="708"/>
      <c r="U60" s="708"/>
      <c r="V60" s="708"/>
      <c r="W60" s="708"/>
      <c r="X60" s="715"/>
      <c r="Y60" s="715"/>
      <c r="Z60" s="715"/>
    </row>
    <row r="61" spans="1:26" ht="15" customHeight="1" x14ac:dyDescent="0.2">
      <c r="A61"/>
      <c r="B61"/>
      <c r="C61"/>
      <c r="D61"/>
      <c r="E61"/>
      <c r="F61"/>
      <c r="G61"/>
      <c r="I61" t="str">
        <f t="shared" ca="1" si="3"/>
        <v/>
      </c>
      <c r="J61" s="706" t="str">
        <f>IF($J$57=$A$146,"Encargos Sociais incidentes sobre a mão de obra","Administração Central")</f>
        <v>Administração Central</v>
      </c>
      <c r="K61" s="706"/>
      <c r="L61" s="706"/>
      <c r="M61" s="706"/>
      <c r="N61" s="706"/>
      <c r="O61" s="706"/>
      <c r="P61" s="706"/>
      <c r="Q61" s="706"/>
      <c r="R61" s="59" t="str">
        <f>IF($J57=$A$146,"K1","AC")</f>
        <v>AC</v>
      </c>
      <c r="S61" s="60"/>
      <c r="T61" s="571" t="str">
        <f ca="1">IF(AND($U$54&lt;&gt;"",$U$57="",R61&lt;&gt;"",S61=""),"◄","")</f>
        <v/>
      </c>
      <c r="U61" s="707" t="str">
        <f ca="1">IFERROR(IF(T61="◄","FALTA PREENCHER",IF(AND(OR(S61&gt;=X61,X61="-"),OR(S61&lt;=Z61,Z61="-")),"OK","FORA DO INTERVALO")),"-")</f>
        <v>-</v>
      </c>
      <c r="V61" s="707"/>
      <c r="W61" s="707"/>
      <c r="X61" s="61" t="e">
        <f>VLOOKUP(CONCATENATE(J57,"-",R61),$C$2:$G$136,3,FALSE)</f>
        <v>#N/A</v>
      </c>
      <c r="Y61" s="61" t="e">
        <f>VLOOKUP(CONCATENATE(J57,"-",R61),$C$2:$G$136,4,FALSE)</f>
        <v>#N/A</v>
      </c>
      <c r="Z61" s="61" t="e">
        <f>VLOOKUP(CONCATENATE(J57,"-",R61),$C$2:$G$136,5,FALSE)</f>
        <v>#N/A</v>
      </c>
    </row>
    <row r="62" spans="1:26" ht="15" customHeight="1" x14ac:dyDescent="0.2">
      <c r="A62"/>
      <c r="B62"/>
      <c r="C62"/>
      <c r="D62"/>
      <c r="E62"/>
      <c r="F62"/>
      <c r="G62"/>
      <c r="I62" t="str">
        <f t="shared" ca="1" si="3"/>
        <v/>
      </c>
      <c r="J62" s="706" t="str">
        <f>IF($J$57=$A$146,"Administração Central da empresa ou consultoria - overhead","Seguro e Garantia")</f>
        <v>Seguro e Garantia</v>
      </c>
      <c r="K62" s="706"/>
      <c r="L62" s="706"/>
      <c r="M62" s="706"/>
      <c r="N62" s="706"/>
      <c r="O62" s="706"/>
      <c r="P62" s="706"/>
      <c r="Q62" s="706"/>
      <c r="R62" s="59" t="str">
        <f>IF($J57=$A$146,"K2","SG")</f>
        <v>SG</v>
      </c>
      <c r="S62" s="60"/>
      <c r="T62" s="571" t="str">
        <f t="shared" ref="T62:T66" ca="1" si="4">IF(AND($U$54&lt;&gt;"",$U$57="",R62&lt;&gt;"",S62=""),"◄","")</f>
        <v/>
      </c>
      <c r="U62" s="707" t="str">
        <f t="shared" ref="U62:U68" ca="1" si="5">IFERROR(IF(T62="◄","FALTA PREENCHER",IF(AND(OR(S62&gt;=X62,X62="-"),OR(S62&lt;=Z62,Z62="-")),"OK","FORA DO INTERVALO")),"-")</f>
        <v>-</v>
      </c>
      <c r="V62" s="707"/>
      <c r="W62" s="707"/>
      <c r="X62" s="61" t="e">
        <f>VLOOKUP(CONCATENATE(J57,"-",R62),$C$2:$G$136,3,FALSE)</f>
        <v>#N/A</v>
      </c>
      <c r="Y62" s="61" t="e">
        <f>VLOOKUP(CONCATENATE(J57,"-",R62),$C$2:$G$136,4,FALSE)</f>
        <v>#N/A</v>
      </c>
      <c r="Z62" s="61" t="e">
        <f>VLOOKUP(CONCATENATE(J57,"-",R62),$C$2:$G$136,5,FALSE)</f>
        <v>#N/A</v>
      </c>
    </row>
    <row r="63" spans="1:26" ht="15" customHeight="1" x14ac:dyDescent="0.2">
      <c r="A63"/>
      <c r="B63"/>
      <c r="C63"/>
      <c r="D63"/>
      <c r="E63"/>
      <c r="F63"/>
      <c r="G63"/>
      <c r="I63" t="str">
        <f t="shared" ca="1" si="3"/>
        <v/>
      </c>
      <c r="J63" s="706" t="s">
        <v>942</v>
      </c>
      <c r="K63" s="706"/>
      <c r="L63" s="706"/>
      <c r="M63" s="706"/>
      <c r="N63" s="706"/>
      <c r="O63" s="706"/>
      <c r="P63" s="706"/>
      <c r="Q63" s="706"/>
      <c r="R63" s="59" t="str">
        <f>IF($J57=$A$146,"","R")</f>
        <v>R</v>
      </c>
      <c r="S63" s="60"/>
      <c r="T63" s="571" t="str">
        <f t="shared" ca="1" si="4"/>
        <v/>
      </c>
      <c r="U63" s="707" t="str">
        <f t="shared" ca="1" si="5"/>
        <v>-</v>
      </c>
      <c r="V63" s="707"/>
      <c r="W63" s="707"/>
      <c r="X63" s="61" t="e">
        <f>VLOOKUP(CONCATENATE(J57,"-",R63),$C$2:$G$136,3,FALSE)</f>
        <v>#N/A</v>
      </c>
      <c r="Y63" s="61" t="e">
        <f>VLOOKUP(CONCATENATE(J57,"-",R63),$C$2:$G$136,4,FALSE)</f>
        <v>#N/A</v>
      </c>
      <c r="Z63" s="61" t="e">
        <f>VLOOKUP(CONCATENATE(J57,"-",R63),$C$2:$G$136,5,FALSE)</f>
        <v>#N/A</v>
      </c>
    </row>
    <row r="64" spans="1:26" ht="15" customHeight="1" x14ac:dyDescent="0.2">
      <c r="A64"/>
      <c r="B64"/>
      <c r="C64"/>
      <c r="D64"/>
      <c r="E64"/>
      <c r="F64"/>
      <c r="G64"/>
      <c r="I64" t="str">
        <f t="shared" ca="1" si="3"/>
        <v/>
      </c>
      <c r="J64" s="706" t="s">
        <v>943</v>
      </c>
      <c r="K64" s="706"/>
      <c r="L64" s="706"/>
      <c r="M64" s="706"/>
      <c r="N64" s="706"/>
      <c r="O64" s="706"/>
      <c r="P64" s="706"/>
      <c r="Q64" s="706"/>
      <c r="R64" s="59" t="str">
        <f>IF($J57=$A$146,"","DF")</f>
        <v>DF</v>
      </c>
      <c r="S64" s="60"/>
      <c r="T64" s="571" t="str">
        <f t="shared" ca="1" si="4"/>
        <v/>
      </c>
      <c r="U64" s="707" t="str">
        <f t="shared" ca="1" si="5"/>
        <v>-</v>
      </c>
      <c r="V64" s="707"/>
      <c r="W64" s="707"/>
      <c r="X64" s="61" t="e">
        <f>VLOOKUP(CONCATENATE(J57,"-",R64),$C$2:$G$136,3,FALSE)</f>
        <v>#N/A</v>
      </c>
      <c r="Y64" s="61" t="e">
        <f>VLOOKUP(CONCATENATE(J57,"-",R64),$C$2:$G$136,4,FALSE)</f>
        <v>#N/A</v>
      </c>
      <c r="Z64" s="61" t="e">
        <f>VLOOKUP(CONCATENATE(J57,"-",R64),$C$2:$G$136,5,FALSE)</f>
        <v>#N/A</v>
      </c>
    </row>
    <row r="65" spans="1:26" ht="15" customHeight="1" x14ac:dyDescent="0.2">
      <c r="A65"/>
      <c r="B65"/>
      <c r="C65"/>
      <c r="D65"/>
      <c r="E65"/>
      <c r="F65"/>
      <c r="G65"/>
      <c r="I65" t="str">
        <f t="shared" ca="1" si="3"/>
        <v/>
      </c>
      <c r="J65" s="706" t="str">
        <f>IF($J$57=$A$146,"Margem bruta da empresa de consultoria","Lucro")</f>
        <v>Lucro</v>
      </c>
      <c r="K65" s="706"/>
      <c r="L65" s="706"/>
      <c r="M65" s="706"/>
      <c r="N65" s="706"/>
      <c r="O65" s="706"/>
      <c r="P65" s="706"/>
      <c r="Q65" s="706"/>
      <c r="R65" s="59" t="str">
        <f>IF($J57=$A$146,"K3","L")</f>
        <v>L</v>
      </c>
      <c r="S65" s="60"/>
      <c r="T65" s="571" t="str">
        <f t="shared" ca="1" si="4"/>
        <v/>
      </c>
      <c r="U65" s="707" t="str">
        <f t="shared" ca="1" si="5"/>
        <v>-</v>
      </c>
      <c r="V65" s="707"/>
      <c r="W65" s="707"/>
      <c r="X65" s="61" t="e">
        <f>VLOOKUP(CONCATENATE(J57,"-",R65),$C$2:$G$136,3,FALSE)</f>
        <v>#N/A</v>
      </c>
      <c r="Y65" s="61" t="e">
        <f>VLOOKUP(CONCATENATE(J57,"-",R65),$C$2:$G$136,4,FALSE)</f>
        <v>#N/A</v>
      </c>
      <c r="Z65" s="61" t="e">
        <f>VLOOKUP(CONCATENATE(J57,"-",R65),$C$2:$G$136,5,FALSE)</f>
        <v>#N/A</v>
      </c>
    </row>
    <row r="66" spans="1:26" ht="15" customHeight="1" x14ac:dyDescent="0.2">
      <c r="A66"/>
      <c r="B66"/>
      <c r="C66"/>
      <c r="D66"/>
      <c r="E66"/>
      <c r="F66"/>
      <c r="G66"/>
      <c r="I66" t="str">
        <f t="shared" ca="1" si="3"/>
        <v/>
      </c>
      <c r="J66" s="706" t="s">
        <v>675</v>
      </c>
      <c r="K66" s="706"/>
      <c r="L66" s="706"/>
      <c r="M66" s="706"/>
      <c r="N66" s="706"/>
      <c r="O66" s="706"/>
      <c r="P66" s="706"/>
      <c r="Q66" s="706"/>
      <c r="R66" s="59" t="s">
        <v>456</v>
      </c>
      <c r="S66" s="60"/>
      <c r="T66" s="571" t="str">
        <f t="shared" ca="1" si="4"/>
        <v/>
      </c>
      <c r="U66" s="707" t="str">
        <f t="shared" ca="1" si="5"/>
        <v>FORA DO INTERVALO</v>
      </c>
      <c r="V66" s="707"/>
      <c r="W66" s="707"/>
      <c r="X66" s="61">
        <f>Y66</f>
        <v>3.6499999999999998E-2</v>
      </c>
      <c r="Y66" s="61">
        <f>IF($J57=$A$145,"-",3.65%)</f>
        <v>3.6499999999999998E-2</v>
      </c>
      <c r="Z66" s="61">
        <f>Y66</f>
        <v>3.6499999999999998E-2</v>
      </c>
    </row>
    <row r="67" spans="1:26" ht="15" customHeight="1" x14ac:dyDescent="0.2">
      <c r="A67"/>
      <c r="B67"/>
      <c r="C67"/>
      <c r="D67"/>
      <c r="E67"/>
      <c r="F67"/>
      <c r="G67"/>
      <c r="I67" t="str">
        <f t="shared" ca="1" si="3"/>
        <v/>
      </c>
      <c r="J67" s="706" t="s">
        <v>676</v>
      </c>
      <c r="K67" s="706"/>
      <c r="L67" s="706"/>
      <c r="M67" s="706"/>
      <c r="N67" s="706"/>
      <c r="O67" s="706"/>
      <c r="P67" s="706"/>
      <c r="Q67" s="706"/>
      <c r="R67" s="59" t="s">
        <v>677</v>
      </c>
      <c r="S67" s="61">
        <f ca="1">IF(AND($J57&lt;&gt;$A$145,COUNTA(OFFSET(S60,1,0,6))&gt;0),$R$11*$R$10,0)</f>
        <v>0</v>
      </c>
      <c r="U67" s="707" t="str">
        <f t="shared" ca="1" si="5"/>
        <v>OK</v>
      </c>
      <c r="V67" s="707"/>
      <c r="W67" s="707"/>
      <c r="X67" s="61">
        <v>0</v>
      </c>
      <c r="Y67" s="61">
        <v>2.5000000000000001E-2</v>
      </c>
      <c r="Z67" s="61">
        <v>0.05</v>
      </c>
    </row>
    <row r="68" spans="1:26" ht="15" customHeight="1" x14ac:dyDescent="0.2">
      <c r="A68"/>
      <c r="B68"/>
      <c r="C68"/>
      <c r="D68"/>
      <c r="E68"/>
      <c r="F68"/>
      <c r="G68"/>
      <c r="I68" t="str">
        <f t="shared" ca="1" si="3"/>
        <v/>
      </c>
      <c r="J68" s="706" t="s">
        <v>678</v>
      </c>
      <c r="K68" s="706"/>
      <c r="L68" s="706"/>
      <c r="M68" s="706"/>
      <c r="N68" s="706"/>
      <c r="O68" s="706"/>
      <c r="P68" s="706"/>
      <c r="Q68" s="706"/>
      <c r="R68" s="59" t="s">
        <v>679</v>
      </c>
      <c r="S68" s="61" cm="1">
        <f t="array" aca="1" ref="S68" ca="1">IF(BDI.Opcao&lt;&gt;"Desonerado",0,IF(AND($J57&lt;&gt;$A$145,COUNTA(OFFSET(S60,1,0,6))&gt;0),IF(YEAR(Import.DataBase)&lt;2025,4.5%,IF(YEAR(Import.DataBase)=2025,3.6%,IF(YEAR(Import.DataBase)=2026,2.7%,IF(YEAR(Import.DataBase)=2027,1.8%,0%)))),0%))</f>
        <v>0</v>
      </c>
      <c r="U68" s="707" t="str">
        <f t="shared" ca="1" si="5"/>
        <v>OK</v>
      </c>
      <c r="V68" s="707"/>
      <c r="W68" s="707"/>
      <c r="X68" s="62">
        <f ca="1">$S68</f>
        <v>0</v>
      </c>
      <c r="Y68" s="62">
        <f ca="1">$S68</f>
        <v>0</v>
      </c>
      <c r="Z68" s="62">
        <f ca="1">$S68</f>
        <v>0</v>
      </c>
    </row>
    <row r="69" spans="1:26" ht="15" customHeight="1" x14ac:dyDescent="0.2">
      <c r="A69"/>
      <c r="B69"/>
      <c r="C69"/>
      <c r="D69"/>
      <c r="E69"/>
      <c r="F69"/>
      <c r="G69"/>
      <c r="I69" t="str">
        <f t="shared" ca="1" si="3"/>
        <v/>
      </c>
      <c r="J69" s="706" t="s">
        <v>680</v>
      </c>
      <c r="K69" s="706"/>
      <c r="L69" s="706"/>
      <c r="M69" s="706"/>
      <c r="N69" s="706"/>
      <c r="O69" s="706"/>
      <c r="P69" s="706"/>
      <c r="Q69" s="706"/>
      <c r="R69" s="63" t="s">
        <v>656</v>
      </c>
      <c r="S69" s="61">
        <f ca="1">IF($J57=$A$145,0,ROUND((((1+S61+S62+S63)*(1+S64)*(1+S65)/(1-(S66+S67)))-1),4))</f>
        <v>0</v>
      </c>
      <c r="U69" s="708" t="str">
        <f ca="1">IFERROR(IF(AND(OR(S69&gt;=X69,X69="-"),OR(S69&lt;=Z69,Z69="-")),"OK","FORA DO INTERVALO"),IF(S69=0,"OK","Selecione o Tipo de obra"))</f>
        <v>OK</v>
      </c>
      <c r="V69" s="708"/>
      <c r="W69" s="708"/>
      <c r="X69" s="61" t="e">
        <f>IF($J57=$A$145,0,VLOOKUP(CONCATENATE($J57,"-",$R69),$C$2:$G$136,3,FALSE))</f>
        <v>#N/A</v>
      </c>
      <c r="Y69" s="61" t="e">
        <f>IF($J57=$A$145,0,VLOOKUP(CONCATENATE($J57,"-",$R69),$C$2:$G$136,4,FALSE))</f>
        <v>#N/A</v>
      </c>
      <c r="Z69" s="61" t="e">
        <f>IF($J57=$A$145,0,VLOOKUP(CONCATENATE($J57,"-",$R69),$C$2:$G$136,5,FALSE))</f>
        <v>#N/A</v>
      </c>
    </row>
    <row r="70" spans="1:26" ht="15" customHeight="1" x14ac:dyDescent="0.2">
      <c r="A70"/>
      <c r="B70"/>
      <c r="C70"/>
      <c r="D70"/>
      <c r="E70"/>
      <c r="F70"/>
      <c r="G70"/>
      <c r="I70" t="str">
        <f t="shared" ca="1" si="3"/>
        <v/>
      </c>
      <c r="J70" s="709" t="s">
        <v>681</v>
      </c>
      <c r="K70" s="709"/>
      <c r="L70" s="709"/>
      <c r="M70" s="709"/>
      <c r="N70" s="709"/>
      <c r="O70" s="709"/>
      <c r="P70" s="709"/>
      <c r="Q70" s="709"/>
      <c r="R70" s="64" t="s">
        <v>682</v>
      </c>
      <c r="S70" s="65">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6" t="str">
        <f ca="1">IF(U69&lt;&gt;"ok","X","")</f>
        <v/>
      </c>
      <c r="K72" s="710" t="str">
        <f ca="1">IF(U69&lt;&gt;"ok","Anexo: Relatório Técnico Circunstanciado justificando a adoção do percentual de cada parcela do BDI.","")</f>
        <v/>
      </c>
      <c r="L72" s="710"/>
      <c r="M72" s="710"/>
      <c r="N72" s="710"/>
      <c r="O72" s="710"/>
      <c r="P72" s="710"/>
      <c r="Q72" s="710"/>
      <c r="R72" s="710"/>
      <c r="S72" s="710"/>
    </row>
    <row r="73" spans="1:26" x14ac:dyDescent="0.2">
      <c r="A73"/>
      <c r="B73"/>
      <c r="C73"/>
      <c r="D73"/>
      <c r="E73"/>
      <c r="F73"/>
      <c r="G73"/>
      <c r="I73" t="str">
        <f t="shared" ca="1" si="3"/>
        <v/>
      </c>
    </row>
    <row r="74" spans="1:26" x14ac:dyDescent="0.2">
      <c r="A74"/>
      <c r="B74"/>
      <c r="C74"/>
      <c r="D74"/>
      <c r="E74"/>
      <c r="F74"/>
      <c r="G74"/>
      <c r="I74" t="str">
        <f t="shared" ca="1" si="3"/>
        <v/>
      </c>
      <c r="J74" s="711" t="s">
        <v>683</v>
      </c>
      <c r="K74" s="711"/>
      <c r="L74" s="711"/>
      <c r="M74" s="711"/>
      <c r="N74" s="711"/>
      <c r="O74" s="711"/>
      <c r="P74" s="711"/>
      <c r="Q74" s="711"/>
      <c r="R74" s="711"/>
      <c r="S74" s="711"/>
    </row>
    <row r="75" spans="1:26" ht="15.75" x14ac:dyDescent="0.25">
      <c r="A75"/>
      <c r="B75"/>
      <c r="C75"/>
      <c r="D75"/>
      <c r="E75"/>
      <c r="F75"/>
      <c r="G75"/>
      <c r="I75" t="str">
        <f t="shared" ca="1" si="3"/>
        <v/>
      </c>
      <c r="J75" s="67"/>
      <c r="K75" s="67"/>
      <c r="L75" s="67"/>
      <c r="M75" s="712" t="s">
        <v>684</v>
      </c>
      <c r="N75" s="713" t="str">
        <f>IF($J57=$A$146,"(1+K1+K2)*(1+K3)","(1+AC + S + R + G)*(1 + DF)*(1+L)")</f>
        <v>(1+AC + S + R + G)*(1 + DF)*(1+L)</v>
      </c>
      <c r="O75" s="713"/>
      <c r="P75" s="713"/>
      <c r="Q75" s="714" t="s">
        <v>685</v>
      </c>
      <c r="R75" s="67"/>
      <c r="S75" s="67"/>
    </row>
    <row r="76" spans="1:26" ht="15.75" x14ac:dyDescent="0.2">
      <c r="A76"/>
      <c r="B76"/>
      <c r="C76"/>
      <c r="D76"/>
      <c r="E76"/>
      <c r="F76"/>
      <c r="G76"/>
      <c r="I76" t="str">
        <f t="shared" ca="1" si="3"/>
        <v/>
      </c>
      <c r="J76" s="67"/>
      <c r="K76" s="67"/>
      <c r="L76" s="67"/>
      <c r="M76" s="712"/>
      <c r="N76" s="705" t="s">
        <v>686</v>
      </c>
      <c r="O76" s="705"/>
      <c r="P76" s="705"/>
      <c r="Q76" s="714"/>
      <c r="R76" s="67"/>
      <c r="S76" s="67"/>
    </row>
    <row r="77" spans="1:26" ht="15" customHeight="1" x14ac:dyDescent="0.2">
      <c r="A77"/>
      <c r="B77"/>
      <c r="C77"/>
      <c r="D77"/>
      <c r="E77"/>
      <c r="F77"/>
      <c r="G77"/>
      <c r="I77" t="str">
        <f t="shared" ca="1" si="3"/>
        <v/>
      </c>
      <c r="J77" s="67"/>
      <c r="K77" s="67"/>
      <c r="L77" s="67"/>
      <c r="M77" s="68"/>
      <c r="N77" s="70"/>
      <c r="O77" s="70"/>
      <c r="P77" s="70"/>
      <c r="Q77" s="69"/>
      <c r="R77" s="67"/>
      <c r="S77" s="67"/>
    </row>
    <row r="78" spans="1:26" ht="50.1" customHeight="1" x14ac:dyDescent="0.2">
      <c r="A78"/>
      <c r="B78"/>
      <c r="C78"/>
      <c r="D78"/>
      <c r="E78"/>
      <c r="F78"/>
      <c r="G78"/>
      <c r="I78" t="str">
        <f t="shared" ca="1" si="3"/>
        <v/>
      </c>
      <c r="J78" s="69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99"/>
      <c r="L78" s="699"/>
      <c r="M78" s="699"/>
      <c r="N78" s="699"/>
      <c r="O78" s="699"/>
      <c r="P78" s="699"/>
      <c r="Q78" s="699"/>
      <c r="R78" s="699"/>
      <c r="S78" s="699"/>
    </row>
    <row r="79" spans="1:26" x14ac:dyDescent="0.2">
      <c r="A79"/>
      <c r="B79"/>
      <c r="C79"/>
      <c r="D79"/>
      <c r="E79"/>
      <c r="F79"/>
      <c r="G79"/>
      <c r="I79" t="str">
        <f t="shared" ca="1" si="3"/>
        <v/>
      </c>
    </row>
    <row r="80" spans="1:26" ht="50.1" customHeight="1" x14ac:dyDescent="0.2">
      <c r="A80"/>
      <c r="B80"/>
      <c r="C80"/>
      <c r="D80"/>
      <c r="E80"/>
      <c r="F80"/>
      <c r="G80"/>
      <c r="I80" t="str">
        <f t="shared" ca="1" si="3"/>
        <v/>
      </c>
      <c r="J80" s="699"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9"/>
      <c r="L80" s="699"/>
      <c r="M80" s="699"/>
      <c r="N80" s="699"/>
      <c r="O80" s="699"/>
      <c r="P80" s="699"/>
      <c r="Q80" s="699"/>
      <c r="R80" s="699"/>
      <c r="S80" s="699"/>
    </row>
    <row r="81" spans="1:21" x14ac:dyDescent="0.2">
      <c r="A81"/>
      <c r="B81"/>
      <c r="C81"/>
      <c r="D81"/>
      <c r="E81"/>
      <c r="F81"/>
      <c r="G81"/>
      <c r="I81" t="str">
        <f t="shared" ca="1" si="3"/>
        <v/>
      </c>
    </row>
    <row r="82" spans="1:21" x14ac:dyDescent="0.2">
      <c r="A82"/>
      <c r="B82"/>
      <c r="C82"/>
      <c r="D82"/>
      <c r="E82"/>
      <c r="F82"/>
      <c r="G82"/>
      <c r="I82" t="str">
        <f t="shared" ca="1" si="3"/>
        <v/>
      </c>
      <c r="J82" s="48" t="s">
        <v>689</v>
      </c>
    </row>
    <row r="83" spans="1:21" ht="99.95" customHeight="1" x14ac:dyDescent="0.2">
      <c r="A83"/>
      <c r="B83"/>
      <c r="C83"/>
      <c r="D83"/>
      <c r="E83"/>
      <c r="F83"/>
      <c r="G83"/>
      <c r="I83" t="str">
        <f t="shared" ca="1" si="3"/>
        <v/>
      </c>
      <c r="J83" s="700"/>
      <c r="K83" s="700"/>
      <c r="L83" s="700"/>
      <c r="M83" s="700"/>
      <c r="N83" s="700"/>
      <c r="O83" s="700"/>
      <c r="P83" s="700"/>
      <c r="Q83" s="700"/>
      <c r="R83" s="700"/>
      <c r="S83" s="700"/>
    </row>
    <row r="84" spans="1:21" x14ac:dyDescent="0.2">
      <c r="A84"/>
      <c r="B84"/>
      <c r="C84"/>
      <c r="D84"/>
      <c r="E84"/>
      <c r="F84"/>
      <c r="G84"/>
      <c r="I84" t="str">
        <f t="shared" ca="1" si="3"/>
        <v/>
      </c>
    </row>
    <row r="85" spans="1:21" x14ac:dyDescent="0.2">
      <c r="A85"/>
      <c r="B85"/>
      <c r="C85"/>
      <c r="D85"/>
      <c r="E85"/>
      <c r="F85"/>
      <c r="G85"/>
      <c r="I85" t="str">
        <f t="shared" ca="1" si="3"/>
        <v/>
      </c>
      <c r="J85" s="701" t="str">
        <f>Import.Município</f>
        <v>Marialva-PR</v>
      </c>
      <c r="K85" s="701"/>
      <c r="L85" s="701"/>
      <c r="M85" s="701"/>
      <c r="P85" s="702">
        <f>DADOS!$C$25</f>
        <v>46295</v>
      </c>
      <c r="Q85" s="702"/>
      <c r="R85" s="702"/>
      <c r="S85" s="702"/>
    </row>
    <row r="86" spans="1:21" x14ac:dyDescent="0.2">
      <c r="A86"/>
      <c r="B86"/>
      <c r="C86"/>
      <c r="D86"/>
      <c r="E86"/>
      <c r="F86"/>
      <c r="G86"/>
      <c r="I86" t="str">
        <f t="shared" ca="1" si="3"/>
        <v/>
      </c>
      <c r="J86" s="703" t="s">
        <v>693</v>
      </c>
      <c r="K86" s="703"/>
      <c r="L86" s="703"/>
      <c r="M86" s="703"/>
      <c r="O86" s="72"/>
      <c r="P86" s="73" t="s">
        <v>694</v>
      </c>
      <c r="Q86" s="74"/>
      <c r="R86" s="74"/>
      <c r="S86" s="74"/>
    </row>
    <row r="87" spans="1:21" ht="30" customHeight="1" x14ac:dyDescent="0.2">
      <c r="A87"/>
      <c r="B87"/>
      <c r="C87"/>
      <c r="D87"/>
      <c r="E87"/>
      <c r="F87"/>
      <c r="G87"/>
      <c r="I87" t="str">
        <f t="shared" ca="1" si="3"/>
        <v/>
      </c>
    </row>
    <row r="88" spans="1:21" ht="15" x14ac:dyDescent="0.2">
      <c r="A88"/>
      <c r="B88"/>
      <c r="C88"/>
      <c r="D88"/>
      <c r="E88"/>
      <c r="F88"/>
      <c r="G88"/>
      <c r="I88" t="str">
        <f t="shared" ca="1" si="3"/>
        <v/>
      </c>
      <c r="J88" s="704"/>
      <c r="K88" s="704"/>
      <c r="L88" s="704"/>
      <c r="M88" s="704"/>
      <c r="N88" s="75"/>
    </row>
    <row r="89" spans="1:21" x14ac:dyDescent="0.2">
      <c r="A89"/>
      <c r="B89"/>
      <c r="C89"/>
      <c r="D89"/>
      <c r="E89"/>
      <c r="F89"/>
      <c r="G89"/>
      <c r="I89" t="str">
        <f t="shared" ca="1" si="3"/>
        <v/>
      </c>
      <c r="J89" s="698" t="s">
        <v>696</v>
      </c>
      <c r="K89" s="698"/>
      <c r="L89" s="698"/>
      <c r="M89" s="698"/>
    </row>
    <row r="90" spans="1:21" ht="14.25" x14ac:dyDescent="0.2">
      <c r="A90"/>
      <c r="B90"/>
      <c r="C90"/>
      <c r="D90"/>
      <c r="E90"/>
      <c r="F90"/>
      <c r="G90"/>
      <c r="I90" t="str">
        <f t="shared" ca="1" si="3"/>
        <v/>
      </c>
      <c r="J90" s="76" t="s">
        <v>240</v>
      </c>
      <c r="K90" s="77" t="str">
        <f t="array" ref="K90:K92">Import.RespOrçamento</f>
        <v>Fernando Vinicius Moraes Viana</v>
      </c>
      <c r="L90" s="78"/>
      <c r="M90" s="78"/>
      <c r="N90" s="75"/>
    </row>
    <row r="91" spans="1:21" ht="14.25" x14ac:dyDescent="0.2">
      <c r="A91"/>
      <c r="B91"/>
      <c r="C91"/>
      <c r="D91"/>
      <c r="E91"/>
      <c r="F91"/>
      <c r="G91"/>
      <c r="I91" t="str">
        <f t="shared" ca="1" si="3"/>
        <v/>
      </c>
      <c r="J91" s="76" t="s">
        <v>243</v>
      </c>
      <c r="K91" s="77" t="str">
        <v>144.403/D</v>
      </c>
      <c r="L91" s="78"/>
      <c r="M91" s="78"/>
      <c r="N91" s="75"/>
    </row>
    <row r="92" spans="1:21" ht="14.25" x14ac:dyDescent="0.2">
      <c r="A92"/>
      <c r="B92"/>
      <c r="C92"/>
      <c r="D92"/>
      <c r="E92"/>
      <c r="F92"/>
      <c r="G92"/>
      <c r="I92" t="str">
        <f t="shared" ca="1" si="3"/>
        <v/>
      </c>
      <c r="J92" s="76" t="s">
        <v>246</v>
      </c>
      <c r="K92" s="77" t="str">
        <v>1720265939600</v>
      </c>
      <c r="L92" s="78"/>
      <c r="M92" s="78"/>
      <c r="N92" s="75"/>
    </row>
    <row r="93" spans="1:21" ht="14.25" x14ac:dyDescent="0.2">
      <c r="A93"/>
      <c r="B93"/>
      <c r="C93"/>
      <c r="D93"/>
      <c r="E93"/>
      <c r="F93"/>
      <c r="G93"/>
      <c r="I93" t="str">
        <f t="shared" ca="1" si="3"/>
        <v/>
      </c>
      <c r="J93" s="76"/>
      <c r="K93" s="79"/>
      <c r="L93" s="78"/>
      <c r="M93" s="78"/>
      <c r="N93" s="75"/>
    </row>
    <row r="94" spans="1:21" ht="15.75" x14ac:dyDescent="0.25">
      <c r="A94"/>
      <c r="B94"/>
      <c r="C94"/>
      <c r="D94"/>
      <c r="E94"/>
      <c r="F94"/>
      <c r="G94"/>
      <c r="I94" t="str">
        <f ca="1">IF($S$109=0,"","F")</f>
        <v/>
      </c>
      <c r="J94" s="718" t="s">
        <v>698</v>
      </c>
      <c r="K94" s="718"/>
      <c r="L94" s="718"/>
      <c r="M94" s="718"/>
      <c r="N94" s="718"/>
      <c r="O94" s="718"/>
      <c r="P94" s="718"/>
      <c r="Q94" s="718"/>
      <c r="R94" s="718"/>
      <c r="S94" s="718"/>
      <c r="U94" s="520" t="str">
        <f>IF(COUNTIF(ORÇAMENTO!$V$15:$V$35,BDI_3.Título)=0,"",IF(OR(Import.BDI.Tipo3="(SELECIONAR)",Import.BDI.Tipo3="",U97&lt;&gt;"",AND($J97&lt;&gt;$A$145,OR(S101="",S102="",AND($J97&lt;&gt;$A$146,OR(S103="",S104="")),S105="",S106=""))),"Falta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77" t="s">
        <v>664</v>
      </c>
      <c r="K96" s="677"/>
      <c r="L96" s="677"/>
      <c r="M96" s="677"/>
      <c r="N96" s="677"/>
      <c r="O96" s="677"/>
      <c r="P96" s="677"/>
      <c r="Q96" s="677"/>
      <c r="R96" s="677"/>
      <c r="S96" s="677"/>
    </row>
    <row r="97" spans="1:26" ht="15" x14ac:dyDescent="0.25">
      <c r="A97"/>
      <c r="B97"/>
      <c r="C97"/>
      <c r="D97"/>
      <c r="E97"/>
      <c r="F97"/>
      <c r="G97"/>
      <c r="I97" t="str">
        <f t="shared" ca="1" si="6"/>
        <v/>
      </c>
      <c r="J97" s="717" t="s">
        <v>139</v>
      </c>
      <c r="K97" s="717"/>
      <c r="L97" s="717"/>
      <c r="M97" s="717"/>
      <c r="N97" s="717"/>
      <c r="O97" s="717"/>
      <c r="P97" s="717"/>
      <c r="Q97" s="717"/>
      <c r="R97" s="717"/>
      <c r="S97" s="717"/>
      <c r="T97" s="562" t="str">
        <f ca="1">IF(U97="","","◄")</f>
        <v/>
      </c>
      <c r="U97" s="561" t="str">
        <f ca="1">IF(AND(OR(S109&gt;0,COUNTIF(ORÇAMENTO!$V$15:$V$35,BDI_3.Título)&gt;0),OR(Import.BDI.Tipo3="(SELECIONAR)",Import.BDI.Tipo3="")),"Selecione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16" t="s">
        <v>666</v>
      </c>
      <c r="K99" s="716"/>
      <c r="L99" s="716"/>
      <c r="M99" s="716"/>
      <c r="N99" s="716"/>
      <c r="O99" s="716"/>
      <c r="P99" s="716"/>
      <c r="Q99" s="716"/>
      <c r="R99" s="716" t="s">
        <v>667</v>
      </c>
      <c r="S99" s="708" t="s">
        <v>668</v>
      </c>
      <c r="U99" s="708" t="s">
        <v>669</v>
      </c>
      <c r="V99" s="708"/>
      <c r="W99" s="708"/>
      <c r="X99" s="715" t="s">
        <v>670</v>
      </c>
      <c r="Y99" s="715" t="s">
        <v>671</v>
      </c>
      <c r="Z99" s="715" t="s">
        <v>672</v>
      </c>
    </row>
    <row r="100" spans="1:26" ht="12.75" customHeight="1" x14ac:dyDescent="0.2">
      <c r="A100"/>
      <c r="B100"/>
      <c r="C100"/>
      <c r="D100"/>
      <c r="E100"/>
      <c r="F100"/>
      <c r="G100"/>
      <c r="I100" t="str">
        <f t="shared" ca="1" si="6"/>
        <v/>
      </c>
      <c r="J100" s="716"/>
      <c r="K100" s="716"/>
      <c r="L100" s="716"/>
      <c r="M100" s="716"/>
      <c r="N100" s="716"/>
      <c r="O100" s="716"/>
      <c r="P100" s="716"/>
      <c r="Q100" s="716"/>
      <c r="R100" s="716"/>
      <c r="S100" s="708"/>
      <c r="U100" s="708"/>
      <c r="V100" s="708"/>
      <c r="W100" s="708"/>
      <c r="X100" s="715"/>
      <c r="Y100" s="715"/>
      <c r="Z100" s="715"/>
    </row>
    <row r="101" spans="1:26" ht="15" customHeight="1" x14ac:dyDescent="0.2">
      <c r="A101"/>
      <c r="B101"/>
      <c r="C101"/>
      <c r="D101"/>
      <c r="E101"/>
      <c r="F101"/>
      <c r="G101"/>
      <c r="I101" t="str">
        <f t="shared" ca="1" si="6"/>
        <v/>
      </c>
      <c r="J101" s="706" t="str">
        <f>IF($J$97=$A$146,"Encargos Sociais incidentes sobre a mão de obra","Administração Central")</f>
        <v>Administração Central</v>
      </c>
      <c r="K101" s="706"/>
      <c r="L101" s="706"/>
      <c r="M101" s="706"/>
      <c r="N101" s="706"/>
      <c r="O101" s="706"/>
      <c r="P101" s="706"/>
      <c r="Q101" s="706"/>
      <c r="R101" s="59" t="str">
        <f>IF($J97=$A$146,"K1","AC")</f>
        <v>AC</v>
      </c>
      <c r="S101" s="60"/>
      <c r="T101" s="571" t="str">
        <f ca="1">IF(AND($U$94&lt;&gt;"",$U$97="",R101&lt;&gt;"",S101=""),"◄","")</f>
        <v/>
      </c>
      <c r="U101" s="707" t="str">
        <f ca="1">IFERROR(IF(T101="◄","FALTA PREENCHER",IF(AND(OR(S101&gt;=X101,X101="-"),OR(S101&lt;=Z101,Z101="-")),"OK","FORA DO INTERVALO")),"-")</f>
        <v>-</v>
      </c>
      <c r="V101" s="707"/>
      <c r="W101" s="707"/>
      <c r="X101" s="61" t="e">
        <f>VLOOKUP(CONCATENATE(J97,"-",R101),$C$2:$G$136,3,FALSE)</f>
        <v>#N/A</v>
      </c>
      <c r="Y101" s="61" t="e">
        <f>VLOOKUP(CONCATENATE(J97,"-",R101),$C$2:$G$136,4,FALSE)</f>
        <v>#N/A</v>
      </c>
      <c r="Z101" s="61" t="e">
        <f>VLOOKUP(CONCATENATE(J97,"-",R101),$C$2:$G$136,5,FALSE)</f>
        <v>#N/A</v>
      </c>
    </row>
    <row r="102" spans="1:26" ht="15" customHeight="1" x14ac:dyDescent="0.2">
      <c r="A102"/>
      <c r="B102"/>
      <c r="C102"/>
      <c r="D102"/>
      <c r="E102"/>
      <c r="F102"/>
      <c r="G102"/>
      <c r="I102" t="str">
        <f t="shared" ca="1" si="6"/>
        <v/>
      </c>
      <c r="J102" s="706" t="str">
        <f>IF($J$97=$A$146,"Administração Central da empresa ou consultoria - overhead","Seguro e Garantia")</f>
        <v>Seguro e Garantia</v>
      </c>
      <c r="K102" s="706"/>
      <c r="L102" s="706"/>
      <c r="M102" s="706"/>
      <c r="N102" s="706"/>
      <c r="O102" s="706"/>
      <c r="P102" s="706"/>
      <c r="Q102" s="706"/>
      <c r="R102" s="59" t="str">
        <f>IF($J97=$A$146,"K2","SG")</f>
        <v>SG</v>
      </c>
      <c r="S102" s="60"/>
      <c r="T102" s="571" t="str">
        <f t="shared" ref="T102:T106" ca="1" si="7">IF(AND($U$94&lt;&gt;"",$U$97="",R102&lt;&gt;"",S102=""),"◄","")</f>
        <v/>
      </c>
      <c r="U102" s="707" t="str">
        <f t="shared" ref="U102:U108" ca="1" si="8">IFERROR(IF(T102="◄","FALTA PREENCHER",IF(AND(OR(S102&gt;=X102,X102="-"),OR(S102&lt;=Z102,Z102="-")),"OK","FORA DO INTERVALO")),"-")</f>
        <v>-</v>
      </c>
      <c r="V102" s="707"/>
      <c r="W102" s="707"/>
      <c r="X102" s="61" t="e">
        <f>VLOOKUP(CONCATENATE(J97,"-",R102),$C$2:$G$136,3,FALSE)</f>
        <v>#N/A</v>
      </c>
      <c r="Y102" s="61" t="e">
        <f>VLOOKUP(CONCATENATE(J97,"-",R102),$C$2:$G$136,4,FALSE)</f>
        <v>#N/A</v>
      </c>
      <c r="Z102" s="61" t="e">
        <f>VLOOKUP(CONCATENATE(J97,"-",R102),$C$2:$G$136,5,FALSE)</f>
        <v>#N/A</v>
      </c>
    </row>
    <row r="103" spans="1:26" ht="15" customHeight="1" x14ac:dyDescent="0.2">
      <c r="A103"/>
      <c r="B103"/>
      <c r="C103"/>
      <c r="D103"/>
      <c r="E103"/>
      <c r="F103"/>
      <c r="G103"/>
      <c r="I103" t="str">
        <f t="shared" ca="1" si="6"/>
        <v/>
      </c>
      <c r="J103" s="706" t="s">
        <v>942</v>
      </c>
      <c r="K103" s="706"/>
      <c r="L103" s="706"/>
      <c r="M103" s="706"/>
      <c r="N103" s="706"/>
      <c r="O103" s="706"/>
      <c r="P103" s="706"/>
      <c r="Q103" s="706"/>
      <c r="R103" s="59" t="str">
        <f>IF($J97=$A$146,"","R")</f>
        <v>R</v>
      </c>
      <c r="S103" s="60"/>
      <c r="T103" s="571" t="str">
        <f t="shared" ca="1" si="7"/>
        <v/>
      </c>
      <c r="U103" s="707" t="str">
        <f t="shared" ca="1" si="8"/>
        <v>-</v>
      </c>
      <c r="V103" s="707"/>
      <c r="W103" s="707"/>
      <c r="X103" s="61" t="e">
        <f>VLOOKUP(CONCATENATE(J97,"-",R103),$C$2:$G$136,3,FALSE)</f>
        <v>#N/A</v>
      </c>
      <c r="Y103" s="61" t="e">
        <f>VLOOKUP(CONCATENATE(J97,"-",R103),$C$2:$G$136,4,FALSE)</f>
        <v>#N/A</v>
      </c>
      <c r="Z103" s="61" t="e">
        <f>VLOOKUP(CONCATENATE(J97,"-",R103),$C$2:$G$136,5,FALSE)</f>
        <v>#N/A</v>
      </c>
    </row>
    <row r="104" spans="1:26" ht="15" customHeight="1" x14ac:dyDescent="0.2">
      <c r="A104"/>
      <c r="B104"/>
      <c r="C104"/>
      <c r="D104"/>
      <c r="E104"/>
      <c r="F104"/>
      <c r="G104"/>
      <c r="I104" t="str">
        <f t="shared" ca="1" si="6"/>
        <v/>
      </c>
      <c r="J104" s="706" t="s">
        <v>943</v>
      </c>
      <c r="K104" s="706"/>
      <c r="L104" s="706"/>
      <c r="M104" s="706"/>
      <c r="N104" s="706"/>
      <c r="O104" s="706"/>
      <c r="P104" s="706"/>
      <c r="Q104" s="706"/>
      <c r="R104" s="59" t="str">
        <f>IF($J97=$A$146,"","DF")</f>
        <v>DF</v>
      </c>
      <c r="S104" s="60"/>
      <c r="T104" s="571" t="str">
        <f t="shared" ca="1" si="7"/>
        <v/>
      </c>
      <c r="U104" s="707" t="str">
        <f t="shared" ca="1" si="8"/>
        <v>-</v>
      </c>
      <c r="V104" s="707"/>
      <c r="W104" s="707"/>
      <c r="X104" s="61" t="e">
        <f>VLOOKUP(CONCATENATE(J97,"-",R104),$C$2:$G$136,3,FALSE)</f>
        <v>#N/A</v>
      </c>
      <c r="Y104" s="61" t="e">
        <f>VLOOKUP(CONCATENATE(J97,"-",R104),$C$2:$G$136,4,FALSE)</f>
        <v>#N/A</v>
      </c>
      <c r="Z104" s="61" t="e">
        <f>VLOOKUP(CONCATENATE(J97,"-",R104),$C$2:$G$136,5,FALSE)</f>
        <v>#N/A</v>
      </c>
    </row>
    <row r="105" spans="1:26" ht="15" customHeight="1" x14ac:dyDescent="0.2">
      <c r="A105"/>
      <c r="B105"/>
      <c r="C105"/>
      <c r="D105"/>
      <c r="E105"/>
      <c r="F105"/>
      <c r="G105"/>
      <c r="I105" t="str">
        <f t="shared" ca="1" si="6"/>
        <v/>
      </c>
      <c r="J105" s="706" t="str">
        <f>IF($J$57=$A$146,"Margem bruta da empresa de consultoria","Lucro")</f>
        <v>Lucro</v>
      </c>
      <c r="K105" s="706"/>
      <c r="L105" s="706"/>
      <c r="M105" s="706"/>
      <c r="N105" s="706"/>
      <c r="O105" s="706"/>
      <c r="P105" s="706"/>
      <c r="Q105" s="706"/>
      <c r="R105" s="59" t="str">
        <f>IF($J97=$A$146,"K3","L")</f>
        <v>L</v>
      </c>
      <c r="S105" s="60"/>
      <c r="T105" s="571" t="str">
        <f t="shared" ca="1" si="7"/>
        <v/>
      </c>
      <c r="U105" s="707" t="str">
        <f t="shared" ca="1" si="8"/>
        <v>-</v>
      </c>
      <c r="V105" s="707"/>
      <c r="W105" s="707"/>
      <c r="X105" s="61" t="e">
        <f>VLOOKUP(CONCATENATE(J97,"-",R105),$C$2:$G$136,3,FALSE)</f>
        <v>#N/A</v>
      </c>
      <c r="Y105" s="61" t="e">
        <f>VLOOKUP(CONCATENATE(J97,"-",R105),$C$2:$G$136,4,FALSE)</f>
        <v>#N/A</v>
      </c>
      <c r="Z105" s="61" t="e">
        <f>VLOOKUP(CONCATENATE(J97,"-",R105),$C$2:$G$136,5,FALSE)</f>
        <v>#N/A</v>
      </c>
    </row>
    <row r="106" spans="1:26" ht="15" customHeight="1" x14ac:dyDescent="0.2">
      <c r="A106"/>
      <c r="B106"/>
      <c r="C106"/>
      <c r="D106"/>
      <c r="E106"/>
      <c r="F106"/>
      <c r="G106"/>
      <c r="I106" t="str">
        <f t="shared" ca="1" si="6"/>
        <v/>
      </c>
      <c r="J106" s="706" t="s">
        <v>675</v>
      </c>
      <c r="K106" s="706"/>
      <c r="L106" s="706"/>
      <c r="M106" s="706"/>
      <c r="N106" s="706"/>
      <c r="O106" s="706"/>
      <c r="P106" s="706"/>
      <c r="Q106" s="706"/>
      <c r="R106" s="59" t="s">
        <v>456</v>
      </c>
      <c r="S106" s="60"/>
      <c r="T106" s="571" t="str">
        <f t="shared" ca="1" si="7"/>
        <v/>
      </c>
      <c r="U106" s="707" t="str">
        <f t="shared" ca="1" si="8"/>
        <v>FORA DO INTERVALO</v>
      </c>
      <c r="V106" s="707"/>
      <c r="W106" s="707"/>
      <c r="X106" s="61">
        <f>Y106</f>
        <v>3.6499999999999998E-2</v>
      </c>
      <c r="Y106" s="61">
        <f>IF($J97=$A$145,"-",3.65%)</f>
        <v>3.6499999999999998E-2</v>
      </c>
      <c r="Z106" s="61">
        <f>Y106</f>
        <v>3.6499999999999998E-2</v>
      </c>
    </row>
    <row r="107" spans="1:26" ht="15" customHeight="1" x14ac:dyDescent="0.2">
      <c r="A107"/>
      <c r="B107"/>
      <c r="C107"/>
      <c r="D107"/>
      <c r="E107"/>
      <c r="F107"/>
      <c r="G107"/>
      <c r="I107" t="str">
        <f t="shared" ca="1" si="6"/>
        <v/>
      </c>
      <c r="J107" s="706" t="s">
        <v>676</v>
      </c>
      <c r="K107" s="706"/>
      <c r="L107" s="706"/>
      <c r="M107" s="706"/>
      <c r="N107" s="706"/>
      <c r="O107" s="706"/>
      <c r="P107" s="706"/>
      <c r="Q107" s="706"/>
      <c r="R107" s="59" t="s">
        <v>677</v>
      </c>
      <c r="S107" s="61">
        <f ca="1">IF(AND($J97&lt;&gt;$A$145,COUNTA(OFFSET(S100,1,0,6))&gt;0),$R$11*$R$10,0)</f>
        <v>0</v>
      </c>
      <c r="U107" s="707" t="str">
        <f t="shared" ca="1" si="8"/>
        <v>OK</v>
      </c>
      <c r="V107" s="707"/>
      <c r="W107" s="707"/>
      <c r="X107" s="61">
        <v>0</v>
      </c>
      <c r="Y107" s="61">
        <v>2.5000000000000001E-2</v>
      </c>
      <c r="Z107" s="61">
        <v>0.05</v>
      </c>
    </row>
    <row r="108" spans="1:26" ht="15" customHeight="1" x14ac:dyDescent="0.2">
      <c r="A108"/>
      <c r="B108"/>
      <c r="C108"/>
      <c r="D108"/>
      <c r="E108"/>
      <c r="F108"/>
      <c r="G108"/>
      <c r="I108" t="str">
        <f t="shared" ca="1" si="6"/>
        <v/>
      </c>
      <c r="J108" s="706" t="s">
        <v>678</v>
      </c>
      <c r="K108" s="706"/>
      <c r="L108" s="706"/>
      <c r="M108" s="706"/>
      <c r="N108" s="706"/>
      <c r="O108" s="706"/>
      <c r="P108" s="706"/>
      <c r="Q108" s="706"/>
      <c r="R108" s="59" t="s">
        <v>679</v>
      </c>
      <c r="S108" s="61" cm="1">
        <f t="array" aca="1" ref="S108" ca="1">IF(BDI.Opcao&lt;&gt;"Desonerado",0,IF(AND($J97&lt;&gt;$A$145,COUNTA(OFFSET(S100,1,0,6))&gt;0),IF(YEAR(Import.DataBase)&lt;2025,4.5%,IF(YEAR(Import.DataBase)=2025,3.6%,IF(YEAR(Import.DataBase)=2026,2.7%,IF(YEAR(Import.DataBase)=2027,1.8%,0%)))),0%))</f>
        <v>0</v>
      </c>
      <c r="U108" s="707" t="str">
        <f t="shared" ca="1" si="8"/>
        <v>OK</v>
      </c>
      <c r="V108" s="707"/>
      <c r="W108" s="707"/>
      <c r="X108" s="62">
        <f ca="1">$S108</f>
        <v>0</v>
      </c>
      <c r="Y108" s="62">
        <f ca="1">$S108</f>
        <v>0</v>
      </c>
      <c r="Z108" s="62">
        <f ca="1">$S108</f>
        <v>0</v>
      </c>
    </row>
    <row r="109" spans="1:26" ht="15" customHeight="1" x14ac:dyDescent="0.2">
      <c r="A109"/>
      <c r="B109"/>
      <c r="C109"/>
      <c r="D109"/>
      <c r="E109"/>
      <c r="F109"/>
      <c r="G109"/>
      <c r="I109" t="str">
        <f t="shared" ca="1" si="6"/>
        <v/>
      </c>
      <c r="J109" s="706" t="s">
        <v>680</v>
      </c>
      <c r="K109" s="706"/>
      <c r="L109" s="706"/>
      <c r="M109" s="706"/>
      <c r="N109" s="706"/>
      <c r="O109" s="706"/>
      <c r="P109" s="706"/>
      <c r="Q109" s="706"/>
      <c r="R109" s="63" t="s">
        <v>656</v>
      </c>
      <c r="S109" s="61">
        <f ca="1">IF($J97=$A$145,0,ROUND((((1+S101+S102+S103)*(1+S104)*(1+S105)/(1-(S106+S107)))-1),4))</f>
        <v>0</v>
      </c>
      <c r="U109" s="708" t="str">
        <f ca="1">IFERROR(IF(AND(OR(S109&gt;=X109,X109="-"),OR(S109&lt;=Z109,Z109="-")),"OK","FORA DO INTERVALO"),IF(S109=0,"OK","Selecione o Tipo de obra"))</f>
        <v>OK</v>
      </c>
      <c r="V109" s="708"/>
      <c r="W109" s="708"/>
      <c r="X109" s="61" t="e">
        <f>IF($J97=$A$145,0,VLOOKUP(CONCATENATE($J97,"-",$R109),$C$2:$G$136,3,FALSE))</f>
        <v>#N/A</v>
      </c>
      <c r="Y109" s="61" t="e">
        <f>IF($J97=$A$145,0,VLOOKUP(CONCATENATE($J97,"-",$R109),$C$2:$G$136,4,FALSE))</f>
        <v>#N/A</v>
      </c>
      <c r="Z109" s="61" t="e">
        <f>IF($J97=$A$145,0,VLOOKUP(CONCATENATE($J97,"-",$R109),$C$2:$G$136,5,FALSE))</f>
        <v>#N/A</v>
      </c>
    </row>
    <row r="110" spans="1:26" ht="15" customHeight="1" x14ac:dyDescent="0.2">
      <c r="A110"/>
      <c r="B110"/>
      <c r="C110"/>
      <c r="D110"/>
      <c r="E110"/>
      <c r="F110"/>
      <c r="G110"/>
      <c r="I110" t="str">
        <f t="shared" ca="1" si="6"/>
        <v/>
      </c>
      <c r="J110" s="709" t="s">
        <v>681</v>
      </c>
      <c r="K110" s="709"/>
      <c r="L110" s="709"/>
      <c r="M110" s="709"/>
      <c r="N110" s="709"/>
      <c r="O110" s="709"/>
      <c r="P110" s="709"/>
      <c r="Q110" s="709"/>
      <c r="R110" s="64" t="s">
        <v>682</v>
      </c>
      <c r="S110" s="65">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6" t="str">
        <f ca="1">IF(U109&lt;&gt;"ok","X","")</f>
        <v/>
      </c>
      <c r="K112" s="710" t="str">
        <f ca="1">IF(U109&lt;&gt;"ok","Anexo: Relatório Técnico Circunstanciado justificando a adoção do percentual de cada parcela do BDI.","")</f>
        <v/>
      </c>
      <c r="L112" s="710"/>
      <c r="M112" s="710"/>
      <c r="N112" s="710"/>
      <c r="O112" s="710"/>
      <c r="P112" s="710"/>
      <c r="Q112" s="710"/>
      <c r="R112" s="710"/>
      <c r="S112" s="710"/>
    </row>
    <row r="113" spans="1:19" x14ac:dyDescent="0.2">
      <c r="A113"/>
      <c r="B113"/>
      <c r="C113"/>
      <c r="D113"/>
      <c r="E113"/>
      <c r="F113"/>
      <c r="G113"/>
      <c r="I113" t="str">
        <f t="shared" ca="1" si="6"/>
        <v/>
      </c>
    </row>
    <row r="114" spans="1:19" x14ac:dyDescent="0.2">
      <c r="A114"/>
      <c r="B114"/>
      <c r="C114"/>
      <c r="D114"/>
      <c r="E114"/>
      <c r="F114"/>
      <c r="G114"/>
      <c r="I114" t="str">
        <f t="shared" ca="1" si="6"/>
        <v/>
      </c>
      <c r="J114" s="711" t="s">
        <v>683</v>
      </c>
      <c r="K114" s="711"/>
      <c r="L114" s="711"/>
      <c r="M114" s="711"/>
      <c r="N114" s="711"/>
      <c r="O114" s="711"/>
      <c r="P114" s="711"/>
      <c r="Q114" s="711"/>
      <c r="R114" s="711"/>
      <c r="S114" s="711"/>
    </row>
    <row r="115" spans="1:19" ht="15.75" x14ac:dyDescent="0.25">
      <c r="A115"/>
      <c r="B115"/>
      <c r="C115"/>
      <c r="D115"/>
      <c r="E115"/>
      <c r="F115"/>
      <c r="G115"/>
      <c r="I115" t="str">
        <f t="shared" ca="1" si="6"/>
        <v/>
      </c>
      <c r="J115" s="67"/>
      <c r="K115" s="67"/>
      <c r="L115" s="67"/>
      <c r="M115" s="712" t="s">
        <v>684</v>
      </c>
      <c r="N115" s="713" t="str">
        <f>IF($J97=$A$146,"(1+K1+K2)*(1+K3)","(1+AC + S + R + G)*(1 + DF)*(1+L)")</f>
        <v>(1+AC + S + R + G)*(1 + DF)*(1+L)</v>
      </c>
      <c r="O115" s="713"/>
      <c r="P115" s="713"/>
      <c r="Q115" s="714" t="s">
        <v>685</v>
      </c>
      <c r="R115" s="67"/>
      <c r="S115" s="67"/>
    </row>
    <row r="116" spans="1:19" ht="15.75" x14ac:dyDescent="0.2">
      <c r="A116"/>
      <c r="B116"/>
      <c r="C116"/>
      <c r="D116"/>
      <c r="E116"/>
      <c r="F116"/>
      <c r="G116"/>
      <c r="I116" t="str">
        <f t="shared" ca="1" si="6"/>
        <v/>
      </c>
      <c r="J116" s="67"/>
      <c r="K116" s="67"/>
      <c r="L116" s="67"/>
      <c r="M116" s="712"/>
      <c r="N116" s="705" t="s">
        <v>686</v>
      </c>
      <c r="O116" s="705"/>
      <c r="P116" s="705"/>
      <c r="Q116" s="714"/>
      <c r="R116" s="67"/>
      <c r="S116" s="67"/>
    </row>
    <row r="117" spans="1:19" ht="15" customHeight="1" x14ac:dyDescent="0.2">
      <c r="A117"/>
      <c r="B117"/>
      <c r="C117"/>
      <c r="D117"/>
      <c r="E117"/>
      <c r="F117"/>
      <c r="G117"/>
      <c r="I117" t="str">
        <f t="shared" ca="1" si="6"/>
        <v/>
      </c>
      <c r="J117" s="67"/>
      <c r="K117" s="67"/>
      <c r="L117" s="67"/>
      <c r="M117" s="68"/>
      <c r="N117" s="70"/>
      <c r="O117" s="70"/>
      <c r="P117" s="70"/>
      <c r="Q117" s="69"/>
      <c r="R117" s="67"/>
      <c r="S117" s="67"/>
    </row>
    <row r="118" spans="1:19" ht="50.1" customHeight="1" x14ac:dyDescent="0.2">
      <c r="A118"/>
      <c r="B118"/>
      <c r="C118"/>
      <c r="D118"/>
      <c r="E118"/>
      <c r="F118"/>
      <c r="G118"/>
      <c r="I118" t="str">
        <f t="shared" ca="1" si="6"/>
        <v/>
      </c>
      <c r="J118" s="69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99"/>
      <c r="L118" s="699"/>
      <c r="M118" s="699"/>
      <c r="N118" s="699"/>
      <c r="O118" s="699"/>
      <c r="P118" s="699"/>
      <c r="Q118" s="699"/>
      <c r="R118" s="699"/>
      <c r="S118" s="699"/>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9"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9"/>
      <c r="L120" s="699"/>
      <c r="M120" s="699"/>
      <c r="N120" s="699"/>
      <c r="O120" s="699"/>
      <c r="P120" s="699"/>
      <c r="Q120" s="699"/>
      <c r="R120" s="699"/>
      <c r="S120" s="699"/>
    </row>
    <row r="121" spans="1:19" x14ac:dyDescent="0.2">
      <c r="A121"/>
      <c r="B121"/>
      <c r="C121"/>
      <c r="D121"/>
      <c r="E121"/>
      <c r="F121"/>
      <c r="G121"/>
      <c r="I121" t="str">
        <f t="shared" ca="1" si="6"/>
        <v/>
      </c>
    </row>
    <row r="122" spans="1:19" x14ac:dyDescent="0.2">
      <c r="A122"/>
      <c r="B122"/>
      <c r="C122"/>
      <c r="D122"/>
      <c r="E122"/>
      <c r="F122"/>
      <c r="G122"/>
      <c r="I122" t="str">
        <f t="shared" ca="1" si="6"/>
        <v/>
      </c>
      <c r="J122" s="48" t="s">
        <v>689</v>
      </c>
    </row>
    <row r="123" spans="1:19" ht="110.1" customHeight="1" x14ac:dyDescent="0.2">
      <c r="A123"/>
      <c r="B123"/>
      <c r="C123"/>
      <c r="D123"/>
      <c r="E123"/>
      <c r="F123"/>
      <c r="G123"/>
      <c r="I123" t="str">
        <f t="shared" ca="1" si="6"/>
        <v/>
      </c>
      <c r="J123" s="700"/>
      <c r="K123" s="700"/>
      <c r="L123" s="700"/>
      <c r="M123" s="700"/>
      <c r="N123" s="700"/>
      <c r="O123" s="700"/>
      <c r="P123" s="700"/>
      <c r="Q123" s="700"/>
      <c r="R123" s="700"/>
      <c r="S123" s="700"/>
    </row>
    <row r="124" spans="1:19" x14ac:dyDescent="0.2">
      <c r="A124"/>
      <c r="B124"/>
      <c r="C124"/>
      <c r="D124"/>
      <c r="E124"/>
      <c r="F124"/>
      <c r="G124"/>
      <c r="I124" t="str">
        <f t="shared" ca="1" si="6"/>
        <v/>
      </c>
    </row>
    <row r="125" spans="1:19" x14ac:dyDescent="0.2">
      <c r="A125"/>
      <c r="B125"/>
      <c r="C125"/>
      <c r="D125"/>
      <c r="E125"/>
      <c r="F125"/>
      <c r="G125"/>
      <c r="I125" t="str">
        <f t="shared" ca="1" si="6"/>
        <v/>
      </c>
      <c r="J125" s="701" t="str">
        <f>Import.Município</f>
        <v>Marialva-PR</v>
      </c>
      <c r="K125" s="701"/>
      <c r="L125" s="701"/>
      <c r="M125" s="701"/>
      <c r="P125" s="702">
        <f>DADOS!$C$25</f>
        <v>46295</v>
      </c>
      <c r="Q125" s="702"/>
      <c r="R125" s="702"/>
      <c r="S125" s="702"/>
    </row>
    <row r="126" spans="1:19" x14ac:dyDescent="0.2">
      <c r="A126"/>
      <c r="B126"/>
      <c r="C126"/>
      <c r="D126"/>
      <c r="E126"/>
      <c r="F126"/>
      <c r="G126"/>
      <c r="I126" t="str">
        <f t="shared" ca="1" si="6"/>
        <v/>
      </c>
      <c r="J126" s="703" t="s">
        <v>693</v>
      </c>
      <c r="K126" s="703"/>
      <c r="L126" s="703"/>
      <c r="M126" s="703"/>
      <c r="O126" s="72"/>
      <c r="P126" s="73" t="s">
        <v>694</v>
      </c>
      <c r="Q126" s="74"/>
      <c r="R126" s="74"/>
      <c r="S126" s="74"/>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4"/>
      <c r="K128" s="704"/>
      <c r="L128" s="704"/>
      <c r="M128" s="704"/>
      <c r="N128" s="75"/>
    </row>
    <row r="129" spans="1:14" x14ac:dyDescent="0.2">
      <c r="A129"/>
      <c r="B129"/>
      <c r="C129"/>
      <c r="D129"/>
      <c r="E129"/>
      <c r="F129"/>
      <c r="G129"/>
      <c r="I129" t="str">
        <f t="shared" ca="1" si="6"/>
        <v/>
      </c>
      <c r="J129" s="698" t="s">
        <v>696</v>
      </c>
      <c r="K129" s="698"/>
      <c r="L129" s="698"/>
      <c r="M129" s="698"/>
    </row>
    <row r="130" spans="1:14" ht="14.25" x14ac:dyDescent="0.2">
      <c r="A130"/>
      <c r="B130"/>
      <c r="C130"/>
      <c r="D130"/>
      <c r="E130"/>
      <c r="F130"/>
      <c r="G130"/>
      <c r="I130" t="str">
        <f t="shared" ca="1" si="6"/>
        <v/>
      </c>
      <c r="J130" s="76" t="s">
        <v>240</v>
      </c>
      <c r="K130" s="77" t="str">
        <f t="array" ref="K130:K132">Import.RespOrçamento</f>
        <v>Fernando Vinicius Moraes Viana</v>
      </c>
      <c r="L130" s="78"/>
      <c r="M130" s="78"/>
      <c r="N130" s="75"/>
    </row>
    <row r="131" spans="1:14" ht="14.25" x14ac:dyDescent="0.2">
      <c r="A131"/>
      <c r="B131"/>
      <c r="C131"/>
      <c r="D131"/>
      <c r="E131"/>
      <c r="F131"/>
      <c r="G131"/>
      <c r="I131" t="str">
        <f t="shared" ca="1" si="6"/>
        <v/>
      </c>
      <c r="J131" s="76" t="s">
        <v>243</v>
      </c>
      <c r="K131" s="77" t="str">
        <v>144.403/D</v>
      </c>
      <c r="L131" s="78"/>
      <c r="M131" s="78"/>
      <c r="N131" s="75"/>
    </row>
    <row r="132" spans="1:14" ht="14.25" x14ac:dyDescent="0.2">
      <c r="A132"/>
      <c r="B132"/>
      <c r="C132"/>
      <c r="D132"/>
      <c r="E132"/>
      <c r="F132"/>
      <c r="G132"/>
      <c r="I132" t="str">
        <f t="shared" ca="1" si="6"/>
        <v/>
      </c>
      <c r="J132" s="76" t="s">
        <v>246</v>
      </c>
      <c r="K132" s="77" t="str">
        <v>1720265939600</v>
      </c>
      <c r="L132" s="78"/>
      <c r="M132" s="78"/>
      <c r="N132" s="75"/>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8" t="s">
        <v>139</v>
      </c>
    </row>
    <row r="139" spans="1:14" x14ac:dyDescent="0.2">
      <c r="A139" s="48" t="s">
        <v>645</v>
      </c>
    </row>
    <row r="140" spans="1:14" x14ac:dyDescent="0.2">
      <c r="A140" s="48" t="s">
        <v>658</v>
      </c>
    </row>
    <row r="141" spans="1:14" x14ac:dyDescent="0.2">
      <c r="A141" s="48" t="s">
        <v>662</v>
      </c>
    </row>
    <row r="142" spans="1:14" x14ac:dyDescent="0.2">
      <c r="A142" s="48" t="s">
        <v>673</v>
      </c>
    </row>
    <row r="143" spans="1:14" x14ac:dyDescent="0.2">
      <c r="A143" s="48" t="s">
        <v>674</v>
      </c>
    </row>
    <row r="144" spans="1:14" x14ac:dyDescent="0.2">
      <c r="A144" s="48" t="s">
        <v>665</v>
      </c>
    </row>
    <row r="145" spans="1:1" x14ac:dyDescent="0.2">
      <c r="A145" s="48" t="s">
        <v>687</v>
      </c>
    </row>
    <row r="146" spans="1:1" x14ac:dyDescent="0.2">
      <c r="A146" s="48" t="s">
        <v>690</v>
      </c>
    </row>
  </sheetData>
  <sheetProtection algorithmName="SHA-512" hashValue="ntNy6Q3pfW9caREwdymEfzBLtCvcJ3HoMdi5OFmorkeyE+q0QN1+uPPLtp1YpHEqODsJ33BxV5Z+HDtiJsdhFA==" saltValue="6HBsyfDhbMdgbtNjlneaVg=="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23:S24">
    <cfRule type="expression" dxfId="249" priority="9">
      <formula>$J$17=$A$146</formula>
    </cfRule>
  </conditionalFormatting>
  <conditionalFormatting sqref="J30:S30 J70:S70 J110:S110">
    <cfRule type="expression" dxfId="248" priority="11" stopIfTrue="1">
      <formula>DESONERACAO="não"</formula>
    </cfRule>
  </conditionalFormatting>
  <conditionalFormatting sqref="J63:S64">
    <cfRule type="expression" dxfId="247" priority="7">
      <formula>$J$57=$A$146</formula>
    </cfRule>
  </conditionalFormatting>
  <conditionalFormatting sqref="J103:S104">
    <cfRule type="expression" dxfId="246" priority="5">
      <formula>$J$97=$A$146</formula>
    </cfRule>
  </conditionalFormatting>
  <conditionalFormatting sqref="S21:S26">
    <cfRule type="expression" dxfId="245" priority="8">
      <formula>$J$17=$A$145</formula>
    </cfRule>
  </conditionalFormatting>
  <conditionalFormatting sqref="S29 S69 S109">
    <cfRule type="expression" dxfId="244" priority="14" stopIfTrue="1">
      <formula>DESONERACAO="não"</formula>
    </cfRule>
  </conditionalFormatting>
  <conditionalFormatting sqref="S61:S66">
    <cfRule type="expression" dxfId="243" priority="6">
      <formula>$J$57=$A$145</formula>
    </cfRule>
  </conditionalFormatting>
  <conditionalFormatting sqref="S101:S106">
    <cfRule type="expression" dxfId="242" priority="4">
      <formula>$J$97=$A$145</formula>
    </cfRule>
  </conditionalFormatting>
  <conditionalFormatting sqref="U21:W28">
    <cfRule type="cellIs" dxfId="241" priority="3" operator="notEqual">
      <formula>"OK"</formula>
    </cfRule>
  </conditionalFormatting>
  <conditionalFormatting sqref="U29:W29 U69:W69 U109:W109">
    <cfRule type="expression" dxfId="240" priority="12" stopIfTrue="1">
      <formula>AND(U29&lt;&gt;"OK",U29&lt;&gt;"-",U29&lt;&gt;"")</formula>
    </cfRule>
    <cfRule type="cellIs" dxfId="239" priority="13" stopIfTrue="1" operator="equal">
      <formula>"OK"</formula>
    </cfRule>
  </conditionalFormatting>
  <conditionalFormatting sqref="U61:W68">
    <cfRule type="cellIs" dxfId="238" priority="2" operator="notEqual">
      <formula>"OK"</formula>
    </cfRule>
  </conditionalFormatting>
  <conditionalFormatting sqref="U101:W108">
    <cfRule type="cellIs" dxfId="23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65"/>
  <sheetViews>
    <sheetView showGridLines="0" tabSelected="1" topLeftCell="M1" zoomScale="70" zoomScaleNormal="70" zoomScaleSheetLayoutView="90" workbookViewId="0"/>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0"/>
      <c r="N1" s="80"/>
      <c r="R1" s="81" t="s">
        <v>699</v>
      </c>
      <c r="T1" s="81"/>
      <c r="X1" s="51" t="s">
        <v>644</v>
      </c>
      <c r="Y1" s="7"/>
      <c r="Z1" s="7"/>
      <c r="AA1" s="7"/>
      <c r="AB1" s="7"/>
    </row>
    <row r="2" spans="1:40" ht="15" x14ac:dyDescent="0.2">
      <c r="D2" s="661" t="s">
        <v>700</v>
      </c>
      <c r="E2" s="661" t="s">
        <v>701</v>
      </c>
      <c r="F2" s="661" t="s">
        <v>702</v>
      </c>
      <c r="G2" s="661" t="s">
        <v>703</v>
      </c>
      <c r="H2" s="661" t="s">
        <v>704</v>
      </c>
      <c r="I2" s="661" t="s">
        <v>705</v>
      </c>
      <c r="R2" s="82" t="str" cm="1">
        <f t="array" ref="R2">IF(TIPOORCAMENTO="licitado","Orçamento Licitado","Orçamento Base para Licitação")&amp;" - "&amp;import.recurso</f>
        <v>Orçamento Base para Licitação - OGU</v>
      </c>
      <c r="X2" s="11" t="s">
        <v>647</v>
      </c>
      <c r="Y2" s="83"/>
      <c r="Z2" s="83"/>
      <c r="AA2" s="83"/>
      <c r="AB2" s="83"/>
    </row>
    <row r="3" spans="1:40" x14ac:dyDescent="0.2">
      <c r="D3" s="7"/>
      <c r="E3" s="661" t="s">
        <v>750</v>
      </c>
      <c r="F3" s="661" t="s">
        <v>954</v>
      </c>
      <c r="G3" s="661" t="s">
        <v>955</v>
      </c>
      <c r="H3" s="661" t="s">
        <v>956</v>
      </c>
      <c r="I3" s="661" t="s">
        <v>957</v>
      </c>
      <c r="R3" s="85"/>
    </row>
    <row r="4" spans="1:40" x14ac:dyDescent="0.2">
      <c r="A4" s="659" t="s">
        <v>706</v>
      </c>
      <c r="D4" s="7"/>
      <c r="E4" s="7"/>
      <c r="F4" s="661" t="s">
        <v>663</v>
      </c>
      <c r="G4" s="661" t="s">
        <v>697</v>
      </c>
      <c r="H4" s="661" t="s">
        <v>698</v>
      </c>
      <c r="I4" s="662">
        <v>0</v>
      </c>
      <c r="O4" s="677" t="s">
        <v>650</v>
      </c>
      <c r="P4" s="677"/>
      <c r="Q4" s="86" t="s">
        <v>707</v>
      </c>
      <c r="R4" s="86" t="s">
        <v>652</v>
      </c>
      <c r="S4" s="677" t="s">
        <v>708</v>
      </c>
      <c r="T4" s="677"/>
      <c r="U4" s="677"/>
      <c r="V4" s="677"/>
      <c r="W4" s="677"/>
      <c r="X4" s="677"/>
      <c r="Y4" s="76"/>
      <c r="Z4" s="76"/>
      <c r="AA4" s="76"/>
      <c r="AB4" s="76"/>
    </row>
    <row r="5" spans="1:40" ht="12.75" customHeight="1" x14ac:dyDescent="0.2">
      <c r="A5" s="449">
        <f ca="1">MAX($C$15:$C$35)</f>
        <v>2</v>
      </c>
      <c r="B5" s="7"/>
      <c r="C5" s="7"/>
      <c r="D5" s="7"/>
      <c r="E5" s="7"/>
      <c r="F5" s="662">
        <f ca="1">IF(BDI.Opcao="DESONERADO",BDI!$S$30,BDI!$S$29)</f>
        <v>0.2339</v>
      </c>
      <c r="G5" s="662">
        <f ca="1">IF(BDI.Opcao="DESONERADO",BDI!$S$70,BDI!$S$69)</f>
        <v>0</v>
      </c>
      <c r="H5" s="662">
        <f ca="1">IF(BDI.Opcao="DESONERADO",BDI!$S$110,BDI!$S$109)</f>
        <v>0</v>
      </c>
      <c r="I5" s="7"/>
      <c r="O5" s="683" t="str">
        <f>Import.CR</f>
        <v>1091265-71</v>
      </c>
      <c r="P5" s="683"/>
      <c r="Q5" s="89" t="str" cm="1">
        <f t="array" ref="Q5">Import.TransfereGOV</f>
        <v>060795/2023</v>
      </c>
      <c r="R5" s="90" t="str">
        <f>Import.Proponente</f>
        <v>PREFEITURA MUNICIPAL DE MARIALVA</v>
      </c>
      <c r="S5" s="683" t="str">
        <f>Import.Apelido</f>
        <v>RECAPEAMENTO ASFÁLTICO</v>
      </c>
      <c r="T5" s="683"/>
      <c r="U5" s="683"/>
      <c r="V5" s="683"/>
      <c r="W5" s="683"/>
      <c r="X5" s="683"/>
      <c r="Y5" s="91"/>
      <c r="Z5" s="91"/>
      <c r="AA5" s="91"/>
      <c r="AB5" s="91"/>
      <c r="AE5" s="676" t="s">
        <v>709</v>
      </c>
      <c r="AF5" s="676"/>
    </row>
    <row r="6" spans="1:40" ht="5.0999999999999996" customHeight="1" x14ac:dyDescent="0.2">
      <c r="A6" s="7"/>
      <c r="B6" s="7"/>
      <c r="C6" s="7"/>
      <c r="D6" s="7"/>
      <c r="E6" s="7"/>
      <c r="F6" s="7"/>
      <c r="G6" s="7"/>
      <c r="H6" s="663"/>
      <c r="I6" s="7"/>
      <c r="O6" s="92"/>
      <c r="P6" s="92"/>
      <c r="Q6" s="93"/>
      <c r="R6" s="93"/>
      <c r="S6" s="92"/>
      <c r="T6" s="92"/>
      <c r="U6" s="92"/>
      <c r="V6" s="92"/>
      <c r="W6" s="92"/>
      <c r="X6" s="92"/>
      <c r="Y6" s="91"/>
      <c r="Z6" s="91"/>
      <c r="AA6" s="91"/>
      <c r="AB6" s="91"/>
      <c r="AC6" s="94"/>
      <c r="AE6" s="87"/>
      <c r="AF6" s="88"/>
    </row>
    <row r="7" spans="1:40" ht="12.75" customHeight="1" x14ac:dyDescent="0.2">
      <c r="D7" s="7"/>
      <c r="E7" s="7"/>
      <c r="F7" s="661" t="s">
        <v>751</v>
      </c>
      <c r="G7" s="661" t="s">
        <v>958</v>
      </c>
      <c r="H7" s="661" t="s">
        <v>456</v>
      </c>
      <c r="I7" s="661" t="s">
        <v>794</v>
      </c>
      <c r="O7" s="677" t="s">
        <v>710</v>
      </c>
      <c r="P7" s="677"/>
      <c r="Q7" s="86" t="s">
        <v>711</v>
      </c>
      <c r="R7" s="86" t="str" cm="1">
        <f t="array" ref="R7">IF(TIPOORCAMENTO="Licitado","NOME DA EMPRESA","DESCRIÇÃO DO LOTE")</f>
        <v>DESCRIÇÃO DO LOTE</v>
      </c>
      <c r="S7" s="678" t="str" cm="1">
        <f t="array" ref="S7">IF(TIPOORCAMENTO="Licitado","REGIME DE EXECUÇÃO","MUNICÍPIO / UF")</f>
        <v>MUNICÍPIO / UF</v>
      </c>
      <c r="T7" s="678"/>
      <c r="U7" s="678"/>
      <c r="V7" s="96" t="str" cm="1">
        <f t="array" ref="V7">IF(TIPOORCAMENTO="Licitado","","BDI 1")</f>
        <v>BDI 1</v>
      </c>
      <c r="W7" s="96" t="str" cm="1">
        <f t="array" ref="W7">IF(TIPOORCAMENTO="Licitado","","BDI 2")</f>
        <v>BDI 2</v>
      </c>
      <c r="X7" s="97" t="str" cm="1">
        <f t="array" ref="X7">IF(TIPOORCAMENTO="Licitado","Nº CTEF","BDI 3")</f>
        <v>BDI 3</v>
      </c>
      <c r="Y7" s="96"/>
      <c r="Z7" s="96"/>
      <c r="AC7" s="570" t="str">
        <f ca="1">IF(COUNTIFS($L$15:$L$35,"F",$AC$15:$AC$35,"JUSTIFICAR BDI")&gt;0,"JUSTIFICAR BDI","")</f>
        <v/>
      </c>
      <c r="AE7" s="87" t="s">
        <v>712</v>
      </c>
      <c r="AF7" s="88" t="b">
        <v>1</v>
      </c>
      <c r="AJ7" s="682" t="s">
        <v>713</v>
      </c>
      <c r="AL7" s="679" t="s">
        <v>714</v>
      </c>
    </row>
    <row r="8" spans="1:40" ht="12.75" customHeight="1" x14ac:dyDescent="0.2">
      <c r="A8" s="7"/>
      <c r="B8" s="7"/>
      <c r="C8" s="7"/>
      <c r="E8" s="505" t="s">
        <v>996</v>
      </c>
      <c r="F8" s="684" t="str" cm="1">
        <f t="array" aca="1" ref="F8" ca="1">IF(LEN(INFO("release"))&gt;5,"'Referência "&amp;Excel_BuiltIn_Database&amp;".xlsm'#Banco.$a5:$a$65536","'[Referência "&amp;Excel_BuiltIn_Database&amp;".xlsm]Banco'!$a5:$a$65536")</f>
        <v>'[Referência 08-2026.xlsm]Banco'!$a5:$a$65536</v>
      </c>
      <c r="G8" s="684"/>
      <c r="H8" s="684"/>
      <c r="I8" s="684"/>
      <c r="J8" s="684"/>
      <c r="K8" s="684"/>
      <c r="L8" s="680" t="s">
        <v>655</v>
      </c>
      <c r="O8" s="683" t="str" cm="1">
        <f t="array" aca="1" ref="O8" ca="1">IF(ISERROR(INDIRECT($F$9)),"(N/D: 'Referência "&amp;Excel_BuiltIn_Database&amp;".xlsm)",INDIRECT($F$9))</f>
        <v>(N/D: 'Referência 08-2026.xlsm)</v>
      </c>
      <c r="P8" s="683"/>
      <c r="Q8" s="98" t="str" cm="1">
        <f t="array" aca="1" ref="Q8" ca="1">TEXT(Import.DataBase,"mm-aa")&amp;IF(DESONERACAO="Sim"," (DES.)"," (N DES.)")</f>
        <v>08-26 (N DES.)</v>
      </c>
      <c r="R8" s="90" t="str" cm="1">
        <f t="array" ref="R8">IF(TIPOORCAMENTO="Licitado",Import.empresa,Import.DescLote)</f>
        <v>RECAPEAMENTO ASFÁLTICO DE VIAS PÚBLICAS NO MÚNICIPIO DE MARIALVA/PR</v>
      </c>
      <c r="S8" s="685" t="str" cm="1">
        <f t="array" ref="S8">IF(TIPOORCAMENTO="Licitado",Import.RegimeExecução,Import.Município)</f>
        <v>Marialva-PR</v>
      </c>
      <c r="T8" s="685"/>
      <c r="U8" s="685"/>
      <c r="V8" s="99" t="str" cm="1">
        <f t="array" aca="1" ref="V8" ca="1">IF(TIPOORCAMENTO="Licitado","",TEXT(F5,"0,00%"))</f>
        <v>23,39%</v>
      </c>
      <c r="W8" s="99" t="str" cm="1">
        <f t="array" aca="1" ref="W8" ca="1">IF(TIPOORCAMENTO="Licitado","",TEXT(G5,"0,00%"))</f>
        <v>0,00%</v>
      </c>
      <c r="X8" s="100" t="str" cm="1">
        <f t="array" aca="1" ref="X8" ca="1">IF(TIPOORCAMENTO="Licitado",Import.CTEF,TEXT(H5,"0,00%"))</f>
        <v>0,00%</v>
      </c>
      <c r="Y8" s="680" t="s">
        <v>715</v>
      </c>
      <c r="Z8" s="680" t="s">
        <v>716</v>
      </c>
      <c r="AA8" s="101"/>
      <c r="AB8" s="101"/>
      <c r="AE8" s="87" t="s">
        <v>717</v>
      </c>
      <c r="AF8" s="88" t="b">
        <v>1</v>
      </c>
      <c r="AJ8" s="682"/>
      <c r="AL8" s="679"/>
    </row>
    <row r="9" spans="1:40" ht="12.75" customHeight="1" x14ac:dyDescent="0.2">
      <c r="E9" s="505" t="s">
        <v>994</v>
      </c>
      <c r="F9" s="684" t="str" cm="1">
        <f t="array" aca="1" ref="F9" ca="1">IF(LEN(INFO("release"))&gt;5,"'Referência "&amp;Excel_BuiltIn_Database&amp;".xlsm'#Banco.$d$3","'[Referência "&amp;Excel_BuiltIn_Database&amp;".xlsm]Banco'!$d$3")</f>
        <v>'[Referência 08-2026.xlsm]Banco'!$d$3</v>
      </c>
      <c r="G9" s="684"/>
      <c r="H9" s="684"/>
      <c r="I9" s="684"/>
      <c r="J9" s="684"/>
      <c r="K9" s="684"/>
      <c r="L9" s="680"/>
      <c r="T9" s="658" t="str">
        <f>IF(AND(Import.TipoArredondamento="TransfereGOV",$AF$7=FALSE),"▼","")</f>
        <v/>
      </c>
      <c r="U9" s="658" t="str">
        <f>IF(AND(Import.TipoArredondamento="TransfereGOV",$AF$8=FALSE),"▼","")</f>
        <v/>
      </c>
      <c r="V9" s="658" t="str">
        <f>IF(AND(Import.TipoArredondamento="TransfereGOV",$AF$9=FALSE),"▼","")</f>
        <v/>
      </c>
      <c r="W9" s="658" t="str">
        <f>IF(AND(Import.TipoArredondamento="TransfereGOV",$AF$10=FALSE),"▼","")</f>
        <v/>
      </c>
      <c r="X9" s="658" t="str">
        <f>IF(AND(Import.TipoArredondamento="TransfereGOV",$AF$11=FALSE),"▼","")</f>
        <v/>
      </c>
      <c r="Y9" s="680"/>
      <c r="Z9" s="680"/>
      <c r="AE9" s="87" t="s">
        <v>23</v>
      </c>
      <c r="AF9" s="88" t="b">
        <v>1</v>
      </c>
      <c r="AJ9" s="682"/>
      <c r="AL9" s="679"/>
    </row>
    <row r="10" spans="1:40" x14ac:dyDescent="0.2">
      <c r="E10" s="505" t="s">
        <v>995</v>
      </c>
      <c r="F10" s="684" t="str" cm="1">
        <f t="array" aca="1" ref="F10" ca="1">IF(LEN(INFO("release"))&gt;5,"'Referência "&amp;Excel_BuiltIn_Database&amp;".xlsm'#Banco.$B$3","'[Referência "&amp;Excel_BuiltIn_Database&amp;".xlsm]Banco'!$B$3")</f>
        <v>'[Referência 08-2026.xlsm]Banco'!$B$3</v>
      </c>
      <c r="G10" s="684"/>
      <c r="H10" s="684"/>
      <c r="I10" s="684"/>
      <c r="J10" s="684"/>
      <c r="K10" s="684"/>
      <c r="L10" s="680"/>
      <c r="Y10" s="680"/>
      <c r="Z10" s="680"/>
      <c r="AC10" s="102" t="s">
        <v>718</v>
      </c>
      <c r="AE10" s="87" t="s">
        <v>719</v>
      </c>
      <c r="AF10" s="88" t="b">
        <v>1</v>
      </c>
      <c r="AJ10" s="682"/>
      <c r="AL10" s="679"/>
    </row>
    <row r="11" spans="1:40" x14ac:dyDescent="0.2">
      <c r="F11" s="660" t="str" cm="1">
        <f t="array" aca="1" ref="F11" ca="1">IFERROR(INDIRECT(F10),"")</f>
        <v/>
      </c>
      <c r="G11" s="664" t="str" cm="1">
        <f t="array" aca="1" ref="G11" ca="1">IFERROR(TEXT(Import.DataBase,"mm/aaaa"),"")</f>
        <v>08/2026</v>
      </c>
      <c r="H11" s="103"/>
      <c r="L11" s="680"/>
      <c r="Y11" s="680"/>
      <c r="Z11" s="680"/>
      <c r="AC11" s="104" t="str">
        <f ca="1">IF(COUNTIFS($L$15:$L$35,"F",$AC$15:$AC$35,"&lt;&gt;"&amp;" ",$AC$15:$AC$35,"&lt;&gt;"&amp;"JUSTIFICAR BDI")&gt;0,"NÃO OK","OK")</f>
        <v>NÃO OK</v>
      </c>
      <c r="AE11" s="87" t="s">
        <v>720</v>
      </c>
      <c r="AF11" s="88" t="b">
        <v>1</v>
      </c>
      <c r="AJ11" s="682"/>
      <c r="AL11" s="679"/>
    </row>
    <row r="12" spans="1:40" ht="20.100000000000001" customHeight="1" x14ac:dyDescent="0.2">
      <c r="G12" s="84"/>
      <c r="H12" s="84"/>
      <c r="L12" s="680"/>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IF(COUNTIF($AC$15:$AC$35,"FONTE")&gt;0,"Falta preencher a Fonte (coluna P) na Linha "&amp;(14+MATCH("FONTE",$AC$15:$AC$35,0)),
 IF(COUNTIF($AC$15:$AC$35,"CÓDIGO")&gt;0,"Falta preencher o Código (coluna Q) na Linha "&amp;(14+MATCH("CÓDIGO",$AC$15:$AC$35,0)),
 IF(COUNTIF($AC$15:$AC$35,"CÓDIGO N/ID")&gt;0,"Código (coluna Q) não identificado na Linha "&amp;(14+MATCH("CÓDIGO N/ID",$AC$15:$AC$35,0))&amp;". Verifique se o código está correto ou busque outro código",
 IF(COUNTIF($AC$15:$AC$35,"DESCRIÇÃO")&gt;0,"Falta preencher a Descrição (coluna R) na Linha "&amp;(14+MATCH("DESCRIÇÃO",$AC$15:$AC$35,0)),
 IF(COUNTIF($AC$15:$AC$35,"UNIDADE")&gt;0,"Falta preencher a Unidade (coluna S) na Linha "&amp;(14+MATCH("UNIDADE",$AC$15:$AC$35,0)),
 IF(COUNTIF($AC$15:$AC$35,"SEM CUSTO")&gt;0,"Falta preencher o Custo Unitário (coluna U) na Linha "&amp;(14+MATCH("SEM CUSTO",$AC$15:$AC$35,0)),
 IF(COUNTIF($AC$15:$AC$35,"SEM PREÇO")&gt;0,"Falta preencher o Preço Unitário licitado (coluna AL) na Linha "&amp;(14+MATCH("SEM CUSTO",$AC$15:$AC$35,0)),
 IF(COUNTIF($AC$15:$AC$35,"BDI")&gt;0,"Falta definir o BDI (coluna V) na Linha "&amp;(14+MATCH("BDI",$AC$15:$AC$35,0)),
 IF(COUNTIF($AC$15:$AC$35,"ACIMA REF.")&gt;0,
         IF(TIPOORCAMENTO="Proposto","O custo unitário (coluna U) na Linha "&amp;(14+MATCH("ACIMA REF.",$AC$15:$AC$35,0))&amp;" está acima do custo referencial (coluna AG)",
            "O preço unitário licitado (coluna AL) na Linha "&amp;(14+MATCH("ACIMA REF.",$AC$15:$AC$35,0))&amp;" está acima do preço referencial do edital (coluna AN)"),
 IF(COUNTIF($AC$15:$AC$35,"QUANT.")&gt;0,"Falta a Quantidade do serviço na Linha "&amp;(14+MATCH("QUANT.",$AC$15:$AC$35,0))&amp;IF(ACOMPANHAMENTO="PLE",". Preencher na aba CÁLCULO",". Preencher na coluna AJ"),
 IF(COUNTIF($AC$15:$AC$35,"Código &gt;13")&gt;0,"O tamanho do código do serviço no TransfereGOV é limitado a 13 caracteres. Resuma o código (coluna Q) na Linha "&amp;(14+MATCH("Código &gt;13",$AC$15:$AC$35,0)),
 IF(COUNTIF($AC$15:$AC$35,"Descrição &gt;100")&gt;0,"O tamanho da descrição de macrosserviço no TransfereGOV é limitado a 100 caracteres. Resuma a descrição (coluna R) na Linha "&amp;(14+MATCH("Descrição &gt;100",$AC$15:$AC$35,0)),
 IF(COUNTIF($AC$15:$AC$35,"Descrição &gt;500")&gt;0,"O tamanho da descrição de serviço no TransfereGOV é limitado a 500 caracteres. Resuma a descrição (coluna R) na Linha "&amp;(14+MATCH("Descrição &gt;500",$AC$15:$AC$35,0)),
 IF(COUNTIF($AC$15:$AC$35,"Unid. Não Disp")&gt;0,"Unidade não disponível na lista do TransfereGOV. Reveja a unidade (coluna S) na Linha "&amp;(14+MATCH("Unid. Não Disp",$AC$15:$AC$35,0)),
 IF(AND(TIPOORCAMENTO="Proposto",LEFT($O$8,5)="(N/D:"),"Abra o arquivo Referência "&amp;Excel_BuiltIn_Database&amp;".xlsm","")))))))))))))))))</f>
        <v>Código (coluna Q) não identificado na Linha 18. Verifique se o código está correto ou busque outro código</v>
      </c>
      <c r="Y12" s="680"/>
      <c r="Z12" s="680"/>
      <c r="AA12" s="681" t="s">
        <v>721</v>
      </c>
      <c r="AB12" s="681"/>
      <c r="AJ12" s="105" t="s">
        <v>660</v>
      </c>
      <c r="AL12" s="457" t="s">
        <v>660</v>
      </c>
    </row>
    <row r="13" spans="1:40" ht="35.1" customHeight="1" x14ac:dyDescent="0.2">
      <c r="A13" s="106" t="s">
        <v>722</v>
      </c>
      <c r="B13" s="106" t="s">
        <v>723</v>
      </c>
      <c r="C13" s="106" t="s">
        <v>724</v>
      </c>
      <c r="D13" s="106" t="s">
        <v>725</v>
      </c>
      <c r="E13" s="106" t="s">
        <v>726</v>
      </c>
      <c r="F13" s="106" t="s">
        <v>727</v>
      </c>
      <c r="G13" s="106" t="s">
        <v>728</v>
      </c>
      <c r="H13" s="106" t="s">
        <v>729</v>
      </c>
      <c r="I13" s="106" t="s">
        <v>730</v>
      </c>
      <c r="J13" s="106" t="s">
        <v>731</v>
      </c>
      <c r="K13" s="106" t="s">
        <v>732</v>
      </c>
      <c r="L13" s="105" t="s">
        <v>660</v>
      </c>
      <c r="M13" s="106" t="s">
        <v>733</v>
      </c>
      <c r="N13" s="107" t="s">
        <v>734</v>
      </c>
      <c r="O13" s="106" t="s">
        <v>735</v>
      </c>
      <c r="P13" s="106" t="s">
        <v>736</v>
      </c>
      <c r="Q13" s="106" t="s">
        <v>737</v>
      </c>
      <c r="R13" s="106" t="s">
        <v>118</v>
      </c>
      <c r="S13" s="108" t="s">
        <v>738</v>
      </c>
      <c r="T13" s="106" t="s">
        <v>712</v>
      </c>
      <c r="U13" s="106" t="str" cm="1">
        <f t="array" ref="U13">IF(TIPOORCAMENTO="Licitado","","Custo Unitário (sem BDI) (R$)")</f>
        <v>Custo Unitário (sem BDI) (R$)</v>
      </c>
      <c r="V13" s="106" t="str" cm="1">
        <f t="array" ref="V13">IF(TIPOORCAMENTO="Licitado","","BDI
(%)")</f>
        <v>BDI
(%)</v>
      </c>
      <c r="W13" s="106" t="s">
        <v>739</v>
      </c>
      <c r="X13" s="106" t="s">
        <v>740</v>
      </c>
      <c r="Y13" s="105" t="s">
        <v>660</v>
      </c>
      <c r="Z13" s="105" t="s">
        <v>660</v>
      </c>
      <c r="AA13" s="109" t="s">
        <v>741</v>
      </c>
      <c r="AB13" s="110" t="s">
        <v>742</v>
      </c>
      <c r="AC13" s="106" t="s">
        <v>743</v>
      </c>
      <c r="AD13" s="111" t="s">
        <v>744</v>
      </c>
      <c r="AE13" s="111" t="s">
        <v>745</v>
      </c>
      <c r="AF13" s="111" t="s">
        <v>746</v>
      </c>
      <c r="AG13" s="158" t="s">
        <v>747</v>
      </c>
      <c r="AH13" s="426" t="str" cm="1">
        <f t="array" ref="AH13">IF(TIPOORCAMENTO="LICITADO","Valor BDI Edital","Valor BDI")</f>
        <v>Valor BDI</v>
      </c>
      <c r="AJ13" s="291" t="s">
        <v>712</v>
      </c>
      <c r="AL13" s="291" t="s">
        <v>739</v>
      </c>
      <c r="AM13" s="158" t="s">
        <v>748</v>
      </c>
      <c r="AN13" s="159"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IF(OR($C14="S",$C14=0),0,MATCH(0,OFFSET($D14,1,$C14,ROW($C$35)-ROW($C14)),0))</f>
        <v>0</v>
      </c>
      <c r="K14">
        <f ca="1">IF(OR($C14="S",$C14=0),0,MATCH(OFFSET($D14,0,$C14)+IF($C14&lt;&gt;1,1,COUNTIF(QCI!$A$13:$A$24,ORÇAMENTO!E14)),OFFSET($D14,1,$C14,ROW($C$35)-ROW($C14)),0))</f>
        <v>0</v>
      </c>
      <c r="L14" s="113" t="str">
        <f ca="1">IF(OR($X14&gt;0,$C14=1,$C14=2,$C14=3,$C14=4),"F","")</f>
        <v/>
      </c>
      <c r="M14" s="114" t="s">
        <v>705</v>
      </c>
      <c r="N14" s="115" t="str">
        <f ca="1">CHOOSE(1+LOG(1+2*(C14=1)+4*(C14=2)+8*(C14=3)+16*(C14=4)+32*(C14="S"),2),"","Meta","Nível 2","Nível 3","Nível 4","Serviço")</f>
        <v>Serviço</v>
      </c>
      <c r="O14" s="116" t="str">
        <f ca="1">IF(OR($C14=0,$L14=""),"-",CONCATENATE(E14&amp;".",IF(AND($A$5&gt;=2,$C14&gt;=2),F14&amp;".",""),IF(AND($A$5&gt;=3,$C14&gt;=3),G14&amp;".",""),IF(AND($A$5&gt;=4,$C14&gt;=4),H14&amp;".",""),IF($C14="S",I14&amp;".","")))</f>
        <v>-</v>
      </c>
      <c r="P14" s="117" t="s">
        <v>750</v>
      </c>
      <c r="Q14" s="118"/>
      <c r="R14" s="119" t="str" cm="1">
        <f t="array" aca="1" ref="R14" ca="1">IF($C14="S",REFERENCIA.Descricao,"(digite a descrição aqui)")</f>
        <v>(Sem Código)</v>
      </c>
      <c r="S14" s="120" t="str" cm="1">
        <f t="array" aca="1" ref="S14" ca="1">REFERENCIA.Unidade</f>
        <v>-</v>
      </c>
      <c r="T14" s="121">
        <f ca="1">OFFSET(CÁLCULO!H$15,ROW($T14)-ROW(T$15),0)</f>
        <v>0</v>
      </c>
      <c r="U14" s="122"/>
      <c r="V14" s="123" t="s">
        <v>663</v>
      </c>
      <c r="W14" s="121" cm="1">
        <f t="array" aca="1" ref="W14" ca="1">IF($C14="S",ROUND(IF(TIPOORCAMENTO="Proposto",ORÇAMENTO.CustoUnitario*(1+$AH14),ORÇAMENTO.PrecoUnitarioLicitado),15-13*$AF$10),0)</f>
        <v>0</v>
      </c>
      <c r="X14" s="124" cm="1">
        <f t="array" aca="1" ref="X14" ca="1">IF($C14="S",IF(OR(Import.TipoArredondamento&lt;&gt;"TransfereGOV",ACOMPANHAMENTO="BM"),VTOTAL1,SUM(OFFSET(CÁLCULO!$AI$15,ROW($X14)-ROW($X$15),1):OFFSET(CÁLCULO!$BB$15,ROW($X14)-ROW($X$15),-1))),IF($C14=0,0,ROUND(SomaAgrup,15-13*$AF$11)))</f>
        <v>0</v>
      </c>
      <c r="Y14" s="125" t="s">
        <v>751</v>
      </c>
      <c r="Z14" t="str">
        <f ca="1">IF(AND($C14="S",$X14&gt;0),IF(ISBLANK($Y14),"RA",LEFT($Y14,2)),"")</f>
        <v/>
      </c>
      <c r="AA14" s="126" cm="1">
        <f t="array" aca="1" ref="AA14" ca="1">IF($C14="S",IF($Z14="CP",$X14,IF($Z14="RA",(($X14)*QCI!$AA$3),0)),SomaAgrup)</f>
        <v>0</v>
      </c>
      <c r="AB14" s="127"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7" cm="1">
        <f t="array" aca="1" ref="AG14" ca="1">ROUND(IF(DESONERACAO="sim",REFERENCIA.Desonerado,REFERENCIA.NaoDesonerado),2)</f>
        <v>0</v>
      </c>
      <c r="AH14" s="428">
        <f ca="1">ROUND(IF(ISNUMBER(ORÇAMENTO.OpcaoBDI),ORÇAMENTO.OpcaoBDI,IF(LEFT(ORÇAMENTO.OpcaoBDI,3)="BDI",HLOOKUP(ORÇAMENTO.OpcaoBDI,$F$4:$H$5,2,FALSE),0)),15-11*$AF$9)</f>
        <v>0.2339</v>
      </c>
      <c r="AJ14" s="430"/>
      <c r="AL14" s="438"/>
      <c r="AM14" s="335">
        <f t="shared" ref="AM14:AM34" ca="1" si="0">$X14</f>
        <v>0</v>
      </c>
      <c r="AN14" s="469" cm="1">
        <f t="array" aca="1" ref="AN14" ca="1">ROUND(ORÇAMENTO.CustoUnitario*(1+$AH14),2)</f>
        <v>0</v>
      </c>
    </row>
    <row r="15" spans="1:40" ht="12.75" customHeight="1" x14ac:dyDescent="0.2">
      <c r="A15">
        <v>0</v>
      </c>
      <c r="C15" t="s">
        <v>654</v>
      </c>
      <c r="D15">
        <f ca="1">COUNTA(OFFSET(D15,1,0):D$35)</f>
        <v>19</v>
      </c>
      <c r="E15">
        <v>0</v>
      </c>
      <c r="L15" s="113" t="s">
        <v>536</v>
      </c>
      <c r="M15" s="129" t="str" cm="1">
        <f t="array" ref="M15">IF(TIPOORCAMENTO="LICITADO","CTEF","LOTE")</f>
        <v>LOTE</v>
      </c>
      <c r="N15" s="129" t="str" cm="1">
        <f t="array" ref="N15">IF(TIPOORCAMENTO="LICITADO","CTEF","LOTE")</f>
        <v>LOTE</v>
      </c>
      <c r="O15" s="687" t="str">
        <f>Import.DescLote</f>
        <v>RECAPEAMENTO ASFÁLTICO DE VIAS PÚBLICAS NO MÚNICIPIO DE MARIALVA/PR</v>
      </c>
      <c r="P15" s="688"/>
      <c r="Q15" s="688"/>
      <c r="R15" s="688"/>
      <c r="S15" s="612"/>
      <c r="T15" s="613"/>
      <c r="U15" s="613"/>
      <c r="V15" s="614"/>
      <c r="W15" s="613"/>
      <c r="X15" s="130">
        <f ca="1">SUMIF(OFFSET($C15,1,0,ROW(X35)-ROW(X15)-1),"S",OFFSET(X15,1,0,ROW(X35)-ROW(X15)-1))</f>
        <v>3091953.04</v>
      </c>
      <c r="Y15" s="7"/>
      <c r="Z15" t="str">
        <f ca="1">IF(AND($C15="S",$X15&gt;0),LEFT($Y15,2),"")</f>
        <v/>
      </c>
      <c r="AA15" s="425">
        <f ca="1">SUMIF(OFFSET($C15,1,0,ROW(AA35)-ROW(AA15)-1),"S",OFFSET(AA15,1,0,ROW(AA35)-ROW(AA15)-1))</f>
        <v>221743.0400000001</v>
      </c>
      <c r="AB15" s="131">
        <f ca="1">SUMIF(OFFSET($C15,1,0,ROW(AB35)-ROW(AB15)-1),"S",OFFSET(AB15,1,0,ROW(AB35)-ROW(AB15)-1))</f>
        <v>0</v>
      </c>
      <c r="AC15" s="564" t="s">
        <v>752</v>
      </c>
      <c r="AG15" s="440"/>
      <c r="AH15" s="441"/>
      <c r="AJ15" s="429"/>
      <c r="AL15" s="439"/>
      <c r="AM15" s="470">
        <f t="shared" ca="1" si="0"/>
        <v>3091953.04</v>
      </c>
      <c r="AN15" s="471"/>
    </row>
    <row r="16" spans="1:40" ht="25.5" x14ac:dyDescent="0.2">
      <c r="A16">
        <f t="shared" ref="A16:A34" si="1">CHOOSE(1+LOG(1+2*(ORÇAMENTO.Nivel="Meta")+4*(ORÇAMENTO.Nivel="Nível 2")+8*(ORÇAMENTO.Nivel="Nível 3")+16*(ORÇAMENTO.Nivel="Nível 4")+32*(ORÇAMENTO.Nivel="Serviço"),2),0,1,2,3,4,"S")</f>
        <v>1</v>
      </c>
      <c r="B16">
        <f t="shared" ref="B16:B34" ca="1" si="2">IF(OR(C16="s",C16=0),OFFSET(B16,-1,0),C16)</f>
        <v>1</v>
      </c>
      <c r="C16">
        <f t="shared" ref="C16:C34" ca="1" si="3">IF(OFFSET(C16,-1,0)="L",1,IF(OFFSET(C16,-1,0)=1,2,IF(OR(A16="s",A16=0),"S",IF(AND(OFFSET(C16,-1,0)=2,A16=4),3,IF(AND(OR(OFFSET(C16,-1,0)="s",OFFSET(C16,-1,0)=0),A16&lt;&gt;"s",A16&gt;OFFSET(B16,-1,0)),OFFSET(B16,-1,0),A16)))))</f>
        <v>1</v>
      </c>
      <c r="D16">
        <f t="shared" ref="D16:D34" ca="1" si="4">IF(OR(C16="S",C16=0),0,IF(ISERROR(K16),J16,SMALL(J16:K16,1)))</f>
        <v>19</v>
      </c>
      <c r="E16">
        <f ca="1">IF($C16=1,OFFSET(E16,-1,0)+MAX(1,COUNTIF(QCI!$A$13:$A$24,OFFSET(ORÇAMENTO!E16,-1,0))),OFFSET(E16,-1,0))</f>
        <v>1</v>
      </c>
      <c r="F16">
        <f t="shared" ref="F16:F34" ca="1" si="5">IF($C16=1,0,IF($C16=2,OFFSET(F16,-1,0)+1,OFFSET(F16,-1,0)))</f>
        <v>0</v>
      </c>
      <c r="G16">
        <f t="shared" ref="G16:G34" ca="1" si="6">IF(AND($C16&lt;=2,$C16&lt;&gt;0),0,IF($C16=3,OFFSET(G16,-1,0)+1,OFFSET(G16,-1,0)))</f>
        <v>0</v>
      </c>
      <c r="H16">
        <f t="shared" ref="H16:H34" ca="1" si="7">IF(AND($C16&lt;=3,$C16&lt;&gt;0),0,IF($C16=4,OFFSET(H16,-1,0)+1,OFFSET(H16,-1,0)))</f>
        <v>0</v>
      </c>
      <c r="I16">
        <f t="shared" ref="I16:I34" ca="1" si="8">IF(AND($C16&lt;=4,$C16&lt;&gt;0),0,IF(AND($C16="S",$X16&gt;0),OFFSET(I16,-1,0)+1,OFFSET(I16,-1,0)))</f>
        <v>0</v>
      </c>
      <c r="J16">
        <f t="shared" ref="J16:J34" ca="1" si="9">IF(OR($C16="S",$C16=0),0,MATCH(0,OFFSET($D16,1,$C16,ROW($C$35)-ROW($C16)),0))</f>
        <v>19</v>
      </c>
      <c r="K16" t="e">
        <f ca="1">IF(OR($C16="S",$C16=0),0,MATCH(OFFSET($D16,0,$C16)+IF($C16&lt;&gt;1,1,COUNTIF(QCI!$A$13:$A$24,ORÇAMENTO!E16)),OFFSET($D16,1,$C16,ROW($C$35)-ROW($C16)),0))</f>
        <v>#N/A</v>
      </c>
      <c r="L16" s="113" t="str">
        <f t="shared" ref="L16:L34" ca="1" si="10">IF(OR($X16&gt;0,$C16=1,$C16=2,$C16=3,$C16=4),"F","")</f>
        <v>F</v>
      </c>
      <c r="M16" s="114" t="s">
        <v>701</v>
      </c>
      <c r="N16" s="115" t="str">
        <f t="shared" ref="N16:N34" ca="1" si="11">CHOOSE(1+LOG(1+2*(C16=1)+4*(C16=2)+8*(C16=3)+16*(C16=4)+32*(C16="S"),2),"","Meta","Nível 2","Nível 3","Nível 4","Serviço")</f>
        <v>Meta</v>
      </c>
      <c r="O16" s="116" t="str">
        <f t="shared" ref="O16:O34" ca="1" si="12">IF(OR($C16=0,$L16=""),"-",CONCATENATE(E16&amp;".",IF(AND($A$5&gt;=2,$C16&gt;=2),F16&amp;".",""),IF(AND($A$5&gt;=3,$C16&gt;=3),G16&amp;".",""),IF(AND($A$5&gt;=4,$C16&gt;=4),H16&amp;".",""),IF($C16="S",I16&amp;".","")))</f>
        <v>1.</v>
      </c>
      <c r="P16" s="117" t="s">
        <v>750</v>
      </c>
      <c r="Q16" s="118"/>
      <c r="R16" s="119" t="s">
        <v>1014</v>
      </c>
      <c r="S16" s="120" t="str" cm="1">
        <f t="array" aca="1" ref="S16" ca="1">REFERENCIA.Unidade</f>
        <v>-</v>
      </c>
      <c r="T16" s="121">
        <f ca="1">OFFSET(CÁLCULO!H$15,ROW($T16)-ROW(T$15),0)</f>
        <v>0</v>
      </c>
      <c r="U16" s="122"/>
      <c r="V16" s="123" t="s">
        <v>663</v>
      </c>
      <c r="W16" s="121" cm="1">
        <f t="array" aca="1" ref="W16" ca="1">IF($C16="S",ROUND(IF(TIPOORCAMENTO="Proposto",ORÇAMENTO.CustoUnitario*(1+$AH16),ORÇAMENTO.PrecoUnitarioLicitado),15-13*$AF$10),0)</f>
        <v>0</v>
      </c>
      <c r="X16" s="124" cm="1">
        <f t="array" aca="1" ref="X16" ca="1">IF($C16="S",IF(OR(Import.TipoArredondamento&lt;&gt;"TransfereGOV",ACOMPANHAMENTO="BM"),VTOTAL1,SUM(OFFSET(CÁLCULO!$AI$15,ROW($X16)-ROW($X$15),1):OFFSET(CÁLCULO!$BB$15,ROW($X16)-ROW($X$15),-1))),IF($C16=0,0,ROUND(SomaAgrup,15-13*$AF$11)))</f>
        <v>3091953.04</v>
      </c>
      <c r="Y16" s="125" t="s">
        <v>751</v>
      </c>
      <c r="Z16" t="str">
        <f t="shared" ref="Z16:Z34" ca="1" si="13">IF(AND($C16="S",$X16&gt;0),IF(ISBLANK($Y16),"RA",LEFT($Y16,2)),"")</f>
        <v/>
      </c>
      <c r="AA16" s="126" cm="1">
        <f t="array" aca="1" ref="AA16" ca="1">IF($C16="S",IF($Z16="CP",$X16,IF($Z16="RA",(($X16)*QCI!$AA$3),0)),SomaAgrup)</f>
        <v>221743.0400000001</v>
      </c>
      <c r="AB16" s="127"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7" cm="1">
        <f t="array" aca="1" ref="AG16" ca="1">ROUND(IF(DESONERACAO="sim",REFERENCIA.Desonerado,REFERENCIA.NaoDesonerado),2)</f>
        <v>0</v>
      </c>
      <c r="AH16" s="428">
        <f t="shared" ref="AH16:AH34" ca="1" si="14">ROUND(IF(ISNUMBER(ORÇAMENTO.OpcaoBDI),ORÇAMENTO.OpcaoBDI,IF(LEFT(ORÇAMENTO.OpcaoBDI,3)="BDI",HLOOKUP(ORÇAMENTO.OpcaoBDI,$F$4:$H$5,2,FALSE),0)),15-11*$AF$9)</f>
        <v>0.2339</v>
      </c>
      <c r="AJ16" s="430"/>
      <c r="AL16" s="438"/>
      <c r="AM16" s="335">
        <f t="shared" ca="1" si="0"/>
        <v>3091953.04</v>
      </c>
      <c r="AN16" s="469" cm="1">
        <f t="array" aca="1" ref="AN16" ca="1">ROUND(ORÇAMENTO.CustoUnitario*(1+$AH16),2)</f>
        <v>0</v>
      </c>
    </row>
    <row r="17" spans="1:40" x14ac:dyDescent="0.2">
      <c r="A17">
        <f t="shared" ref="A17:A26" si="15">CHOOSE(1+LOG(1+2*(ORÇAMENTO.Nivel="Meta")+4*(ORÇAMENTO.Nivel="Nível 2")+8*(ORÇAMENTO.Nivel="Nível 3")+16*(ORÇAMENTO.Nivel="Nível 4")+32*(ORÇAMENTO.Nivel="Serviço"),2),0,1,2,3,4,"S")</f>
        <v>2</v>
      </c>
      <c r="B17">
        <f ca="1">IF(OR(C17="s",C17=0),OFFSET(B17,-1,0),C17)</f>
        <v>2</v>
      </c>
      <c r="C17">
        <f ca="1">IF(OFFSET(C17,-1,0)="L",1,IF(OFFSET(C17,-1,0)=1,2,IF(OR(A17="s",A17=0),"S",IF(AND(OFFSET(C17,-1,0)=2,A17=4),3,IF(AND(OR(OFFSET(C17,-1,0)="s",OFFSET(C17,-1,0)=0),A17&lt;&gt;"s",A17&gt;OFFSET(B17,-1,0)),OFFSET(B17,-1,0),A17)))))</f>
        <v>2</v>
      </c>
      <c r="D17">
        <f ca="1">IF(OR(C17="S",C17=0),0,IF(ISERROR(K17),J17,SMALL(J17:K17,1)))</f>
        <v>4</v>
      </c>
      <c r="E17">
        <f ca="1">IF($C17=1,OFFSET(E17,-1,0)+MAX(1,COUNTIF(QCI!$A$13:$A$24,OFFSET(ORÇAMENTO!E17,-1,0))),OFFSET(E17,-1,0))</f>
        <v>1</v>
      </c>
      <c r="F17">
        <f ca="1">IF($C17=1,0,IF($C17=2,OFFSET(F17,-1,0)+1,OFFSET(F17,-1,0)))</f>
        <v>1</v>
      </c>
      <c r="G17">
        <f ca="1">IF(AND($C17&lt;=2,$C17&lt;&gt;0),0,IF($C17=3,OFFSET(G17,-1,0)+1,OFFSET(G17,-1,0)))</f>
        <v>0</v>
      </c>
      <c r="H17">
        <f ca="1">IF(AND($C17&lt;=3,$C17&lt;&gt;0),0,IF($C17=4,OFFSET(H17,-1,0)+1,OFFSET(H17,-1,0)))</f>
        <v>0</v>
      </c>
      <c r="I17">
        <f ca="1">IF(AND($C17&lt;=4,$C17&lt;&gt;0),0,IF(AND($C17="S",$X17&gt;0),OFFSET(I17,-1,0)+1,OFFSET(I17,-1,0)))</f>
        <v>0</v>
      </c>
      <c r="J17">
        <f t="shared" ca="1" si="9"/>
        <v>18</v>
      </c>
      <c r="K17">
        <f ca="1">IF(OR($C17="S",$C17=0),0,MATCH(OFFSET($D17,0,$C17)+IF($C17&lt;&gt;1,1,COUNTIF(QCI!$A$13:$A$24,ORÇAMENTO!E17)),OFFSET($D17,1,$C17,ROW($C$35)-ROW($C17)),0))</f>
        <v>4</v>
      </c>
      <c r="L17" s="113" t="str">
        <f ca="1">IF(OR($X17&gt;0,$C17=1,$C17=2,$C17=3,$C17=4),"F","")</f>
        <v>F</v>
      </c>
      <c r="M17" s="114" t="s">
        <v>702</v>
      </c>
      <c r="N17" s="115" t="str">
        <f ca="1">CHOOSE(1+LOG(1+2*(C17=1)+4*(C17=2)+8*(C17=3)+16*(C17=4)+32*(C17="S"),2),"","Meta","Nível 2","Nível 3","Nível 4","Serviço")</f>
        <v>Nível 2</v>
      </c>
      <c r="O17" s="116" t="str">
        <f ca="1">IF(OR($C17=0,$L17=""),"-",CONCATENATE(E17&amp;".",IF(AND($A$5&gt;=2,$C17&gt;=2),F17&amp;".",""),IF(AND($A$5&gt;=3,$C17&gt;=3),G17&amp;".",""),IF(AND($A$5&gt;=4,$C17&gt;=4),H17&amp;".",""),IF($C17="S",I17&amp;".","")))</f>
        <v>1.1.</v>
      </c>
      <c r="P17" s="117" t="s">
        <v>750</v>
      </c>
      <c r="Q17" s="118" t="s">
        <v>1015</v>
      </c>
      <c r="R17" s="119" t="s">
        <v>1019</v>
      </c>
      <c r="S17" s="120" t="str" cm="1">
        <f t="array" aca="1" ref="S17" ca="1">REFERENCIA.Unidade</f>
        <v>-</v>
      </c>
      <c r="T17" s="121">
        <f ca="1">OFFSET(CÁLCULO!H$15,ROW($T17)-ROW(T$15),0)</f>
        <v>0</v>
      </c>
      <c r="U17" s="122"/>
      <c r="V17" s="123" t="s">
        <v>663</v>
      </c>
      <c r="W17" s="121" cm="1">
        <f t="array" aca="1" ref="W17" ca="1">IF($C17="S",ROUND(IF(TIPOORCAMENTO="Proposto",ORÇAMENTO.CustoUnitario*(1+$AH17),ORÇAMENTO.PrecoUnitarioLicitado),15-13*$AF$10),0)</f>
        <v>0</v>
      </c>
      <c r="X17" s="124" cm="1">
        <f t="array" aca="1" ref="X17" ca="1">IF($C17="S",IF(OR(Import.TipoArredondamento&lt;&gt;"TransfereGOV",ACOMPANHAMENTO="BM"),VTOTAL1,SUM(OFFSET(CÁLCULO!$AI$15,ROW($X17)-ROW($X$15),1):OFFSET(CÁLCULO!$BB$15,ROW($X17)-ROW($X$15),-1))),IF($C17=0,0,ROUND(SomaAgrup,15-13*$AF$11)))</f>
        <v>151059.64000000001</v>
      </c>
      <c r="Y17" s="125" t="s">
        <v>751</v>
      </c>
      <c r="Z17" t="str">
        <f ca="1">IF(AND($C17="S",$X17&gt;0),IF(ISBLANK($Y17),"RA",LEFT($Y17,2)),"")</f>
        <v/>
      </c>
      <c r="AA17" s="126" cm="1">
        <f t="array" aca="1" ref="AA17" ca="1">IF($C17="S",IF($Z17="CP",$X17,IF($Z17="RA",(($X17)*QCI!$AA$3),0)),SomaAgrup)</f>
        <v>10833.419318330143</v>
      </c>
      <c r="AB17" s="127"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7" cm="1">
        <f t="array" aca="1" ref="AG17" ca="1">ROUND(IF(DESONERACAO="sim",REFERENCIA.Desonerado,REFERENCIA.NaoDesonerado),2)</f>
        <v>0</v>
      </c>
      <c r="AH17" s="428">
        <f t="shared" ref="AH17:AH26" ca="1" si="16">ROUND(IF(ISNUMBER(ORÇAMENTO.OpcaoBDI),ORÇAMENTO.OpcaoBDI,IF(LEFT(ORÇAMENTO.OpcaoBDI,3)="BDI",HLOOKUP(ORÇAMENTO.OpcaoBDI,$F$4:$H$5,2,FALSE),0)),15-11*$AF$9)</f>
        <v>0.2339</v>
      </c>
      <c r="AJ17" s="430"/>
      <c r="AL17" s="438"/>
      <c r="AM17" s="335">
        <f t="shared" ca="1" si="0"/>
        <v>151059.64000000001</v>
      </c>
      <c r="AN17" s="469" cm="1">
        <f t="array" aca="1" ref="AN17" ca="1">ROUND(ORÇAMENTO.CustoUnitario*(1+$AH17),2)</f>
        <v>0</v>
      </c>
    </row>
    <row r="18" spans="1:40" x14ac:dyDescent="0.2">
      <c r="A18" t="str">
        <f t="shared" si="15"/>
        <v>S</v>
      </c>
      <c r="B18">
        <f ca="1">IF(OR(C18="s",C18=0),OFFSET(B18,-1,0),C18)</f>
        <v>2</v>
      </c>
      <c r="C18" t="str">
        <f ca="1">IF(OFFSET(C18,-1,0)="L",1,IF(OFFSET(C18,-1,0)=1,2,IF(OR(A18="s",A18=0),"S",IF(AND(OFFSET(C18,-1,0)=2,A18=4),3,IF(AND(OR(OFFSET(C18,-1,0)="s",OFFSET(C18,-1,0)=0),A18&lt;&gt;"s",A18&gt;OFFSET(B18,-1,0)),OFFSET(B18,-1,0),A18)))))</f>
        <v>S</v>
      </c>
      <c r="D18">
        <f ca="1">IF(OR(C18="S",C18=0),0,IF(ISERROR(K18),J18,SMALL(J18:K18,1)))</f>
        <v>0</v>
      </c>
      <c r="E18">
        <f ca="1">IF($C18=1,OFFSET(E18,-1,0)+MAX(1,COUNTIF(QCI!$A$13:$A$24,OFFSET(ORÇAMENTO!E18,-1,0))),OFFSET(E18,-1,0))</f>
        <v>1</v>
      </c>
      <c r="F18">
        <f ca="1">IF($C18=1,0,IF($C18=2,OFFSET(F18,-1,0)+1,OFFSET(F18,-1,0)))</f>
        <v>1</v>
      </c>
      <c r="G18">
        <f ca="1">IF(AND($C18&lt;=2,$C18&lt;&gt;0),0,IF($C18=3,OFFSET(G18,-1,0)+1,OFFSET(G18,-1,0)))</f>
        <v>0</v>
      </c>
      <c r="H18">
        <f ca="1">IF(AND($C18&lt;=3,$C18&lt;&gt;0),0,IF($C18=4,OFFSET(H18,-1,0)+1,OFFSET(H18,-1,0)))</f>
        <v>0</v>
      </c>
      <c r="I18">
        <f ca="1">IF(AND($C18&lt;=4,$C18&lt;&gt;0),0,IF(AND($C18="S",$X18&gt;0),OFFSET(I18,-1,0)+1,OFFSET(I18,-1,0)))</f>
        <v>1</v>
      </c>
      <c r="J18">
        <f t="shared" ca="1" si="9"/>
        <v>0</v>
      </c>
      <c r="K18">
        <f ca="1">IF(OR($C18="S",$C18=0),0,MATCH(OFFSET($D18,0,$C18)+IF($C18&lt;&gt;1,1,COUNTIF(QCI!$A$13:$A$24,ORÇAMENTO!E18)),OFFSET($D18,1,$C18,ROW($C$35)-ROW($C18)),0))</f>
        <v>0</v>
      </c>
      <c r="L18" s="113" t="str">
        <f ca="1">IF(OR($X18&gt;0,$C18=1,$C18=2,$C18=3,$C18=4),"F","")</f>
        <v>F</v>
      </c>
      <c r="M18" s="114" t="s">
        <v>705</v>
      </c>
      <c r="N18" s="115" t="str">
        <f ca="1">CHOOSE(1+LOG(1+2*(C18=1)+4*(C18=2)+8*(C18=3)+16*(C18=4)+32*(C18="S"),2),"","Meta","Nível 2","Nível 3","Nível 4","Serviço")</f>
        <v>Serviço</v>
      </c>
      <c r="O18" s="116" t="str">
        <f ca="1">IF(OR($C18=0,$L18=""),"-",CONCATENATE(E18&amp;".",IF(AND($A$5&gt;=2,$C18&gt;=2),F18&amp;".",""),IF(AND($A$5&gt;=3,$C18&gt;=3),G18&amp;".",""),IF(AND($A$5&gt;=4,$C18&gt;=4),H18&amp;".",""),IF($C18="S",I18&amp;".","")))</f>
        <v>1.1.1.</v>
      </c>
      <c r="P18" s="117" t="s">
        <v>750</v>
      </c>
      <c r="Q18" s="118" t="s">
        <v>1015</v>
      </c>
      <c r="R18" s="119" t="str" cm="1">
        <f t="array" aca="1" ref="R18" ca="1">IF($C18="S",REFERENCIA.Descricao,"(digite a descrição aqui)")</f>
        <v>(Código não identificado nas referências)</v>
      </c>
      <c r="S18" s="120" t="s">
        <v>623</v>
      </c>
      <c r="T18" s="121">
        <f ca="1">OFFSET(CÁLCULO!H$15,ROW($T18)-ROW(T$15),0)</f>
        <v>6.48</v>
      </c>
      <c r="U18" s="122">
        <v>511.4</v>
      </c>
      <c r="V18" s="123" t="s">
        <v>663</v>
      </c>
      <c r="W18" s="121" cm="1">
        <f t="array" aca="1" ref="W18" ca="1">IF($C18="S",ROUND(IF(TIPOORCAMENTO="Proposto",ORÇAMENTO.CustoUnitario*(1+$AH18),ORÇAMENTO.PrecoUnitarioLicitado),15-13*$AF$10),0)</f>
        <v>631.02</v>
      </c>
      <c r="X18" s="124" cm="1">
        <f t="array" aca="1" ref="X18" ca="1">IF($C18="S",IF(OR(Import.TipoArredondamento&lt;&gt;"TransfereGOV",ACOMPANHAMENTO="BM"),VTOTAL1,SUM(OFFSET(CÁLCULO!$AI$15,ROW($X18)-ROW($X$15),1):OFFSET(CÁLCULO!$BB$15,ROW($X18)-ROW($X$15),-1))),IF($C18=0,0,ROUND(SomaAgrup,15-13*$AF$11)))</f>
        <v>4089.01</v>
      </c>
      <c r="Y18" s="125" t="s">
        <v>751</v>
      </c>
      <c r="Z18" t="str">
        <f ca="1">IF(AND($C18="S",$X18&gt;0),IF(ISBLANK($Y18),"RA",LEFT($Y18,2)),"")</f>
        <v>RA</v>
      </c>
      <c r="AA18" s="126" cm="1">
        <f t="array" aca="1" ref="AA18" ca="1">IF($C18="S",IF($Z18="CP",$X18,IF($Z18="RA",(($X18)*QCI!$AA$3),0)),SomaAgrup)</f>
        <v>293.24814971653007</v>
      </c>
      <c r="AB18" s="127"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7" cm="1">
        <f t="array" aca="1" ref="AG18" ca="1">ROUND(IF(DESONERACAO="sim",REFERENCIA.Desonerado,REFERENCIA.NaoDesonerado),2)</f>
        <v>0</v>
      </c>
      <c r="AH18" s="428">
        <f t="shared" ca="1" si="16"/>
        <v>0.2339</v>
      </c>
      <c r="AJ18" s="430"/>
      <c r="AL18" s="438"/>
      <c r="AM18" s="335">
        <f t="shared" ca="1" si="0"/>
        <v>4089.01</v>
      </c>
      <c r="AN18" s="469" cm="1">
        <f t="array" aca="1" ref="AN18" ca="1">ROUND(ORÇAMENTO.CustoUnitario*(1+$AH18),2)</f>
        <v>631.02</v>
      </c>
    </row>
    <row r="19" spans="1:40" x14ac:dyDescent="0.2">
      <c r="A19" t="str">
        <f t="shared" si="15"/>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2</v>
      </c>
      <c r="J19">
        <f t="shared" ca="1" si="9"/>
        <v>0</v>
      </c>
      <c r="K19">
        <f ca="1">IF(OR($C19="S",$C19=0),0,MATCH(OFFSET($D19,0,$C19)+IF($C19&lt;&gt;1,1,COUNTIF(QCI!$A$13:$A$24,ORÇAMENTO!E19)),OFFSET($D19,1,$C19,ROW($C$35)-ROW($C19)),0))</f>
        <v>0</v>
      </c>
      <c r="L19" s="113" t="str">
        <f ca="1">IF(OR($X19&gt;0,$C19=1,$C19=2,$C19=3,$C19=4),"F","")</f>
        <v>F</v>
      </c>
      <c r="M19" s="114" t="s">
        <v>705</v>
      </c>
      <c r="N19" s="115" t="str">
        <f ca="1">CHOOSE(1+LOG(1+2*(C19=1)+4*(C19=2)+8*(C19=3)+16*(C19=4)+32*(C19="S"),2),"","Meta","Nível 2","Nível 3","Nível 4","Serviço")</f>
        <v>Serviço</v>
      </c>
      <c r="O19" s="116" t="str">
        <f ca="1">IF(OR($C19=0,$L19=""),"-",CONCATENATE(E19&amp;".",IF(AND($A$5&gt;=2,$C19&gt;=2),F19&amp;".",""),IF(AND($A$5&gt;=3,$C19&gt;=3),G19&amp;".",""),IF(AND($A$5&gt;=4,$C19&gt;=4),H19&amp;".",""),IF($C19="S",I19&amp;".","")))</f>
        <v>1.1.2.</v>
      </c>
      <c r="P19" s="117" t="s">
        <v>750</v>
      </c>
      <c r="Q19" s="118" t="s">
        <v>1040</v>
      </c>
      <c r="R19" s="119" t="str" cm="1">
        <f t="array" aca="1" ref="R19" ca="1">IF($C19="S",REFERENCIA.Descricao,"(digite a descrição aqui)")</f>
        <v>(Código não identificado nas referências)</v>
      </c>
      <c r="S19" s="120" t="s">
        <v>623</v>
      </c>
      <c r="T19" s="121">
        <f ca="1">OFFSET(CÁLCULO!H$15,ROW($T19)-ROW(T$15),0)</f>
        <v>3518.0199999999995</v>
      </c>
      <c r="U19" s="122">
        <v>26.88</v>
      </c>
      <c r="V19" s="123" t="s">
        <v>663</v>
      </c>
      <c r="W19" s="121" cm="1">
        <f t="array" aca="1" ref="W19" ca="1">IF($C19="S",ROUND(IF(TIPOORCAMENTO="Proposto",ORÇAMENTO.CustoUnitario*(1+$AH19),ORÇAMENTO.PrecoUnitarioLicitado),15-13*$AF$10),0)</f>
        <v>33.17</v>
      </c>
      <c r="X19" s="124" cm="1">
        <f t="array" aca="1" ref="X19" ca="1">IF($C19="S",IF(OR(Import.TipoArredondamento&lt;&gt;"TransfereGOV",ACOMPANHAMENTO="BM"),VTOTAL1,SUM(OFFSET(CÁLCULO!$AI$15,ROW($X19)-ROW($X$15),1):OFFSET(CÁLCULO!$BB$15,ROW($X19)-ROW($X$15),-1))),IF($C19=0,0,ROUND(SomaAgrup,15-13*$AF$11)))</f>
        <v>116692.72000000002</v>
      </c>
      <c r="Y19" s="125" t="s">
        <v>751</v>
      </c>
      <c r="Z19" t="str">
        <f ca="1">IF(AND($C19="S",$X19&gt;0),IF(ISBLANK($Y19),"RA",LEFT($Y19,2)),"")</f>
        <v>RA</v>
      </c>
      <c r="AA19" s="126" cm="1">
        <f t="array" aca="1" ref="AA19" ca="1">IF($C19="S",IF($Z19="CP",$X19,IF($Z19="RA",(($X19)*QCI!$AA$3),0)),SomaAgrup)</f>
        <v>8368.7553284020159</v>
      </c>
      <c r="AB19" s="127"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97636</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7" cm="1">
        <f t="array" aca="1" ref="AG19" ca="1">ROUND(IF(DESONERACAO="sim",REFERENCIA.Desonerado,REFERENCIA.NaoDesonerado),2)</f>
        <v>0</v>
      </c>
      <c r="AH19" s="428">
        <f t="shared" ca="1" si="16"/>
        <v>0.2339</v>
      </c>
      <c r="AJ19" s="430"/>
      <c r="AL19" s="438"/>
      <c r="AM19" s="335">
        <f t="shared" ca="1" si="0"/>
        <v>116692.72000000002</v>
      </c>
      <c r="AN19" s="469" cm="1">
        <f t="array" aca="1" ref="AN19" ca="1">ROUND(ORÇAMENTO.CustoUnitario*(1+$AH19),2)</f>
        <v>33.17</v>
      </c>
    </row>
    <row r="20" spans="1:40" x14ac:dyDescent="0.2">
      <c r="A20" t="str">
        <f t="shared" si="15"/>
        <v>S</v>
      </c>
      <c r="B20">
        <f t="shared" ref="B20:B23" ca="1" si="17">IF(OR(C20="s",C20=0),OFFSET(B20,-1,0),C20)</f>
        <v>2</v>
      </c>
      <c r="C20" t="str">
        <f t="shared" ref="C20:C23" ca="1" si="18">IF(OFFSET(C20,-1,0)="L",1,IF(OFFSET(C20,-1,0)=1,2,IF(OR(A20="s",A20=0),"S",IF(AND(OFFSET(C20,-1,0)=2,A20=4),3,IF(AND(OR(OFFSET(C20,-1,0)="s",OFFSET(C20,-1,0)=0),A20&lt;&gt;"s",A20&gt;OFFSET(B20,-1,0)),OFFSET(B20,-1,0),A20)))))</f>
        <v>S</v>
      </c>
      <c r="D20">
        <f t="shared" ref="D20:D23" ca="1" si="19">IF(OR(C20="S",C20=0),0,IF(ISERROR(K20),J20,SMALL(J20:K20,1)))</f>
        <v>0</v>
      </c>
      <c r="E20">
        <f ca="1">IF($C20=1,OFFSET(E20,-1,0)+MAX(1,COUNTIF(QCI!$A$13:$A$24,OFFSET(ORÇAMENTO!E20,-1,0))),OFFSET(E20,-1,0))</f>
        <v>1</v>
      </c>
      <c r="F20">
        <f t="shared" ref="F20:F23" ca="1" si="20">IF($C20=1,0,IF($C20=2,OFFSET(F20,-1,0)+1,OFFSET(F20,-1,0)))</f>
        <v>1</v>
      </c>
      <c r="G20">
        <f t="shared" ref="G20:G23" ca="1" si="21">IF(AND($C20&lt;=2,$C20&lt;&gt;0),0,IF($C20=3,OFFSET(G20,-1,0)+1,OFFSET(G20,-1,0)))</f>
        <v>0</v>
      </c>
      <c r="H20">
        <f t="shared" ref="H20:H23" ca="1" si="22">IF(AND($C20&lt;=3,$C20&lt;&gt;0),0,IF($C20=4,OFFSET(H20,-1,0)+1,OFFSET(H20,-1,0)))</f>
        <v>0</v>
      </c>
      <c r="I20">
        <f t="shared" ref="I20:I23" ca="1" si="23">IF(AND($C20&lt;=4,$C20&lt;&gt;0),0,IF(AND($C20="S",$X20&gt;0),OFFSET(I20,-1,0)+1,OFFSET(I20,-1,0)))</f>
        <v>3</v>
      </c>
      <c r="J20">
        <f t="shared" ca="1" si="9"/>
        <v>0</v>
      </c>
      <c r="K20">
        <f ca="1">IF(OR($C20="S",$C20=0),0,MATCH(OFFSET($D20,0,$C20)+IF($C20&lt;&gt;1,1,COUNTIF(QCI!$A$13:$A$24,ORÇAMENTO!E20)),OFFSET($D20,1,$C20,ROW($C$35)-ROW($C20)),0))</f>
        <v>0</v>
      </c>
      <c r="L20" s="113" t="str">
        <f t="shared" ref="L20:L23" ca="1" si="24">IF(OR($X20&gt;0,$C20=1,$C20=2,$C20=3,$C20=4),"F","")</f>
        <v>F</v>
      </c>
      <c r="M20" s="114" t="s">
        <v>705</v>
      </c>
      <c r="N20" s="115" t="str">
        <f t="shared" ref="N20:N23" ca="1" si="25">CHOOSE(1+LOG(1+2*(C20=1)+4*(C20=2)+8*(C20=3)+16*(C20=4)+32*(C20="S"),2),"","Meta","Nível 2","Nível 3","Nível 4","Serviço")</f>
        <v>Serviço</v>
      </c>
      <c r="O20" s="116" t="str">
        <f t="shared" ref="O20:O23" ca="1" si="26">IF(OR($C20=0,$L20=""),"-",CONCATENATE(E20&amp;".",IF(AND($A$5&gt;=2,$C20&gt;=2),F20&amp;".",""),IF(AND($A$5&gt;=3,$C20&gt;=3),G20&amp;".",""),IF(AND($A$5&gt;=4,$C20&gt;=4),H20&amp;".",""),IF($C20="S",I20&amp;".","")))</f>
        <v>1.1.3.</v>
      </c>
      <c r="P20" s="117" t="s">
        <v>750</v>
      </c>
      <c r="Q20" s="118" t="s">
        <v>1041</v>
      </c>
      <c r="R20" s="119" t="str" cm="1">
        <f t="array" aca="1" ref="R20" ca="1">IF($C20="S",REFERENCIA.Descricao,"(digite a descrição aqui)")</f>
        <v>(Código não identificado nas referências)</v>
      </c>
      <c r="S20" s="120" t="s">
        <v>625</v>
      </c>
      <c r="T20" s="121">
        <f ca="1">OFFSET(CÁLCULO!H$15,ROW($T20)-ROW(T$15),0)</f>
        <v>1231.31</v>
      </c>
      <c r="U20" s="122">
        <v>19.93</v>
      </c>
      <c r="V20" s="123" t="s">
        <v>663</v>
      </c>
      <c r="W20" s="121" cm="1">
        <f t="array" aca="1" ref="W20" ca="1">IF($C20="S",ROUND(IF(TIPOORCAMENTO="Proposto",ORÇAMENTO.CustoUnitario*(1+$AH20),ORÇAMENTO.PrecoUnitarioLicitado),15-13*$AF$10),0)</f>
        <v>24.59</v>
      </c>
      <c r="X20" s="124" cm="1">
        <f t="array" aca="1" ref="X20" ca="1">IF($C20="S",IF(OR(Import.TipoArredondamento&lt;&gt;"TransfereGOV",ACOMPANHAMENTO="BM"),VTOTAL1,SUM(OFFSET(CÁLCULO!$AI$15,ROW($X20)-ROW($X$15),1):OFFSET(CÁLCULO!$BB$15,ROW($X20)-ROW($X$15),-1))),IF($C20=0,0,ROUND(SomaAgrup,15-13*$AF$11)))</f>
        <v>30277.91</v>
      </c>
      <c r="Y20" s="125" t="s">
        <v>751</v>
      </c>
      <c r="Z20" t="str">
        <f t="shared" ref="Z20:Z23" ca="1" si="27">IF(AND($C20="S",$X20&gt;0),IF(ISBLANK($Y20),"RA",LEFT($Y20,2)),"")</f>
        <v>RA</v>
      </c>
      <c r="AA20" s="126" cm="1">
        <f t="array" aca="1" ref="AA20" ca="1">IF($C20="S",IF($Z20="CP",$X20,IF($Z20="RA",(($X20)*QCI!$AA$3),0)),SomaAgrup)</f>
        <v>2171.4158402115972</v>
      </c>
      <c r="AB20" s="127"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101133</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7" cm="1">
        <f t="array" aca="1" ref="AG20" ca="1">ROUND(IF(DESONERACAO="sim",REFERENCIA.Desonerado,REFERENCIA.NaoDesonerado),2)</f>
        <v>0</v>
      </c>
      <c r="AH20" s="428">
        <f t="shared" ca="1" si="16"/>
        <v>0.2339</v>
      </c>
      <c r="AJ20" s="430"/>
      <c r="AL20" s="438"/>
      <c r="AM20" s="335">
        <f t="shared" ca="1" si="0"/>
        <v>30277.91</v>
      </c>
      <c r="AN20" s="469" cm="1">
        <f t="array" aca="1" ref="AN20" ca="1">ROUND(ORÇAMENTO.CustoUnitario*(1+$AH20),2)</f>
        <v>24.59</v>
      </c>
    </row>
    <row r="21" spans="1:40" x14ac:dyDescent="0.2">
      <c r="A21">
        <f t="shared" si="15"/>
        <v>2</v>
      </c>
      <c r="B21">
        <f ca="1">IF(OR(C21="s",C21=0),OFFSET(B21,-1,0),C21)</f>
        <v>2</v>
      </c>
      <c r="C21">
        <f ca="1">IF(OFFSET(C21,-1,0)="L",1,IF(OFFSET(C21,-1,0)=1,2,IF(OR(A21="s",A21=0),"S",IF(AND(OFFSET(C21,-1,0)=2,A21=4),3,IF(AND(OR(OFFSET(C21,-1,0)="s",OFFSET(C21,-1,0)=0),A21&lt;&gt;"s",A21&gt;OFFSET(B21,-1,0)),OFFSET(B21,-1,0),A21)))))</f>
        <v>2</v>
      </c>
      <c r="D21">
        <f ca="1">IF(OR(C21="S",C21=0),0,IF(ISERROR(K21),J21,SMALL(J21:K21,1)))</f>
        <v>5</v>
      </c>
      <c r="E21">
        <f ca="1">IF($C21=1,OFFSET(E21,-1,0)+MAX(1,COUNTIF(QCI!$A$13:$A$24,OFFSET(ORÇAMENTO!E21,-1,0))),OFFSET(E21,-1,0))</f>
        <v>1</v>
      </c>
      <c r="F21">
        <f ca="1">IF($C21=1,0,IF($C21=2,OFFSET(F21,-1,0)+1,OFFSET(F21,-1,0)))</f>
        <v>2</v>
      </c>
      <c r="G21">
        <f ca="1">IF(AND($C21&lt;=2,$C21&lt;&gt;0),0,IF($C21=3,OFFSET(G21,-1,0)+1,OFFSET(G21,-1,0)))</f>
        <v>0</v>
      </c>
      <c r="H21">
        <f ca="1">IF(AND($C21&lt;=3,$C21&lt;&gt;0),0,IF($C21=4,OFFSET(H21,-1,0)+1,OFFSET(H21,-1,0)))</f>
        <v>0</v>
      </c>
      <c r="I21">
        <f ca="1">IF(AND($C21&lt;=4,$C21&lt;&gt;0),0,IF(AND($C21="S",$X21&gt;0),OFFSET(I21,-1,0)+1,OFFSET(I21,-1,0)))</f>
        <v>0</v>
      </c>
      <c r="J21">
        <f t="shared" ca="1" si="9"/>
        <v>14</v>
      </c>
      <c r="K21">
        <f ca="1">IF(OR($C21="S",$C21=0),0,MATCH(OFFSET($D21,0,$C21)+IF($C21&lt;&gt;1,1,COUNTIF(QCI!$A$13:$A$24,ORÇAMENTO!E21)),OFFSET($D21,1,$C21,ROW($C$35)-ROW($C21)),0))</f>
        <v>5</v>
      </c>
      <c r="L21" s="113" t="str">
        <f ca="1">IF(OR($X21&gt;0,$C21=1,$C21=2,$C21=3,$C21=4),"F","")</f>
        <v>F</v>
      </c>
      <c r="M21" s="114" t="s">
        <v>702</v>
      </c>
      <c r="N21" s="115" t="str">
        <f ca="1">CHOOSE(1+LOG(1+2*(C21=1)+4*(C21=2)+8*(C21=3)+16*(C21=4)+32*(C21="S"),2),"","Meta","Nível 2","Nível 3","Nível 4","Serviço")</f>
        <v>Nível 2</v>
      </c>
      <c r="O21" s="116" t="str">
        <f ca="1">IF(OR($C21=0,$L21=""),"-",CONCATENATE(E21&amp;".",IF(AND($A$5&gt;=2,$C21&gt;=2),F21&amp;".",""),IF(AND($A$5&gt;=3,$C21&gt;=3),G21&amp;".",""),IF(AND($A$5&gt;=4,$C21&gt;=4),H21&amp;".",""),IF($C21="S",I21&amp;".","")))</f>
        <v>1.2.</v>
      </c>
      <c r="P21" s="117" t="s">
        <v>750</v>
      </c>
      <c r="Q21" s="118"/>
      <c r="R21" s="119" t="s">
        <v>1018</v>
      </c>
      <c r="S21" s="120" t="str" cm="1">
        <f t="array" aca="1" ref="S21" ca="1">REFERENCIA.Unidade</f>
        <v>-</v>
      </c>
      <c r="T21" s="121">
        <f ca="1">OFFSET(CÁLCULO!H$15,ROW($T21)-ROW(T$15),0)</f>
        <v>0</v>
      </c>
      <c r="U21" s="122"/>
      <c r="V21" s="123" t="s">
        <v>663</v>
      </c>
      <c r="W21" s="121" cm="1">
        <f t="array" aca="1" ref="W21" ca="1">IF($C21="S",ROUND(IF(TIPOORCAMENTO="Proposto",ORÇAMENTO.CustoUnitario*(1+$AH21),ORÇAMENTO.PrecoUnitarioLicitado),15-13*$AF$10),0)</f>
        <v>0</v>
      </c>
      <c r="X21" s="124" cm="1">
        <f t="array" aca="1" ref="X21" ca="1">IF($C21="S",IF(OR(Import.TipoArredondamento&lt;&gt;"TransfereGOV",ACOMPANHAMENTO="BM"),VTOTAL1,SUM(OFFSET(CÁLCULO!$AI$15,ROW($X21)-ROW($X$15),1):OFFSET(CÁLCULO!$BB$15,ROW($X21)-ROW($X$15),-1))),IF($C21=0,0,ROUND(SomaAgrup,15-13*$AF$11)))</f>
        <v>142625.49</v>
      </c>
      <c r="Y21" s="125" t="s">
        <v>751</v>
      </c>
      <c r="Z21" t="str">
        <f ca="1">IF(AND($C21="S",$X21&gt;0),IF(ISBLANK($Y21),"RA",LEFT($Y21,2)),"")</f>
        <v/>
      </c>
      <c r="AA21" s="126" cm="1">
        <f t="array" aca="1" ref="AA21" ca="1">IF($C21="S",IF($Z21="CP",$X21,IF($Z21="RA",(($X21)*QCI!$AA$3),0)),SomaAgrup)</f>
        <v>10228.554355434069</v>
      </c>
      <c r="AB21" s="127"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7" cm="1">
        <f t="array" aca="1" ref="AG21" ca="1">ROUND(IF(DESONERACAO="sim",REFERENCIA.Desonerado,REFERENCIA.NaoDesonerado),2)</f>
        <v>0</v>
      </c>
      <c r="AH21" s="428">
        <f t="shared" ca="1" si="16"/>
        <v>0.2339</v>
      </c>
      <c r="AJ21" s="430"/>
      <c r="AL21" s="438"/>
      <c r="AM21" s="335">
        <f t="shared" ca="1" si="0"/>
        <v>142625.49</v>
      </c>
      <c r="AN21" s="469" cm="1">
        <f t="array" aca="1" ref="AN21" ca="1">ROUND(ORÇAMENTO.CustoUnitario*(1+$AH21),2)</f>
        <v>0</v>
      </c>
    </row>
    <row r="22" spans="1:40" x14ac:dyDescent="0.2">
      <c r="A22" t="str">
        <f t="shared" si="15"/>
        <v>S</v>
      </c>
      <c r="B22">
        <f t="shared" ca="1" si="17"/>
        <v>2</v>
      </c>
      <c r="C22" t="str">
        <f t="shared" ca="1" si="18"/>
        <v>S</v>
      </c>
      <c r="D22">
        <f t="shared" ca="1" si="19"/>
        <v>0</v>
      </c>
      <c r="E22">
        <f ca="1">IF($C22=1,OFFSET(E22,-1,0)+MAX(1,COUNTIF(QCI!$A$13:$A$24,OFFSET(ORÇAMENTO!E22,-1,0))),OFFSET(E22,-1,0))</f>
        <v>1</v>
      </c>
      <c r="F22">
        <f t="shared" ca="1" si="20"/>
        <v>2</v>
      </c>
      <c r="G22">
        <f t="shared" ca="1" si="21"/>
        <v>0</v>
      </c>
      <c r="H22">
        <f t="shared" ca="1" si="22"/>
        <v>0</v>
      </c>
      <c r="I22">
        <f t="shared" ca="1" si="23"/>
        <v>1</v>
      </c>
      <c r="J22">
        <f t="shared" ca="1" si="9"/>
        <v>0</v>
      </c>
      <c r="K22">
        <f ca="1">IF(OR($C22="S",$C22=0),0,MATCH(OFFSET($D22,0,$C22)+IF($C22&lt;&gt;1,1,COUNTIF(QCI!$A$13:$A$24,ORÇAMENTO!E22)),OFFSET($D22,1,$C22,ROW($C$35)-ROW($C22)),0))</f>
        <v>0</v>
      </c>
      <c r="L22" s="113" t="str">
        <f t="shared" ca="1" si="24"/>
        <v>F</v>
      </c>
      <c r="M22" s="114" t="s">
        <v>705</v>
      </c>
      <c r="N22" s="115" t="str">
        <f t="shared" ca="1" si="25"/>
        <v>Serviço</v>
      </c>
      <c r="O22" s="116" t="str">
        <f t="shared" ca="1" si="26"/>
        <v>1.2.1.</v>
      </c>
      <c r="P22" s="117" t="s">
        <v>1043</v>
      </c>
      <c r="Q22" s="118" t="s">
        <v>1017</v>
      </c>
      <c r="R22" s="119" t="str" cm="1">
        <f t="array" aca="1" ref="R22" ca="1">IF($C22="S",REFERENCIA.Descricao,"(digite a descrição aqui)")</f>
        <v>(Código não identificado nas referências)</v>
      </c>
      <c r="S22" s="120" t="s">
        <v>625</v>
      </c>
      <c r="T22" s="121">
        <f ca="1">OFFSET(CÁLCULO!H$15,ROW($T22)-ROW(T$15),0)</f>
        <v>703.61</v>
      </c>
      <c r="U22" s="122">
        <v>23.36</v>
      </c>
      <c r="V22" s="123" t="s">
        <v>663</v>
      </c>
      <c r="W22" s="121" cm="1">
        <f t="array" aca="1" ref="W22" ca="1">IF($C22="S",ROUND(IF(TIPOORCAMENTO="Proposto",ORÇAMENTO.CustoUnitario*(1+$AH22),ORÇAMENTO.PrecoUnitarioLicitado),15-13*$AF$10),0)</f>
        <v>28.82</v>
      </c>
      <c r="X22" s="124" cm="1">
        <f t="array" aca="1" ref="X22" ca="1">IF($C22="S",IF(OR(Import.TipoArredondamento&lt;&gt;"TransfereGOV",ACOMPANHAMENTO="BM"),VTOTAL1,SUM(OFFSET(CÁLCULO!$AI$15,ROW($X22)-ROW($X$15),1):OFFSET(CÁLCULO!$BB$15,ROW($X22)-ROW($X$15),-1))),IF($C22=0,0,ROUND(SomaAgrup,15-13*$AF$11)))</f>
        <v>20278.03</v>
      </c>
      <c r="Y22" s="125" t="s">
        <v>751</v>
      </c>
      <c r="Z22" t="str">
        <f t="shared" ca="1" si="27"/>
        <v>RA</v>
      </c>
      <c r="AA22" s="126" cm="1">
        <f t="array" aca="1" ref="AA22" ca="1">IF($C22="S",IF($Z22="CP",$X22,IF($Z22="RA",(($X22)*QCI!$AA$3),0)),SomaAgrup)</f>
        <v>1454.2627133208987</v>
      </c>
      <c r="AB22" s="127"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DER   533500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7" cm="1">
        <f t="array" aca="1" ref="AG22" ca="1">ROUND(IF(DESONERACAO="sim",REFERENCIA.Desonerado,REFERENCIA.NaoDesonerado),2)</f>
        <v>0</v>
      </c>
      <c r="AH22" s="428">
        <f t="shared" ca="1" si="16"/>
        <v>0.2339</v>
      </c>
      <c r="AJ22" s="430"/>
      <c r="AL22" s="438"/>
      <c r="AM22" s="335">
        <f t="shared" ca="1" si="0"/>
        <v>20278.03</v>
      </c>
      <c r="AN22" s="469" cm="1">
        <f t="array" aca="1" ref="AN22" ca="1">ROUND(ORÇAMENTO.CustoUnitario*(1+$AH22),2)</f>
        <v>28.82</v>
      </c>
    </row>
    <row r="23" spans="1:40" x14ac:dyDescent="0.2">
      <c r="A23" t="str">
        <f t="shared" si="15"/>
        <v>S</v>
      </c>
      <c r="B23">
        <f t="shared" ca="1" si="17"/>
        <v>2</v>
      </c>
      <c r="C23" t="str">
        <f t="shared" ca="1" si="18"/>
        <v>S</v>
      </c>
      <c r="D23">
        <f t="shared" ca="1" si="19"/>
        <v>0</v>
      </c>
      <c r="E23">
        <f ca="1">IF($C23=1,OFFSET(E23,-1,0)+MAX(1,COUNTIF(QCI!$A$13:$A$24,OFFSET(ORÇAMENTO!E23,-1,0))),OFFSET(E23,-1,0))</f>
        <v>1</v>
      </c>
      <c r="F23">
        <f t="shared" ca="1" si="20"/>
        <v>2</v>
      </c>
      <c r="G23">
        <f t="shared" ca="1" si="21"/>
        <v>0</v>
      </c>
      <c r="H23">
        <f t="shared" ca="1" si="22"/>
        <v>0</v>
      </c>
      <c r="I23">
        <f t="shared" ca="1" si="23"/>
        <v>2</v>
      </c>
      <c r="J23">
        <f t="shared" ca="1" si="9"/>
        <v>0</v>
      </c>
      <c r="K23">
        <f ca="1">IF(OR($C23="S",$C23=0),0,MATCH(OFFSET($D23,0,$C23)+IF($C23&lt;&gt;1,1,COUNTIF(QCI!$A$13:$A$24,ORÇAMENTO!E23)),OFFSET($D23,1,$C23,ROW($C$35)-ROW($C23)),0))</f>
        <v>0</v>
      </c>
      <c r="L23" s="113" t="str">
        <f t="shared" ca="1" si="24"/>
        <v>F</v>
      </c>
      <c r="M23" s="114" t="s">
        <v>705</v>
      </c>
      <c r="N23" s="115" t="str">
        <f t="shared" ca="1" si="25"/>
        <v>Serviço</v>
      </c>
      <c r="O23" s="116" t="str">
        <f t="shared" ca="1" si="26"/>
        <v>1.2.2.</v>
      </c>
      <c r="P23" s="117" t="s">
        <v>750</v>
      </c>
      <c r="Q23" s="118" t="s">
        <v>1035</v>
      </c>
      <c r="R23" s="119" t="str" cm="1">
        <f t="array" aca="1" ref="R23" ca="1">IF($C23="S",REFERENCIA.Descricao,"(digite a descrição aqui)")</f>
        <v>(Código não identificado nas referências)</v>
      </c>
      <c r="S23" s="120" t="s">
        <v>625</v>
      </c>
      <c r="T23" s="121">
        <f ca="1">OFFSET(CÁLCULO!H$15,ROW($T23)-ROW(T$15),0)</f>
        <v>527.70000000000005</v>
      </c>
      <c r="U23" s="122">
        <v>142.86000000000001</v>
      </c>
      <c r="V23" s="123" t="s">
        <v>663</v>
      </c>
      <c r="W23" s="121" cm="1">
        <f t="array" aca="1" ref="W23" ca="1">IF($C23="S",ROUND(IF(TIPOORCAMENTO="Proposto",ORÇAMENTO.CustoUnitario*(1+$AH23),ORÇAMENTO.PrecoUnitarioLicitado),15-13*$AF$10),0)</f>
        <v>176.27</v>
      </c>
      <c r="X23" s="124" cm="1">
        <f t="array" aca="1" ref="X23" ca="1">IF($C23="S",IF(OR(Import.TipoArredondamento&lt;&gt;"TransfereGOV",ACOMPANHAMENTO="BM"),VTOTAL1,SUM(OFFSET(CÁLCULO!$AI$15,ROW($X23)-ROW($X$15),1):OFFSET(CÁLCULO!$BB$15,ROW($X23)-ROW($X$15),-1))),IF($C23=0,0,ROUND(SomaAgrup,15-13*$AF$11)))</f>
        <v>93017.68</v>
      </c>
      <c r="Y23" s="125" t="s">
        <v>751</v>
      </c>
      <c r="Z23" t="str">
        <f t="shared" ca="1" si="27"/>
        <v>RA</v>
      </c>
      <c r="AA23" s="126" cm="1">
        <f t="array" aca="1" ref="AA23" ca="1">IF($C23="S",IF($Z23="CP",$X23,IF($Z23="RA",(($X23)*QCI!$AA$3),0)),SomaAgrup)</f>
        <v>6670.8720572765242</v>
      </c>
      <c r="AB23" s="127"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96396</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7" cm="1">
        <f t="array" aca="1" ref="AG23" ca="1">ROUND(IF(DESONERACAO="sim",REFERENCIA.Desonerado,REFERENCIA.NaoDesonerado),2)</f>
        <v>0</v>
      </c>
      <c r="AH23" s="428">
        <f t="shared" ca="1" si="16"/>
        <v>0.2339</v>
      </c>
      <c r="AJ23" s="430"/>
      <c r="AL23" s="438"/>
      <c r="AM23" s="335">
        <f t="shared" ca="1" si="0"/>
        <v>93017.68</v>
      </c>
      <c r="AN23" s="469" cm="1">
        <f t="array" aca="1" ref="AN23" ca="1">ROUND(ORÇAMENTO.CustoUnitario*(1+$AH23),2)</f>
        <v>176.27</v>
      </c>
    </row>
    <row r="24" spans="1:40"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3</v>
      </c>
      <c r="J24">
        <f t="shared" ca="1" si="9"/>
        <v>0</v>
      </c>
      <c r="K24">
        <f ca="1">IF(OR($C24="S",$C24=0),0,MATCH(OFFSET($D24,0,$C24)+IF($C24&lt;&gt;1,1,COUNTIF(QCI!$A$13:$A$24,ORÇAMENTO!E24)),OFFSET($D24,1,$C24,ROW($C$35)-ROW($C24)),0))</f>
        <v>0</v>
      </c>
      <c r="L24" s="113" t="str">
        <f ca="1">IF(OR($X24&gt;0,$C24=1,$C24=2,$C24=3,$C24=4),"F","")</f>
        <v>F</v>
      </c>
      <c r="M24" s="114" t="s">
        <v>705</v>
      </c>
      <c r="N24" s="115" t="str">
        <f ca="1">CHOOSE(1+LOG(1+2*(C24=1)+4*(C24=2)+8*(C24=3)+16*(C24=4)+32*(C24="S"),2),"","Meta","Nível 2","Nível 3","Nível 4","Serviço")</f>
        <v>Serviço</v>
      </c>
      <c r="O24" s="116" t="str">
        <f ca="1">IF(OR($C24=0,$L24=""),"-",CONCATENATE(E24&amp;".",IF(AND($A$5&gt;=2,$C24&gt;=2),F24&amp;".",""),IF(AND($A$5&gt;=3,$C24&gt;=3),G24&amp;".",""),IF(AND($A$5&gt;=4,$C24&gt;=4),H24&amp;".",""),IF($C24="S",I24&amp;".","")))</f>
        <v>1.2.3.</v>
      </c>
      <c r="P24" s="117" t="s">
        <v>750</v>
      </c>
      <c r="Q24" s="118" t="s">
        <v>1045</v>
      </c>
      <c r="R24" s="119" t="str" cm="1">
        <f t="array" aca="1" ref="R24" ca="1">IF($C24="S",REFERENCIA.Descricao,"(digite a descrição aqui)")</f>
        <v>(Código não identificado nas referências)</v>
      </c>
      <c r="S24" s="120" t="str" cm="1">
        <f t="array" aca="1" ref="S24" ca="1">REFERENCIA.Unidade</f>
        <v>-</v>
      </c>
      <c r="T24" s="121">
        <f ca="1">OFFSET(CÁLCULO!H$15,ROW($T24)-ROW(T$15),0)</f>
        <v>1231.31</v>
      </c>
      <c r="U24" s="122">
        <v>8.65</v>
      </c>
      <c r="V24" s="123" t="s">
        <v>663</v>
      </c>
      <c r="W24" s="121" cm="1">
        <f t="array" aca="1" ref="W24" ca="1">IF($C24="S",ROUND(IF(TIPOORCAMENTO="Proposto",ORÇAMENTO.CustoUnitario*(1+$AH24),ORÇAMENTO.PrecoUnitarioLicitado),15-13*$AF$10),0)</f>
        <v>10.67</v>
      </c>
      <c r="X24" s="124" cm="1">
        <f t="array" aca="1" ref="X24" ca="1">IF($C24="S",IF(OR(Import.TipoArredondamento&lt;&gt;"TransfereGOV",ACOMPANHAMENTO="BM"),VTOTAL1,SUM(OFFSET(CÁLCULO!$AI$15,ROW($X24)-ROW($X$15),1):OFFSET(CÁLCULO!$BB$15,ROW($X24)-ROW($X$15),-1))),IF($C24=0,0,ROUND(SomaAgrup,15-13*$AF$11)))</f>
        <v>13138.08</v>
      </c>
      <c r="Y24" s="125" t="s">
        <v>751</v>
      </c>
      <c r="Z24" t="str">
        <f ca="1">IF(AND($C24="S",$X24&gt;0),IF(ISBLANK($Y24),"RA",LEFT($Y24,2)),"")</f>
        <v>RA</v>
      </c>
      <c r="AA24" s="126" cm="1">
        <f t="array" aca="1" ref="AA24" ca="1">IF($C24="S",IF($Z24="CP",$X24,IF($Z24="RA",(($X24)*QCI!$AA$3),0)),SomaAgrup)</f>
        <v>942.21282188787734</v>
      </c>
      <c r="AB24" s="127"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100976</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7" cm="1">
        <f t="array" aca="1" ref="AG24" ca="1">ROUND(IF(DESONERACAO="sim",REFERENCIA.Desonerado,REFERENCIA.NaoDesonerado),2)</f>
        <v>0</v>
      </c>
      <c r="AH24" s="428">
        <f ca="1">ROUND(IF(ISNUMBER(ORÇAMENTO.OpcaoBDI),ORÇAMENTO.OpcaoBDI,IF(LEFT(ORÇAMENTO.OpcaoBDI,3)="BDI",HLOOKUP(ORÇAMENTO.OpcaoBDI,$F$4:$H$5,2,FALSE),0)),15-11*$AF$9)</f>
        <v>0.2339</v>
      </c>
      <c r="AJ24" s="430"/>
      <c r="AL24" s="438"/>
      <c r="AM24" s="335">
        <f t="shared" ca="1" si="0"/>
        <v>13138.08</v>
      </c>
      <c r="AN24" s="469" cm="1">
        <f t="array" aca="1" ref="AN24" ca="1">ROUND(ORÇAMENTO.CustoUnitario*(1+$AH24),2)</f>
        <v>10.67</v>
      </c>
    </row>
    <row r="25" spans="1:40" x14ac:dyDescent="0.2">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4</v>
      </c>
      <c r="J25">
        <f t="shared" ca="1" si="9"/>
        <v>0</v>
      </c>
      <c r="K25">
        <f ca="1">IF(OR($C25="S",$C25=0),0,MATCH(OFFSET($D25,0,$C25)+IF($C25&lt;&gt;1,1,COUNTIF(QCI!$A$13:$A$24,ORÇAMENTO!E25)),OFFSET($D25,1,$C25,ROW($C$35)-ROW($C25)),0))</f>
        <v>0</v>
      </c>
      <c r="L25" s="113" t="str">
        <f ca="1">IF(OR($X25&gt;0,$C25=1,$C25=2,$C25=3,$C25=4),"F","")</f>
        <v>F</v>
      </c>
      <c r="M25" s="114" t="s">
        <v>705</v>
      </c>
      <c r="N25" s="115" t="str">
        <f ca="1">CHOOSE(1+LOG(1+2*(C25=1)+4*(C25=2)+8*(C25=3)+16*(C25=4)+32*(C25="S"),2),"","Meta","Nível 2","Nível 3","Nível 4","Serviço")</f>
        <v>Serviço</v>
      </c>
      <c r="O25" s="116" t="str">
        <f ca="1">IF(OR($C25=0,$L25=""),"-",CONCATENATE(E25&amp;".",IF(AND($A$5&gt;=2,$C25&gt;=2),F25&amp;".",""),IF(AND($A$5&gt;=3,$C25&gt;=3),G25&amp;".",""),IF(AND($A$5&gt;=4,$C25&gt;=4),H25&amp;".",""),IF($C25="S",I25&amp;".","")))</f>
        <v>1.2.4.</v>
      </c>
      <c r="P25" s="117" t="s">
        <v>750</v>
      </c>
      <c r="Q25" s="118" t="s">
        <v>1046</v>
      </c>
      <c r="R25" s="119" t="str" cm="1">
        <f t="array" aca="1" ref="R25" ca="1">IF($C25="S",REFERENCIA.Descricao,"(digite a descrição aqui)")</f>
        <v>(Código não identificado nas referências)</v>
      </c>
      <c r="S25" s="120" t="str" cm="1">
        <f t="array" aca="1" ref="S25" ca="1">REFERENCIA.Unidade</f>
        <v>-</v>
      </c>
      <c r="T25" s="121">
        <f ca="1">OFFSET(CÁLCULO!H$15,ROW($T25)-ROW(T$15),0)</f>
        <v>6156.54</v>
      </c>
      <c r="U25" s="122">
        <v>2.13</v>
      </c>
      <c r="V25" s="123" t="s">
        <v>663</v>
      </c>
      <c r="W25" s="121" cm="1">
        <f t="array" aca="1" ref="W25" ca="1">IF($C25="S",ROUND(IF(TIPOORCAMENTO="Proposto",ORÇAMENTO.CustoUnitario*(1+$AH25),ORÇAMENTO.PrecoUnitarioLicitado),15-13*$AF$10),0)</f>
        <v>2.63</v>
      </c>
      <c r="X25" s="124" cm="1">
        <f t="array" aca="1" ref="X25" ca="1">IF($C25="S",IF(OR(Import.TipoArredondamento&lt;&gt;"TransfereGOV",ACOMPANHAMENTO="BM"),VTOTAL1,SUM(OFFSET(CÁLCULO!$AI$15,ROW($X25)-ROW($X$15),1):OFFSET(CÁLCULO!$BB$15,ROW($X25)-ROW($X$15),-1))),IF($C25=0,0,ROUND(SomaAgrup,15-13*$AF$11)))</f>
        <v>16191.7</v>
      </c>
      <c r="Y25" s="125" t="s">
        <v>751</v>
      </c>
      <c r="Z25" t="str">
        <f ca="1">IF(AND($C25="S",$X25&gt;0),IF(ISBLANK($Y25),"RA",LEFT($Y25,2)),"")</f>
        <v>RA</v>
      </c>
      <c r="AA25" s="126" cm="1">
        <f t="array" aca="1" ref="AA25" ca="1">IF($C25="S",IF($Z25="CP",$X25,IF($Z25="RA",(($X25)*QCI!$AA$3),0)),SomaAgrup)</f>
        <v>1161.2067629487676</v>
      </c>
      <c r="AB25" s="127" cm="1">
        <f t="array" aca="1" ref="AB25" ca="1">IF($C25="S",IF($Z25="OU",ROUND($X25,2),0),SomaAgrup)</f>
        <v>0</v>
      </c>
      <c r="AC25" s="564"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95877</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7" cm="1">
        <f t="array" aca="1" ref="AG25" ca="1">ROUND(IF(DESONERACAO="sim",REFERENCIA.Desonerado,REFERENCIA.NaoDesonerado),2)</f>
        <v>0</v>
      </c>
      <c r="AH25" s="428">
        <f ca="1">ROUND(IF(ISNUMBER(ORÇAMENTO.OpcaoBDI),ORÇAMENTO.OpcaoBDI,IF(LEFT(ORÇAMENTO.OpcaoBDI,3)="BDI",HLOOKUP(ORÇAMENTO.OpcaoBDI,$F$4:$H$5,2,FALSE),0)),15-11*$AF$9)</f>
        <v>0.2339</v>
      </c>
      <c r="AJ25" s="430"/>
      <c r="AL25" s="438"/>
      <c r="AM25" s="335">
        <f t="shared" ca="1" si="0"/>
        <v>16191.7</v>
      </c>
      <c r="AN25" s="469" cm="1">
        <f t="array" aca="1" ref="AN25" ca="1">ROUND(ORÇAMENTO.CustoUnitario*(1+$AH25),2)</f>
        <v>2.63</v>
      </c>
    </row>
    <row r="26" spans="1:40" x14ac:dyDescent="0.2">
      <c r="A26">
        <f t="shared" si="15"/>
        <v>2</v>
      </c>
      <c r="B26">
        <f ca="1">IF(OR(C26="s",C26=0),OFFSET(B26,-1,0),C26)</f>
        <v>2</v>
      </c>
      <c r="C26">
        <f ca="1">IF(OFFSET(C26,-1,0)="L",1,IF(OFFSET(C26,-1,0)=1,2,IF(OR(A26="s",A26=0),"S",IF(AND(OFFSET(C26,-1,0)=2,A26=4),3,IF(AND(OR(OFFSET(C26,-1,0)="s",OFFSET(C26,-1,0)=0),A26&lt;&gt;"s",A26&gt;OFFSET(B26,-1,0)),OFFSET(B26,-1,0),A26)))))</f>
        <v>2</v>
      </c>
      <c r="D26">
        <f ca="1">IF(OR(C26="S",C26=0),0,IF(ISERROR(K26),J26,SMALL(J26:K26,1)))</f>
        <v>7</v>
      </c>
      <c r="E26">
        <f ca="1">IF($C26=1,OFFSET(E26,-1,0)+MAX(1,COUNTIF(QCI!$A$13:$A$24,OFFSET(ORÇAMENTO!E26,-1,0))),OFFSET(E26,-1,0))</f>
        <v>1</v>
      </c>
      <c r="F26">
        <f ca="1">IF($C26=1,0,IF($C26=2,OFFSET(F26,-1,0)+1,OFFSET(F26,-1,0)))</f>
        <v>3</v>
      </c>
      <c r="G26">
        <f ca="1">IF(AND($C26&lt;=2,$C26&lt;&gt;0),0,IF($C26=3,OFFSET(G26,-1,0)+1,OFFSET(G26,-1,0)))</f>
        <v>0</v>
      </c>
      <c r="H26">
        <f ca="1">IF(AND($C26&lt;=3,$C26&lt;&gt;0),0,IF($C26=4,OFFSET(H26,-1,0)+1,OFFSET(H26,-1,0)))</f>
        <v>0</v>
      </c>
      <c r="I26">
        <f ca="1">IF(AND($C26&lt;=4,$C26&lt;&gt;0),0,IF(AND($C26="S",$X26&gt;0),OFFSET(I26,-1,0)+1,OFFSET(I26,-1,0)))</f>
        <v>0</v>
      </c>
      <c r="J26">
        <f t="shared" ca="1" si="9"/>
        <v>9</v>
      </c>
      <c r="K26">
        <f ca="1">IF(OR($C26="S",$C26=0),0,MATCH(OFFSET($D26,0,$C26)+IF($C26&lt;&gt;1,1,COUNTIF(QCI!$A$13:$A$24,ORÇAMENTO!E26)),OFFSET($D26,1,$C26,ROW($C$35)-ROW($C26)),0))</f>
        <v>7</v>
      </c>
      <c r="L26" s="113" t="str">
        <f ca="1">IF(OR($X26&gt;0,$C26=1,$C26=2,$C26=3,$C26=4),"F","")</f>
        <v>F</v>
      </c>
      <c r="M26" s="114" t="s">
        <v>702</v>
      </c>
      <c r="N26" s="115" t="str">
        <f ca="1">CHOOSE(1+LOG(1+2*(C26=1)+4*(C26=2)+8*(C26=3)+16*(C26=4)+32*(C26="S"),2),"","Meta","Nível 2","Nível 3","Nível 4","Serviço")</f>
        <v>Nível 2</v>
      </c>
      <c r="O26" s="116" t="str">
        <f ca="1">IF(OR($C26=0,$L26=""),"-",CONCATENATE(E26&amp;".",IF(AND($A$5&gt;=2,$C26&gt;=2),F26&amp;".",""),IF(AND($A$5&gt;=3,$C26&gt;=3),G26&amp;".",""),IF(AND($A$5&gt;=4,$C26&gt;=4),H26&amp;".",""),IF($C26="S",I26&amp;".","")))</f>
        <v>1.3.</v>
      </c>
      <c r="P26" s="117" t="s">
        <v>750</v>
      </c>
      <c r="Q26" s="118"/>
      <c r="R26" s="119" t="s">
        <v>1016</v>
      </c>
      <c r="S26" s="120" t="str" cm="1">
        <f t="array" aca="1" ref="S26" ca="1">REFERENCIA.Unidade</f>
        <v>-</v>
      </c>
      <c r="T26" s="121">
        <f ca="1">OFFSET(CÁLCULO!H$15,ROW($T26)-ROW(T$15),0)</f>
        <v>0</v>
      </c>
      <c r="U26" s="122"/>
      <c r="V26" s="123" t="s">
        <v>663</v>
      </c>
      <c r="W26" s="121" cm="1">
        <f t="array" aca="1" ref="W26" ca="1">IF($C26="S",ROUND(IF(TIPOORCAMENTO="Proposto",ORÇAMENTO.CustoUnitario*(1+$AH26),ORÇAMENTO.PrecoUnitarioLicitado),15-13*$AF$10),0)</f>
        <v>0</v>
      </c>
      <c r="X26" s="124" cm="1">
        <f t="array" aca="1" ref="X26" ca="1">IF($C26="S",IF(OR(Import.TipoArredondamento&lt;&gt;"TransfereGOV",ACOMPANHAMENTO="BM"),VTOTAL1,SUM(OFFSET(CÁLCULO!$AI$15,ROW($X26)-ROW($X$15),1):OFFSET(CÁLCULO!$BB$15,ROW($X26)-ROW($X$15),-1))),IF($C26=0,0,ROUND(SomaAgrup,15-13*$AF$11)))</f>
        <v>2751105.68</v>
      </c>
      <c r="Y26" s="125" t="s">
        <v>751</v>
      </c>
      <c r="Z26" t="str">
        <f ca="1">IF(AND($C26="S",$X26&gt;0),IF(ISBLANK($Y26),"RA",LEFT($Y26,2)),"")</f>
        <v/>
      </c>
      <c r="AA26" s="126" cm="1">
        <f t="array" aca="1" ref="AA26" ca="1">IF($C26="S",IF($Z26="CP",$X26,IF($Z26="RA",(($X26)*QCI!$AA$3),0)),SomaAgrup)</f>
        <v>197298.77166713614</v>
      </c>
      <c r="AB26" s="127" cm="1">
        <f t="array" aca="1" ref="AB26" ca="1">IF($C26="S",IF($Z26="OU",ROUND($X26,2),0),SomaAgrup)</f>
        <v>0</v>
      </c>
      <c r="AC26" s="564"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4</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7" cm="1">
        <f t="array" aca="1" ref="AG26" ca="1">ROUND(IF(DESONERACAO="sim",REFERENCIA.Desonerado,REFERENCIA.NaoDesonerado),2)</f>
        <v>0</v>
      </c>
      <c r="AH26" s="428">
        <f t="shared" ca="1" si="16"/>
        <v>0.2339</v>
      </c>
      <c r="AJ26" s="430"/>
      <c r="AL26" s="438"/>
      <c r="AM26" s="335">
        <f t="shared" ca="1" si="0"/>
        <v>2751105.68</v>
      </c>
      <c r="AN26" s="469" cm="1">
        <f t="array" aca="1" ref="AN26" ca="1">ROUND(ORÇAMENTO.CustoUnitario*(1+$AH26),2)</f>
        <v>0</v>
      </c>
    </row>
    <row r="27" spans="1:40" x14ac:dyDescent="0.2">
      <c r="A27" t="str">
        <f t="shared" si="1"/>
        <v>S</v>
      </c>
      <c r="B27">
        <f t="shared" ca="1" si="2"/>
        <v>2</v>
      </c>
      <c r="C27" t="str">
        <f t="shared" ca="1" si="3"/>
        <v>S</v>
      </c>
      <c r="D27">
        <f t="shared" ca="1" si="4"/>
        <v>0</v>
      </c>
      <c r="E27">
        <f ca="1">IF($C27=1,OFFSET(E27,-1,0)+MAX(1,COUNTIF(QCI!$A$13:$A$24,OFFSET(ORÇAMENTO!E27,-1,0))),OFFSET(E27,-1,0))</f>
        <v>1</v>
      </c>
      <c r="F27">
        <f t="shared" ca="1" si="5"/>
        <v>3</v>
      </c>
      <c r="G27">
        <f t="shared" ca="1" si="6"/>
        <v>0</v>
      </c>
      <c r="H27">
        <f t="shared" ca="1" si="7"/>
        <v>0</v>
      </c>
      <c r="I27">
        <f t="shared" ca="1" si="8"/>
        <v>1</v>
      </c>
      <c r="J27">
        <f t="shared" ca="1" si="9"/>
        <v>0</v>
      </c>
      <c r="K27">
        <f ca="1">IF(OR($C27="S",$C27=0),0,MATCH(OFFSET($D27,0,$C27)+IF($C27&lt;&gt;1,1,COUNTIF(QCI!$A$13:$A$24,ORÇAMENTO!E27)),OFFSET($D27,1,$C27,ROW($C$35)-ROW($C27)),0))</f>
        <v>0</v>
      </c>
      <c r="L27" s="113" t="str">
        <f t="shared" ca="1" si="10"/>
        <v>F</v>
      </c>
      <c r="M27" s="114" t="s">
        <v>705</v>
      </c>
      <c r="N27" s="115" t="str">
        <f t="shared" ca="1" si="11"/>
        <v>Serviço</v>
      </c>
      <c r="O27" s="116" t="str">
        <f t="shared" ca="1" si="12"/>
        <v>1.3.1.</v>
      </c>
      <c r="P27" s="117" t="s">
        <v>956</v>
      </c>
      <c r="Q27" s="118" t="s">
        <v>1039</v>
      </c>
      <c r="R27" s="119" t="str">
        <f ca="1">IF($C27="S",REFERENCIA.Descricao,"(digite a descrição aqui)")</f>
        <v>(Código não identificado nas referências)</v>
      </c>
      <c r="S27" s="120" t="s">
        <v>623</v>
      </c>
      <c r="T27" s="121">
        <f ca="1">OFFSET(CÁLCULO!H$15,ROW($T27)-ROW(T$15),0)</f>
        <v>3518.0199999999995</v>
      </c>
      <c r="U27" s="122">
        <v>10.199999999999999</v>
      </c>
      <c r="V27" s="123" t="s">
        <v>663</v>
      </c>
      <c r="W27" s="121" cm="1">
        <f t="array" aca="1" ref="W27" ca="1">IF($C27="S",ROUND(IF(TIPOORCAMENTO="Proposto",ORÇAMENTO.CustoUnitario*(1+$AH27),ORÇAMENTO.PrecoUnitarioLicitado),15-13*$AF$10),0)</f>
        <v>12.59</v>
      </c>
      <c r="X27" s="124" cm="1">
        <f t="array" aca="1" ref="X27" ca="1">IF($C27="S",IF(OR(Import.TipoArredondamento&lt;&gt;"TransfereGOV",ACOMPANHAMENTO="BM"),VTOTAL1,SUM(OFFSET(CÁLCULO!$AI$15,ROW($X27)-ROW($X$15),1):OFFSET(CÁLCULO!$BB$15,ROW($X27)-ROW($X$15),-1))),IF($C27=0,0,ROUND(SomaAgrup,15-13*$AF$11)))</f>
        <v>44291.87</v>
      </c>
      <c r="Y27" s="125" t="s">
        <v>751</v>
      </c>
      <c r="Z27" t="str">
        <f t="shared" ca="1" si="13"/>
        <v>RA</v>
      </c>
      <c r="AA27" s="126" cm="1">
        <f t="array" aca="1" ref="AA27" ca="1">IF($C27="S",IF($Z27="CP",$X27,IF($Z27="RA",(($X27)*QCI!$AA$3),0)),SomaAgrup)</f>
        <v>3176.4434239547195</v>
      </c>
      <c r="AB27" s="127" cm="1">
        <f t="array" aca="1" ref="AB27" ca="1">IF($C27="S",IF($Z27="OU",ROUND($X27,2),0),SomaAgrup)</f>
        <v>0</v>
      </c>
      <c r="AC27" s="564"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Composição 02</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7" cm="1">
        <f t="array" aca="1" ref="AG27" ca="1">ROUND(IF(DESONERACAO="sim",REFERENCIA.Desonerado,REFERENCIA.NaoDesonerado),2)</f>
        <v>0</v>
      </c>
      <c r="AH27" s="428">
        <f t="shared" ca="1" si="14"/>
        <v>0.2339</v>
      </c>
      <c r="AJ27" s="430"/>
      <c r="AL27" s="438"/>
      <c r="AM27" s="335">
        <f t="shared" ca="1" si="0"/>
        <v>44291.87</v>
      </c>
      <c r="AN27" s="469" cm="1">
        <f t="array" aca="1" ref="AN27" ca="1">ROUND(ORÇAMENTO.CustoUnitario*(1+$AH27),2)</f>
        <v>12.59</v>
      </c>
    </row>
    <row r="28" spans="1:40" x14ac:dyDescent="0.2">
      <c r="A28" t="str">
        <f t="shared" si="1"/>
        <v>S</v>
      </c>
      <c r="B28">
        <f t="shared" ca="1" si="2"/>
        <v>2</v>
      </c>
      <c r="C28" t="str">
        <f t="shared" ca="1" si="3"/>
        <v>S</v>
      </c>
      <c r="D28">
        <f t="shared" ca="1" si="4"/>
        <v>0</v>
      </c>
      <c r="E28">
        <f ca="1">IF($C28=1,OFFSET(E28,-1,0)+MAX(1,COUNTIF(QCI!$A$13:$A$24,OFFSET(ORÇAMENTO!E28,-1,0))),OFFSET(E28,-1,0))</f>
        <v>1</v>
      </c>
      <c r="F28">
        <f t="shared" ca="1" si="5"/>
        <v>3</v>
      </c>
      <c r="G28">
        <f t="shared" ca="1" si="6"/>
        <v>0</v>
      </c>
      <c r="H28">
        <f t="shared" ca="1" si="7"/>
        <v>0</v>
      </c>
      <c r="I28">
        <f t="shared" ca="1" si="8"/>
        <v>2</v>
      </c>
      <c r="J28">
        <f t="shared" ca="1" si="9"/>
        <v>0</v>
      </c>
      <c r="K28">
        <f ca="1">IF(OR($C28="S",$C28=0),0,MATCH(OFFSET($D28,0,$C28)+IF($C28&lt;&gt;1,1,COUNTIF(QCI!$A$13:$A$24,ORÇAMENTO!E28)),OFFSET($D28,1,$C28,ROW($C$35)-ROW($C28)),0))</f>
        <v>0</v>
      </c>
      <c r="L28" s="113" t="str">
        <f t="shared" ca="1" si="10"/>
        <v>F</v>
      </c>
      <c r="M28" s="114" t="s">
        <v>705</v>
      </c>
      <c r="N28" s="115" t="str">
        <f t="shared" ca="1" si="11"/>
        <v>Serviço</v>
      </c>
      <c r="O28" s="116" t="str">
        <f t="shared" ca="1" si="12"/>
        <v>1.3.2.</v>
      </c>
      <c r="P28" s="117" t="s">
        <v>956</v>
      </c>
      <c r="Q28" s="118" t="s">
        <v>1038</v>
      </c>
      <c r="R28" s="119" t="str" cm="1">
        <f t="array" aca="1" ref="R28" ca="1">IF($C28="S",REFERENCIA.Descricao,"(digite a descrição aqui)")</f>
        <v>(Código não identificado nas referências)</v>
      </c>
      <c r="S28" s="120" t="s">
        <v>623</v>
      </c>
      <c r="T28" s="121">
        <f ca="1">OFFSET(CÁLCULO!H$15,ROW($T28)-ROW(T$15),0)</f>
        <v>35554.270000000004</v>
      </c>
      <c r="U28" s="122">
        <v>3.16</v>
      </c>
      <c r="V28" s="123" t="s">
        <v>663</v>
      </c>
      <c r="W28" s="121" cm="1">
        <f t="array" aca="1" ref="W28" ca="1">IF($C28="S",ROUND(IF(TIPOORCAMENTO="Proposto",ORÇAMENTO.CustoUnitario*(1+$AH28),ORÇAMENTO.PrecoUnitarioLicitado),15-13*$AF$10),0)</f>
        <v>3.9</v>
      </c>
      <c r="X28" s="124" cm="1">
        <f t="array" aca="1" ref="X28" ca="1">IF($C28="S",IF(OR(Import.TipoArredondamento&lt;&gt;"TransfereGOV",ACOMPANHAMENTO="BM"),VTOTAL1,SUM(OFFSET(CÁLCULO!$AI$15,ROW($X28)-ROW($X$15),1):OFFSET(CÁLCULO!$BB$15,ROW($X28)-ROW($X$15),-1))),IF($C28=0,0,ROUND(SomaAgrup,15-13*$AF$11)))</f>
        <v>138661.66999999998</v>
      </c>
      <c r="Y28" s="125" t="s">
        <v>751</v>
      </c>
      <c r="Z28" t="str">
        <f t="shared" ca="1" si="13"/>
        <v>RA</v>
      </c>
      <c r="AA28" s="126" cm="1">
        <f t="array" aca="1" ref="AA28" ca="1">IF($C28="S",IF($Z28="CP",$X28,IF($Z28="RA",(($X28)*QCI!$AA$3),0)),SomaAgrup)</f>
        <v>9944.2843534508538</v>
      </c>
      <c r="AB28" s="127" cm="1">
        <f t="array" aca="1" ref="AB28" ca="1">IF($C28="S",IF($Z28="OU",ROUND($X28,2),0),SomaAgrup)</f>
        <v>0</v>
      </c>
      <c r="AC28" s="564"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Composição 01</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7" cm="1">
        <f t="array" aca="1" ref="AG28" ca="1">ROUND(IF(DESONERACAO="sim",REFERENCIA.Desonerado,REFERENCIA.NaoDesonerado),2)</f>
        <v>0</v>
      </c>
      <c r="AH28" s="428">
        <f t="shared" ca="1" si="14"/>
        <v>0.2339</v>
      </c>
      <c r="AJ28" s="430"/>
      <c r="AL28" s="438"/>
      <c r="AM28" s="335">
        <f t="shared" ca="1" si="0"/>
        <v>138661.66999999998</v>
      </c>
      <c r="AN28" s="469" cm="1">
        <f t="array" aca="1" ref="AN28" ca="1">ROUND(ORÇAMENTO.CustoUnitario*(1+$AH28),2)</f>
        <v>3.9</v>
      </c>
    </row>
    <row r="29" spans="1:40" ht="38.25" x14ac:dyDescent="0.2">
      <c r="A29" t="str">
        <f t="shared" si="1"/>
        <v>S</v>
      </c>
      <c r="B29">
        <f t="shared" ca="1" si="2"/>
        <v>2</v>
      </c>
      <c r="C29" t="str">
        <f t="shared" ca="1" si="3"/>
        <v>S</v>
      </c>
      <c r="D29">
        <f t="shared" ca="1" si="4"/>
        <v>0</v>
      </c>
      <c r="E29">
        <f ca="1">IF($C29=1,OFFSET(E29,-1,0)+MAX(1,COUNTIF(QCI!$A$13:$A$24,OFFSET(ORÇAMENTO!E29,-1,0))),OFFSET(E29,-1,0))</f>
        <v>1</v>
      </c>
      <c r="F29">
        <f t="shared" ca="1" si="5"/>
        <v>3</v>
      </c>
      <c r="G29">
        <f t="shared" ca="1" si="6"/>
        <v>0</v>
      </c>
      <c r="H29">
        <f t="shared" ca="1" si="7"/>
        <v>0</v>
      </c>
      <c r="I29">
        <f t="shared" ca="1" si="8"/>
        <v>3</v>
      </c>
      <c r="J29">
        <f t="shared" ca="1" si="9"/>
        <v>0</v>
      </c>
      <c r="K29">
        <f ca="1">IF(OR($C29="S",$C29=0),0,MATCH(OFFSET($D29,0,$C29)+IF($C29&lt;&gt;1,1,COUNTIF(QCI!$A$13:$A$24,ORÇAMENTO!E29)),OFFSET($D29,1,$C29,ROW($C$35)-ROW($C29)),0))</f>
        <v>0</v>
      </c>
      <c r="L29" s="113" t="str">
        <f t="shared" ca="1" si="10"/>
        <v>F</v>
      </c>
      <c r="M29" s="114" t="s">
        <v>705</v>
      </c>
      <c r="N29" s="115" t="str">
        <f t="shared" ca="1" si="11"/>
        <v>Serviço</v>
      </c>
      <c r="O29" s="116" t="str">
        <f t="shared" ca="1" si="12"/>
        <v>1.3.3.</v>
      </c>
      <c r="P29" s="117" t="s">
        <v>750</v>
      </c>
      <c r="Q29" s="118" t="s">
        <v>1036</v>
      </c>
      <c r="R29" s="119" t="s">
        <v>1037</v>
      </c>
      <c r="S29" s="120" t="s">
        <v>625</v>
      </c>
      <c r="T29" s="121">
        <f ca="1">OFFSET(CÁLCULO!H$15,ROW($T29)-ROW(T$15),0)</f>
        <v>355.54</v>
      </c>
      <c r="U29" s="122">
        <v>1283.8399999999999</v>
      </c>
      <c r="V29" s="123" t="s">
        <v>663</v>
      </c>
      <c r="W29" s="121" cm="1">
        <f t="array" aca="1" ref="W29" ca="1">IF($C29="S",ROUND(IF(TIPOORCAMENTO="Proposto",ORÇAMENTO.CustoUnitario*(1+$AH29),ORÇAMENTO.PrecoUnitarioLicitado),15-13*$AF$10),0)</f>
        <v>1584.13</v>
      </c>
      <c r="X29" s="124" cm="1">
        <f t="array" aca="1" ref="X29" ca="1">IF($C29="S",IF(OR(Import.TipoArredondamento&lt;&gt;"TransfereGOV",ACOMPANHAMENTO="BM"),VTOTAL1,SUM(OFFSET(CÁLCULO!$AI$15,ROW($X29)-ROW($X$15),1):OFFSET(CÁLCULO!$BB$15,ROW($X29)-ROW($X$15),-1))),IF($C29=0,0,ROUND(SomaAgrup,15-13*$AF$11)))</f>
        <v>563221.59</v>
      </c>
      <c r="Y29" s="125" t="s">
        <v>751</v>
      </c>
      <c r="Z29" t="str">
        <f t="shared" ca="1" si="13"/>
        <v>RA</v>
      </c>
      <c r="AA29" s="126" cm="1">
        <f t="array" aca="1" ref="AA29" ca="1">IF($C29="S",IF($Z29="CP",$X29,IF($Z29="RA",(($X29)*QCI!$AA$3),0)),SomaAgrup)</f>
        <v>40392.097145250831</v>
      </c>
      <c r="AB29" s="127" cm="1">
        <f t="array" aca="1" ref="AB29" ca="1">IF($C29="S",IF($Z29="OU",ROUND($X29,2),0),SomaAgrup)</f>
        <v>0</v>
      </c>
      <c r="AC29" s="564"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95996</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7" cm="1">
        <f t="array" aca="1" ref="AG29" ca="1">ROUND(IF(DESONERACAO="sim",REFERENCIA.Desonerado,REFERENCIA.NaoDesonerado),2)</f>
        <v>0</v>
      </c>
      <c r="AH29" s="428">
        <f t="shared" ca="1" si="14"/>
        <v>0.2339</v>
      </c>
      <c r="AJ29" s="430"/>
      <c r="AL29" s="438"/>
      <c r="AM29" s="335">
        <f t="shared" ca="1" si="0"/>
        <v>563221.59</v>
      </c>
      <c r="AN29" s="469" cm="1">
        <f t="array" aca="1" ref="AN29" ca="1">ROUND(ORÇAMENTO.CustoUnitario*(1+$AH29),2)</f>
        <v>1584.13</v>
      </c>
    </row>
    <row r="30" spans="1:40" x14ac:dyDescent="0.2">
      <c r="A30" t="str">
        <f t="shared" si="1"/>
        <v>S</v>
      </c>
      <c r="B30">
        <f t="shared" ca="1" si="2"/>
        <v>2</v>
      </c>
      <c r="C30" t="str">
        <f t="shared" ca="1" si="3"/>
        <v>S</v>
      </c>
      <c r="D30">
        <f t="shared" ca="1" si="4"/>
        <v>0</v>
      </c>
      <c r="E30">
        <f ca="1">IF($C30=1,OFFSET(E30,-1,0)+MAX(1,COUNTIF(QCI!$A$13:$A$24,OFFSET(ORÇAMENTO!E30,-1,0))),OFFSET(E30,-1,0))</f>
        <v>1</v>
      </c>
      <c r="F30">
        <f t="shared" ca="1" si="5"/>
        <v>3</v>
      </c>
      <c r="G30">
        <f t="shared" ca="1" si="6"/>
        <v>0</v>
      </c>
      <c r="H30">
        <f t="shared" ca="1" si="7"/>
        <v>0</v>
      </c>
      <c r="I30">
        <f t="shared" ca="1" si="8"/>
        <v>4</v>
      </c>
      <c r="J30">
        <f t="shared" ca="1" si="9"/>
        <v>0</v>
      </c>
      <c r="K30">
        <f ca="1">IF(OR($C30="S",$C30=0),0,MATCH(OFFSET($D30,0,$C30)+IF($C30&lt;&gt;1,1,COUNTIF(QCI!$A$13:$A$24,ORÇAMENTO!E30)),OFFSET($D30,1,$C30,ROW($C$35)-ROW($C30)),0))</f>
        <v>0</v>
      </c>
      <c r="L30" s="113" t="str">
        <f t="shared" ca="1" si="10"/>
        <v>F</v>
      </c>
      <c r="M30" s="114" t="s">
        <v>705</v>
      </c>
      <c r="N30" s="115" t="str">
        <f t="shared" ca="1" si="11"/>
        <v>Serviço</v>
      </c>
      <c r="O30" s="116" t="str">
        <f t="shared" ca="1" si="12"/>
        <v>1.3.4.</v>
      </c>
      <c r="P30" s="117" t="s">
        <v>750</v>
      </c>
      <c r="Q30" s="118" t="s">
        <v>1047</v>
      </c>
      <c r="R30" s="119" t="str" cm="1">
        <f t="array" aca="1" ref="R30" ca="1">IF($C30="S",REFERENCIA.Descricao,"(digite a descrição aqui)")</f>
        <v>(Código não identificado nas referências)</v>
      </c>
      <c r="S30" s="120" t="s">
        <v>625</v>
      </c>
      <c r="T30" s="121">
        <f ca="1">OFFSET(CÁLCULO!H$15,ROW($T30)-ROW(T$15),0)</f>
        <v>1066.6399999999999</v>
      </c>
      <c r="U30" s="122">
        <v>1492.66</v>
      </c>
      <c r="V30" s="123" t="s">
        <v>663</v>
      </c>
      <c r="W30" s="121" cm="1">
        <f t="array" aca="1" ref="W30" ca="1">IF($C30="S",ROUND(IF(TIPOORCAMENTO="Proposto",ORÇAMENTO.CustoUnitario*(1+$AH30),ORÇAMENTO.PrecoUnitarioLicitado),15-13*$AF$10),0)</f>
        <v>1841.79</v>
      </c>
      <c r="X30" s="124" cm="1">
        <f t="array" aca="1" ref="X30" ca="1">IF($C30="S",IF(OR(Import.TipoArredondamento&lt;&gt;"TransfereGOV",ACOMPANHAMENTO="BM"),VTOTAL1,SUM(OFFSET(CÁLCULO!$AI$15,ROW($X30)-ROW($X$15),1):OFFSET(CÁLCULO!$BB$15,ROW($X30)-ROW($X$15),-1))),IF($C30=0,0,ROUND(SomaAgrup,15-13*$AF$11)))</f>
        <v>1964526.8900000001</v>
      </c>
      <c r="Y30" s="125" t="s">
        <v>751</v>
      </c>
      <c r="Z30" t="str">
        <f t="shared" ca="1" si="13"/>
        <v>RA</v>
      </c>
      <c r="AA30" s="126" cm="1">
        <f t="array" aca="1" ref="AA30" ca="1">IF($C30="S",IF($Z30="CP",$X30,IF($Z30="RA",(($X30)*QCI!$AA$3),0)),SomaAgrup)</f>
        <v>140888.35086264627</v>
      </c>
      <c r="AB30" s="127" cm="1">
        <f t="array" aca="1" ref="AB30" ca="1">IF($C30="S",IF($Z30="OU",ROUND($X30,2),0),SomaAgrup)</f>
        <v>0</v>
      </c>
      <c r="AC30" s="564"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95995</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7" cm="1">
        <f t="array" aca="1" ref="AG30" ca="1">ROUND(IF(DESONERACAO="sim",REFERENCIA.Desonerado,REFERENCIA.NaoDesonerado),2)</f>
        <v>0</v>
      </c>
      <c r="AH30" s="428">
        <f t="shared" ca="1" si="14"/>
        <v>0.2339</v>
      </c>
      <c r="AJ30" s="430"/>
      <c r="AL30" s="438"/>
      <c r="AM30" s="335">
        <f t="shared" ca="1" si="0"/>
        <v>1964526.8900000001</v>
      </c>
      <c r="AN30" s="469" cm="1">
        <f t="array" aca="1" ref="AN30" ca="1">ROUND(ORÇAMENTO.CustoUnitario*(1+$AH30),2)</f>
        <v>1841.79</v>
      </c>
    </row>
    <row r="31" spans="1:40" x14ac:dyDescent="0.2">
      <c r="A31" t="str">
        <f>CHOOSE(1+LOG(1+2*(ORÇAMENTO.Nivel="Meta")+4*(ORÇAMENTO.Nivel="Nível 2")+8*(ORÇAMENTO.Nivel="Nível 3")+16*(ORÇAMENTO.Nivel="Nível 4")+32*(ORÇAMENTO.Nivel="Serviço"),2),0,1,2,3,4,"S")</f>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3</v>
      </c>
      <c r="G31">
        <f ca="1">IF(AND($C31&lt;=2,$C31&lt;&gt;0),0,IF($C31=3,OFFSET(G31,-1,0)+1,OFFSET(G31,-1,0)))</f>
        <v>0</v>
      </c>
      <c r="H31">
        <f ca="1">IF(AND($C31&lt;=3,$C31&lt;&gt;0),0,IF($C31=4,OFFSET(H31,-1,0)+1,OFFSET(H31,-1,0)))</f>
        <v>0</v>
      </c>
      <c r="I31">
        <f ca="1">IF(AND($C31&lt;=4,$C31&lt;&gt;0),0,IF(AND($C31="S",$X31&gt;0),OFFSET(I31,-1,0)+1,OFFSET(I31,-1,0)))</f>
        <v>5</v>
      </c>
      <c r="J31">
        <f t="shared" ca="1" si="9"/>
        <v>0</v>
      </c>
      <c r="K31">
        <f ca="1">IF(OR($C31="S",$C31=0),0,MATCH(OFFSET($D31,0,$C31)+IF($C31&lt;&gt;1,1,COUNTIF(QCI!$A$13:$A$24,ORÇAMENTO!E31)),OFFSET($D31,1,$C31,ROW($C$35)-ROW($C31)),0))</f>
        <v>0</v>
      </c>
      <c r="L31" s="113" t="str">
        <f ca="1">IF(OR($X31&gt;0,$C31=1,$C31=2,$C31=3,$C31=4),"F","")</f>
        <v>F</v>
      </c>
      <c r="M31" s="114" t="s">
        <v>705</v>
      </c>
      <c r="N31" s="115" t="str">
        <f ca="1">CHOOSE(1+LOG(1+2*(C31=1)+4*(C31=2)+8*(C31=3)+16*(C31=4)+32*(C31="S"),2),"","Meta","Nível 2","Nível 3","Nível 4","Serviço")</f>
        <v>Serviço</v>
      </c>
      <c r="O31" s="116" t="str">
        <f ca="1">IF(OR($C31=0,$L31=""),"-",CONCATENATE(E31&amp;".",IF(AND($A$5&gt;=2,$C31&gt;=2),F31&amp;".",""),IF(AND($A$5&gt;=3,$C31&gt;=3),G31&amp;".",""),IF(AND($A$5&gt;=4,$C31&gt;=4),H31&amp;".",""),IF($C31="S",I31&amp;".","")))</f>
        <v>1.3.5.</v>
      </c>
      <c r="P31" s="117" t="s">
        <v>750</v>
      </c>
      <c r="Q31" s="118" t="s">
        <v>1046</v>
      </c>
      <c r="R31" s="119" t="str">
        <f ca="1">IF($C31="S",REFERENCIA.Descricao,"(digite a descrição aqui)")</f>
        <v>(Código não identificado nas referências)</v>
      </c>
      <c r="S31" s="120" t="str" cm="1">
        <f t="array" aca="1" ref="S31" ca="1">REFERENCIA.Unidade</f>
        <v>-</v>
      </c>
      <c r="T31" s="121">
        <f ca="1">OFFSET(CÁLCULO!H$15,ROW($T31)-ROW(T$15),0)</f>
        <v>7110.84</v>
      </c>
      <c r="U31" s="122">
        <v>2.13</v>
      </c>
      <c r="V31" s="123" t="s">
        <v>663</v>
      </c>
      <c r="W31" s="121" cm="1">
        <f t="array" aca="1" ref="W31" ca="1">IF($C31="S",ROUND(IF(TIPOORCAMENTO="Proposto",ORÇAMENTO.CustoUnitario*(1+$AH31),ORÇAMENTO.PrecoUnitarioLicitado),15-13*$AF$10),0)</f>
        <v>2.63</v>
      </c>
      <c r="X31" s="124" cm="1">
        <f t="array" aca="1" ref="X31" ca="1">IF($C31="S",IF(OR(Import.TipoArredondamento&lt;&gt;"TransfereGOV",ACOMPANHAMENTO="BM"),VTOTAL1,SUM(OFFSET(CÁLCULO!$AI$15,ROW($X31)-ROW($X$15),1):OFFSET(CÁLCULO!$BB$15,ROW($X31)-ROW($X$15),-1))),IF($C31=0,0,ROUND(SomaAgrup,15-13*$AF$11)))</f>
        <v>18701.510000000002</v>
      </c>
      <c r="Y31" s="125" t="s">
        <v>751</v>
      </c>
      <c r="Z31" t="str">
        <f ca="1">IF(AND($C31="S",$X31&gt;0),IF(ISBLANK($Y31),"RA",LEFT($Y31,2)),"")</f>
        <v>RA</v>
      </c>
      <c r="AA31" s="126" cm="1">
        <f t="array" aca="1" ref="AA31" ca="1">IF($C31="S",IF($Z31="CP",$X31,IF($Z31="RA",(($X31)*QCI!$AA$3),0)),SomaAgrup)</f>
        <v>1341.2007318165483</v>
      </c>
      <c r="AB31" s="127" cm="1">
        <f t="array" aca="1" ref="AB31" ca="1">IF($C31="S",IF($Z31="OU",ROUND($X31,2),0),SomaAgrup)</f>
        <v>0</v>
      </c>
      <c r="AC31" s="564"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95877</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7" cm="1">
        <f t="array" aca="1" ref="AG31" ca="1">ROUND(IF(DESONERACAO="sim",REFERENCIA.Desonerado,REFERENCIA.NaoDesonerado),2)</f>
        <v>0</v>
      </c>
      <c r="AH31" s="428">
        <f ca="1">ROUND(IF(ISNUMBER(ORÇAMENTO.OpcaoBDI),ORÇAMENTO.OpcaoBDI,IF(LEFT(ORÇAMENTO.OpcaoBDI,3)="BDI",HLOOKUP(ORÇAMENTO.OpcaoBDI,$F$4:$H$5,2,FALSE),0)),15-11*$AF$9)</f>
        <v>0.2339</v>
      </c>
      <c r="AJ31" s="430"/>
      <c r="AL31" s="438"/>
      <c r="AM31" s="335">
        <f t="shared" ca="1" si="0"/>
        <v>18701.510000000002</v>
      </c>
      <c r="AN31" s="469" cm="1">
        <f t="array" aca="1" ref="AN31" ca="1">ROUND(ORÇAMENTO.CustoUnitario*(1+$AH31),2)</f>
        <v>2.63</v>
      </c>
    </row>
    <row r="32" spans="1:40" x14ac:dyDescent="0.2">
      <c r="A32" t="str">
        <f>CHOOSE(1+LOG(1+2*(ORÇAMENTO.Nivel="Meta")+4*(ORÇAMENTO.Nivel="Nível 2")+8*(ORÇAMENTO.Nivel="Nível 3")+16*(ORÇAMENTO.Nivel="Nível 4")+32*(ORÇAMENTO.Nivel="Serviço"),2),0,1,2,3,4,"S")</f>
        <v>S</v>
      </c>
      <c r="B32">
        <f ca="1">IF(OR(C32="s",C32=0),OFFSET(B32,-1,0),C32)</f>
        <v>2</v>
      </c>
      <c r="C32" t="str">
        <f ca="1">IF(OFFSET(C32,-1,0)="L",1,IF(OFFSET(C32,-1,0)=1,2,IF(OR(A32="s",A32=0),"S",IF(AND(OFFSET(C32,-1,0)=2,A32=4),3,IF(AND(OR(OFFSET(C32,-1,0)="s",OFFSET(C32,-1,0)=0),A32&lt;&gt;"s",A32&gt;OFFSET(B32,-1,0)),OFFSET(B32,-1,0),A32)))))</f>
        <v>S</v>
      </c>
      <c r="D32">
        <f ca="1">IF(OR(C32="S",C32=0),0,IF(ISERROR(K32),J32,SMALL(J32:K32,1)))</f>
        <v>0</v>
      </c>
      <c r="E32">
        <f ca="1">IF($C32=1,OFFSET(E32,-1,0)+MAX(1,COUNTIF(QCI!$A$13:$A$24,OFFSET(ORÇAMENTO!E32,-1,0))),OFFSET(E32,-1,0))</f>
        <v>1</v>
      </c>
      <c r="F32">
        <f ca="1">IF($C32=1,0,IF($C32=2,OFFSET(F32,-1,0)+1,OFFSET(F32,-1,0)))</f>
        <v>3</v>
      </c>
      <c r="G32">
        <f ca="1">IF(AND($C32&lt;=2,$C32&lt;&gt;0),0,IF($C32=3,OFFSET(G32,-1,0)+1,OFFSET(G32,-1,0)))</f>
        <v>0</v>
      </c>
      <c r="H32">
        <f ca="1">IF(AND($C32&lt;=3,$C32&lt;&gt;0),0,IF($C32=4,OFFSET(H32,-1,0)+1,OFFSET(H32,-1,0)))</f>
        <v>0</v>
      </c>
      <c r="I32">
        <f ca="1">IF(AND($C32&lt;=4,$C32&lt;&gt;0),0,IF(AND($C32="S",$X32&gt;0),OFFSET(I32,-1,0)+1,OFFSET(I32,-1,0)))</f>
        <v>6</v>
      </c>
      <c r="J32">
        <f t="shared" ca="1" si="9"/>
        <v>0</v>
      </c>
      <c r="K32">
        <f ca="1">IF(OR($C32="S",$C32=0),0,MATCH(OFFSET($D32,0,$C32)+IF($C32&lt;&gt;1,1,COUNTIF(QCI!$A$13:$A$24,ORÇAMENTO!E32)),OFFSET($D32,1,$C32,ROW($C$35)-ROW($C32)),0))</f>
        <v>0</v>
      </c>
      <c r="L32" s="113" t="str">
        <f ca="1">IF(OR($X32&gt;0,$C32=1,$C32=2,$C32=3,$C32=4),"F","")</f>
        <v>F</v>
      </c>
      <c r="M32" s="114" t="s">
        <v>705</v>
      </c>
      <c r="N32" s="115" t="str">
        <f ca="1">CHOOSE(1+LOG(1+2*(C32=1)+4*(C32=2)+8*(C32=3)+16*(C32=4)+32*(C32="S"),2),"","Meta","Nível 2","Nível 3","Nível 4","Serviço")</f>
        <v>Serviço</v>
      </c>
      <c r="O32" s="116" t="str">
        <f ca="1">IF(OR($C32=0,$L32=""),"-",CONCATENATE(E32&amp;".",IF(AND($A$5&gt;=2,$C32&gt;=2),F32&amp;".",""),IF(AND($A$5&gt;=3,$C32&gt;=3),G32&amp;".",""),IF(AND($A$5&gt;=4,$C32&gt;=4),H32&amp;".",""),IF($C32="S",I32&amp;".","")))</f>
        <v>1.3.6.</v>
      </c>
      <c r="P32" s="117" t="s">
        <v>750</v>
      </c>
      <c r="Q32" s="118" t="s">
        <v>1042</v>
      </c>
      <c r="R32" s="119" t="str" cm="1">
        <f t="array" aca="1" ref="R32" ca="1">IF($C32="S",REFERENCIA.Descricao,"(digite a descrição aqui)")</f>
        <v>(Código não identificado nas referências)</v>
      </c>
      <c r="S32" s="120" t="str">
        <f ca="1">REFERENCIA.Unidade</f>
        <v>-</v>
      </c>
      <c r="T32" s="121">
        <f ca="1">OFFSET(CÁLCULO!H$15,ROW($T32)-ROW(T$15),0)</f>
        <v>1422.1599999999999</v>
      </c>
      <c r="U32" s="122">
        <v>12.37</v>
      </c>
      <c r="V32" s="123" t="s">
        <v>663</v>
      </c>
      <c r="W32" s="121" cm="1">
        <f t="array" aca="1" ref="W32" ca="1">IF($C32="S",ROUND(IF(TIPOORCAMENTO="Proposto",ORÇAMENTO.CustoUnitario*(1+$AH32),ORÇAMENTO.PrecoUnitarioLicitado),15-13*$AF$10),0)</f>
        <v>15.26</v>
      </c>
      <c r="X32" s="124" cm="1">
        <f t="array" aca="1" ref="X32" ca="1">IF($C32="S",IF(OR(Import.TipoArredondamento&lt;&gt;"TransfereGOV",ACOMPANHAMENTO="BM"),VTOTAL1,SUM(OFFSET(CÁLCULO!$AI$15,ROW($X32)-ROW($X$15),1):OFFSET(CÁLCULO!$BB$15,ROW($X32)-ROW($X$15),-1))),IF($C32=0,0,ROUND(SomaAgrup,15-13*$AF$11)))</f>
        <v>21702.15</v>
      </c>
      <c r="Y32" s="125" t="s">
        <v>751</v>
      </c>
      <c r="Z32" t="str">
        <f ca="1">IF(AND($C32="S",$X32&gt;0),IF(ISBLANK($Y32),"RA",LEFT($Y32,2)),"")</f>
        <v>RA</v>
      </c>
      <c r="AA32" s="126" cm="1">
        <f t="array" aca="1" ref="AA32" ca="1">IF($C32="S",IF($Z32="CP",$X32,IF($Z32="RA",(($X32)*QCI!$AA$3),0)),SomaAgrup)</f>
        <v>1556.3951500168973</v>
      </c>
      <c r="AB32" s="127" cm="1">
        <f t="array" aca="1" ref="AB32" ca="1">IF($C32="S",IF($Z32="OU",ROUND($X32,2),0),SomaAgrup)</f>
        <v>0</v>
      </c>
      <c r="AC32" s="564"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100988</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7" cm="1">
        <f t="array" aca="1" ref="AG32" ca="1">ROUND(IF(DESONERACAO="sim",REFERENCIA.Desonerado,REFERENCIA.NaoDesonerado),2)</f>
        <v>0</v>
      </c>
      <c r="AH32" s="428">
        <f ca="1">ROUND(IF(ISNUMBER(ORÇAMENTO.OpcaoBDI),ORÇAMENTO.OpcaoBDI,IF(LEFT(ORÇAMENTO.OpcaoBDI,3)="BDI",HLOOKUP(ORÇAMENTO.OpcaoBDI,$F$4:$H$5,2,FALSE),0)),15-11*$AF$9)</f>
        <v>0.2339</v>
      </c>
      <c r="AJ32" s="430"/>
      <c r="AL32" s="438"/>
      <c r="AM32" s="335">
        <f t="shared" ca="1" si="0"/>
        <v>21702.15</v>
      </c>
      <c r="AN32" s="469" cm="1">
        <f t="array" aca="1" ref="AN32" ca="1">ROUND(ORÇAMENTO.CustoUnitario*(1+$AH32),2)</f>
        <v>15.26</v>
      </c>
    </row>
    <row r="33" spans="1:40" x14ac:dyDescent="0.2">
      <c r="A33">
        <f t="shared" si="1"/>
        <v>2</v>
      </c>
      <c r="B33">
        <f t="shared" ca="1" si="2"/>
        <v>2</v>
      </c>
      <c r="C33">
        <f t="shared" ca="1" si="3"/>
        <v>2</v>
      </c>
      <c r="D33">
        <f t="shared" ca="1" si="4"/>
        <v>2</v>
      </c>
      <c r="E33">
        <f ca="1">IF($C33=1,OFFSET(E33,-1,0)+MAX(1,COUNTIF(QCI!$A$13:$A$24,OFFSET(ORÇAMENTO!E33,-1,0))),OFFSET(E33,-1,0))</f>
        <v>1</v>
      </c>
      <c r="F33">
        <f t="shared" ca="1" si="5"/>
        <v>4</v>
      </c>
      <c r="G33">
        <f t="shared" ca="1" si="6"/>
        <v>0</v>
      </c>
      <c r="H33">
        <f t="shared" ca="1" si="7"/>
        <v>0</v>
      </c>
      <c r="I33">
        <f t="shared" ca="1" si="8"/>
        <v>0</v>
      </c>
      <c r="J33">
        <f t="shared" ca="1" si="9"/>
        <v>2</v>
      </c>
      <c r="K33" t="e">
        <f ca="1">IF(OR($C33="S",$C33=0),0,MATCH(OFFSET($D33,0,$C33)+IF($C33&lt;&gt;1,1,COUNTIF(QCI!$A$13:$A$24,ORÇAMENTO!E33)),OFFSET($D33,1,$C33,ROW($C$35)-ROW($C33)),0))</f>
        <v>#N/A</v>
      </c>
      <c r="L33" s="113" t="str">
        <f t="shared" ca="1" si="10"/>
        <v>F</v>
      </c>
      <c r="M33" s="114" t="s">
        <v>702</v>
      </c>
      <c r="N33" s="115" t="str">
        <f t="shared" ca="1" si="11"/>
        <v>Nível 2</v>
      </c>
      <c r="O33" s="116" t="str">
        <f t="shared" ca="1" si="12"/>
        <v>1.4.</v>
      </c>
      <c r="P33" s="117" t="s">
        <v>750</v>
      </c>
      <c r="Q33" s="118"/>
      <c r="R33" s="119" t="s">
        <v>191</v>
      </c>
      <c r="S33" s="120" t="str" cm="1">
        <f t="array" aca="1" ref="S33" ca="1">REFERENCIA.Unidade</f>
        <v>-</v>
      </c>
      <c r="T33" s="121">
        <f ca="1">OFFSET(CÁLCULO!H$15,ROW($T33)-ROW(T$15),0)</f>
        <v>0</v>
      </c>
      <c r="U33" s="122"/>
      <c r="V33" s="123" t="s">
        <v>663</v>
      </c>
      <c r="W33" s="121" cm="1">
        <f t="array" aca="1" ref="W33" ca="1">IF($C33="S",ROUND(IF(TIPOORCAMENTO="Proposto",ORÇAMENTO.CustoUnitario*(1+$AH33),ORÇAMENTO.PrecoUnitarioLicitado),15-13*$AF$10),0)</f>
        <v>0</v>
      </c>
      <c r="X33" s="124" cm="1">
        <f t="array" aca="1" ref="X33" ca="1">IF($C33="S",IF(OR(Import.TipoArredondamento&lt;&gt;"TransfereGOV",ACOMPANHAMENTO="BM"),VTOTAL1,SUM(OFFSET(CÁLCULO!$AI$15,ROW($X33)-ROW($X$15),1):OFFSET(CÁLCULO!$BB$15,ROW($X33)-ROW($X$15),-1))),IF($C33=0,0,ROUND(SomaAgrup,15-13*$AF$11)))</f>
        <v>47162.23</v>
      </c>
      <c r="Y33" s="125" t="s">
        <v>751</v>
      </c>
      <c r="Z33" t="str">
        <f t="shared" ca="1" si="13"/>
        <v/>
      </c>
      <c r="AA33" s="126" cm="1">
        <f t="array" aca="1" ref="AA33" ca="1">IF($C33="S",IF($Z33="CP",$X33,IF($Z33="RA",(($X33)*QCI!$AA$3),0)),SomaAgrup)</f>
        <v>3382.294659099739</v>
      </c>
      <c r="AB33" s="127" cm="1">
        <f t="array" aca="1" ref="AB33" ca="1">IF($C33="S",IF($Z33="OU",ROUND($X33,2),0),SomaAgrup)</f>
        <v>0</v>
      </c>
      <c r="AC33" s="564"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IF(C33&lt;=CRONO.NivelExibicao,MAX($AD$15:OFFSET(AD33,-1,0))+IF($C33&lt;&gt;1,1,MAX(1,COUNTIF(QCI!$A$13:$A$24,OFFSET($E33,-1,0)))),"")</f>
        <v>5</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7" cm="1">
        <f t="array" aca="1" ref="AG33" ca="1">ROUND(IF(DESONERACAO="sim",REFERENCIA.Desonerado,REFERENCIA.NaoDesonerado),2)</f>
        <v>0</v>
      </c>
      <c r="AH33" s="428">
        <f t="shared" ca="1" si="14"/>
        <v>0.2339</v>
      </c>
      <c r="AJ33" s="430"/>
      <c r="AL33" s="438"/>
      <c r="AM33" s="335">
        <f t="shared" ca="1" si="0"/>
        <v>47162.23</v>
      </c>
      <c r="AN33" s="469" cm="1">
        <f t="array" aca="1" ref="AN33" ca="1">ROUND(ORÇAMENTO.CustoUnitario*(1+$AH33),2)</f>
        <v>0</v>
      </c>
    </row>
    <row r="34" spans="1:40" ht="38.25" x14ac:dyDescent="0.2">
      <c r="A34" t="str">
        <f t="shared" si="1"/>
        <v>S</v>
      </c>
      <c r="B34">
        <f t="shared" ca="1" si="2"/>
        <v>2</v>
      </c>
      <c r="C34" t="str">
        <f t="shared" ca="1" si="3"/>
        <v>S</v>
      </c>
      <c r="D34">
        <f t="shared" ca="1" si="4"/>
        <v>0</v>
      </c>
      <c r="E34">
        <f ca="1">IF($C34=1,OFFSET(E34,-1,0)+MAX(1,COUNTIF(QCI!$A$13:$A$24,OFFSET(ORÇAMENTO!E34,-1,0))),OFFSET(E34,-1,0))</f>
        <v>1</v>
      </c>
      <c r="F34">
        <f t="shared" ca="1" si="5"/>
        <v>4</v>
      </c>
      <c r="G34">
        <f t="shared" ca="1" si="6"/>
        <v>0</v>
      </c>
      <c r="H34">
        <f t="shared" ca="1" si="7"/>
        <v>0</v>
      </c>
      <c r="I34">
        <f t="shared" ca="1" si="8"/>
        <v>1</v>
      </c>
      <c r="J34">
        <f t="shared" ca="1" si="9"/>
        <v>0</v>
      </c>
      <c r="K34">
        <f ca="1">IF(OR($C34="S",$C34=0),0,MATCH(OFFSET($D34,0,$C34)+IF($C34&lt;&gt;1,1,COUNTIF(QCI!$A$13:$A$24,ORÇAMENTO!E34)),OFFSET($D34,1,$C34,ROW($C$35)-ROW($C34)),0))</f>
        <v>0</v>
      </c>
      <c r="L34" s="113" t="str">
        <f t="shared" ca="1" si="10"/>
        <v>F</v>
      </c>
      <c r="M34" s="114" t="s">
        <v>705</v>
      </c>
      <c r="N34" s="115" t="str">
        <f t="shared" ca="1" si="11"/>
        <v>Serviço</v>
      </c>
      <c r="O34" s="116" t="str">
        <f t="shared" ca="1" si="12"/>
        <v>1.4.1.</v>
      </c>
      <c r="P34" s="117" t="s">
        <v>956</v>
      </c>
      <c r="Q34" s="118" t="s">
        <v>1048</v>
      </c>
      <c r="R34" s="119" t="s">
        <v>1050</v>
      </c>
      <c r="S34" s="120" t="s">
        <v>623</v>
      </c>
      <c r="T34" s="121">
        <f ca="1">OFFSET(CÁLCULO!H$15,ROW($T34)-ROW(T$15),0)</f>
        <v>1767.7</v>
      </c>
      <c r="U34" s="122">
        <v>21.62</v>
      </c>
      <c r="V34" s="123" t="s">
        <v>663</v>
      </c>
      <c r="W34" s="121" cm="1">
        <f t="array" aca="1" ref="W34" ca="1">IF($C34="S",ROUND(IF(TIPOORCAMENTO="Proposto",ORÇAMENTO.CustoUnitario*(1+$AH34),ORÇAMENTO.PrecoUnitarioLicitado),15-13*$AF$10),0)</f>
        <v>26.68</v>
      </c>
      <c r="X34" s="124" cm="1">
        <f t="array" aca="1" ref="X34" ca="1">IF($C34="S",IF(OR(Import.TipoArredondamento&lt;&gt;"TransfereGOV",ACOMPANHAMENTO="BM"),VTOTAL1,SUM(OFFSET(CÁLCULO!$AI$15,ROW($X34)-ROW($X$15),1):OFFSET(CÁLCULO!$BB$15,ROW($X34)-ROW($X$15),-1))),IF($C34=0,0,ROUND(SomaAgrup,15-13*$AF$11)))</f>
        <v>47162.229999999996</v>
      </c>
      <c r="Y34" s="125" t="s">
        <v>751</v>
      </c>
      <c r="Z34" t="str">
        <f t="shared" ca="1" si="13"/>
        <v>RA</v>
      </c>
      <c r="AA34" s="126" cm="1">
        <f t="array" aca="1" ref="AA34" ca="1">IF($C34="S",IF($Z34="CP",$X34,IF($Z34="RA",(($X34)*QCI!$AA$3),0)),SomaAgrup)</f>
        <v>3382.294659099739</v>
      </c>
      <c r="AB34" s="127" cm="1">
        <f t="array" aca="1" ref="AB34" ca="1">IF($C34="S",IF($Z34="OU",ROUND($X34,2),0),SomaAgrup)</f>
        <v>0</v>
      </c>
      <c r="AC34" s="564"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03</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7" cm="1">
        <f t="array" aca="1" ref="AG34" ca="1">ROUND(IF(DESONERACAO="sim",REFERENCIA.Desonerado,REFERENCIA.NaoDesonerado),2)</f>
        <v>0</v>
      </c>
      <c r="AH34" s="428">
        <f t="shared" ca="1" si="14"/>
        <v>0.2339</v>
      </c>
      <c r="AJ34" s="430"/>
      <c r="AL34" s="438"/>
      <c r="AM34" s="335">
        <f t="shared" ca="1" si="0"/>
        <v>47162.229999999996</v>
      </c>
      <c r="AN34" s="469" cm="1">
        <f t="array" aca="1" ref="AN34" ca="1">ROUND(ORÇAMENTO.CustoUnitario*(1+$AH34),2)</f>
        <v>26.68</v>
      </c>
    </row>
    <row r="35" spans="1:40" ht="5.0999999999999996" customHeight="1" x14ac:dyDescent="0.2">
      <c r="A35">
        <v>-1</v>
      </c>
      <c r="C35">
        <v>-1</v>
      </c>
      <c r="E35">
        <v>0</v>
      </c>
      <c r="F35">
        <v>0</v>
      </c>
      <c r="G35">
        <v>0</v>
      </c>
      <c r="H35">
        <v>0</v>
      </c>
      <c r="I35">
        <v>0</v>
      </c>
      <c r="L35" s="113" t="s">
        <v>536</v>
      </c>
      <c r="M35" s="615"/>
      <c r="N35" s="423"/>
      <c r="O35" s="615"/>
      <c r="P35" s="616"/>
      <c r="Q35" s="616"/>
      <c r="R35" s="616"/>
      <c r="S35" s="616"/>
      <c r="T35" s="616"/>
      <c r="U35" s="616"/>
      <c r="V35" s="616"/>
      <c r="W35" s="616"/>
      <c r="X35" s="423"/>
      <c r="Y35" s="423"/>
      <c r="AC35" s="564" t="str" cm="1">
        <f t="array" ref="AC35">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F35" s="12"/>
      <c r="AG35" s="617"/>
      <c r="AH35" s="418"/>
      <c r="AJ35" s="424"/>
      <c r="AL35" s="617"/>
      <c r="AM35" s="618"/>
      <c r="AN35" s="418"/>
    </row>
    <row r="36" spans="1:40" x14ac:dyDescent="0.2">
      <c r="AF36" s="12"/>
    </row>
    <row r="37" spans="1:40" x14ac:dyDescent="0.2">
      <c r="AF37" s="12"/>
    </row>
    <row r="38" spans="1:40" ht="14.25" x14ac:dyDescent="0.2">
      <c r="O38" s="133" t="s">
        <v>753</v>
      </c>
      <c r="Q38" s="689" t="s">
        <v>754</v>
      </c>
      <c r="R38" s="689"/>
      <c r="S38" s="689"/>
      <c r="T38" s="689"/>
      <c r="U38" s="689"/>
      <c r="V38" s="689"/>
      <c r="W38" s="689"/>
      <c r="X38" s="689"/>
      <c r="AF38" s="12"/>
    </row>
    <row r="39" spans="1:40" x14ac:dyDescent="0.2">
      <c r="AF39" s="12"/>
    </row>
    <row r="40" spans="1:40" ht="14.25" x14ac:dyDescent="0.2">
      <c r="O40" s="134" t="s">
        <v>689</v>
      </c>
      <c r="X40" s="4"/>
      <c r="AF40" s="12"/>
    </row>
    <row r="41" spans="1:40" ht="12.75" customHeight="1" x14ac:dyDescent="0.2">
      <c r="O41" s="690"/>
      <c r="P41" s="690"/>
      <c r="Q41" s="690"/>
      <c r="R41" s="690"/>
      <c r="S41" s="690"/>
      <c r="T41" s="690"/>
      <c r="U41" s="690"/>
      <c r="V41" s="690"/>
      <c r="W41" s="690"/>
      <c r="X41" s="690"/>
      <c r="AF41" s="12"/>
    </row>
    <row r="42" spans="1:40" x14ac:dyDescent="0.2">
      <c r="O42" s="690"/>
      <c r="P42" s="690"/>
      <c r="Q42" s="690"/>
      <c r="R42" s="690"/>
      <c r="S42" s="690"/>
      <c r="T42" s="690"/>
      <c r="U42" s="690"/>
      <c r="V42" s="690"/>
      <c r="W42" s="690"/>
      <c r="X42" s="690"/>
      <c r="AF42" s="12"/>
    </row>
    <row r="43" spans="1:40" x14ac:dyDescent="0.2">
      <c r="O43" s="690"/>
      <c r="P43" s="690"/>
      <c r="Q43" s="690"/>
      <c r="R43" s="690"/>
      <c r="S43" s="690"/>
      <c r="T43" s="690"/>
      <c r="U43" s="690"/>
      <c r="V43" s="690"/>
      <c r="W43" s="690"/>
      <c r="X43" s="690"/>
      <c r="AF43" s="12"/>
    </row>
    <row r="44" spans="1:40" ht="14.25" x14ac:dyDescent="0.2">
      <c r="O44" s="442"/>
      <c r="P44" s="442"/>
      <c r="Q44" s="442"/>
      <c r="R44" s="442"/>
      <c r="S44" s="442"/>
      <c r="T44" s="442"/>
      <c r="U44" s="442"/>
      <c r="V44" s="442"/>
      <c r="W44" s="442"/>
      <c r="X44" s="442"/>
      <c r="Y44" s="442"/>
      <c r="Z44" s="135"/>
      <c r="AA44" s="135"/>
      <c r="AB44" s="135"/>
      <c r="AF44" s="12"/>
    </row>
    <row r="45" spans="1:40" ht="15" x14ac:dyDescent="0.25">
      <c r="O45" s="69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5" s="691"/>
      <c r="Q45" s="691"/>
      <c r="R45" s="691"/>
      <c r="S45" s="691"/>
      <c r="T45" s="691"/>
      <c r="U45" s="691"/>
      <c r="V45" s="691"/>
      <c r="W45" s="691"/>
      <c r="X45" s="691"/>
      <c r="Y45" s="136"/>
      <c r="Z45" s="136"/>
      <c r="AA45" s="136"/>
      <c r="AB45" s="136"/>
      <c r="AF45" s="12"/>
    </row>
    <row r="46" spans="1:40" ht="15" customHeight="1" x14ac:dyDescent="0.25">
      <c r="O46" s="693" t="s">
        <v>755</v>
      </c>
      <c r="P46" s="693"/>
      <c r="Q46" s="693"/>
      <c r="R46" s="693"/>
      <c r="S46" s="693"/>
      <c r="T46" s="693"/>
      <c r="U46" s="693"/>
      <c r="V46" s="693"/>
      <c r="W46" s="693"/>
      <c r="X46" s="693"/>
      <c r="Y46" s="136"/>
      <c r="Z46" s="136"/>
      <c r="AA46" s="136"/>
      <c r="AB46" s="136"/>
      <c r="AF46" s="12"/>
    </row>
    <row r="47" spans="1:40" x14ac:dyDescent="0.2">
      <c r="AF47" s="12"/>
    </row>
    <row r="48" spans="1:40" ht="30" customHeight="1" x14ac:dyDescent="0.2">
      <c r="O48" s="692" t="str">
        <f>Import.Município</f>
        <v>Marialva-PR</v>
      </c>
      <c r="P48" s="692"/>
      <c r="Q48" s="692"/>
      <c r="S48" s="459"/>
      <c r="T48" s="459"/>
      <c r="U48" s="459"/>
      <c r="V48" s="459"/>
      <c r="W48" s="416"/>
      <c r="AF48" s="12"/>
    </row>
    <row r="49" spans="15:32" x14ac:dyDescent="0.2">
      <c r="O49" s="9" t="s">
        <v>693</v>
      </c>
      <c r="S49" s="180" t="s">
        <v>696</v>
      </c>
      <c r="T49" s="180"/>
      <c r="U49" s="180"/>
      <c r="V49" s="180"/>
      <c r="AF49" s="12"/>
    </row>
    <row r="50" spans="15:32" x14ac:dyDescent="0.2">
      <c r="S50" s="76" t="s">
        <v>240</v>
      </c>
      <c r="T50" s="77" t="str">
        <f t="array" ref="T50:T52">Import.RespOrçamento</f>
        <v>Fernando Vinicius Moraes Viana</v>
      </c>
      <c r="V50" s="78"/>
      <c r="AF50" s="12"/>
    </row>
    <row r="51" spans="15:32" x14ac:dyDescent="0.2">
      <c r="O51" s="686">
        <f>DADOS!$C$25</f>
        <v>46295</v>
      </c>
      <c r="P51" s="686"/>
      <c r="Q51" s="686"/>
      <c r="S51" s="76" t="s">
        <v>243</v>
      </c>
      <c r="T51" s="77" t="str">
        <v>144.403/D</v>
      </c>
      <c r="U51" s="78"/>
      <c r="V51" s="78"/>
      <c r="AF51" s="12"/>
    </row>
    <row r="52" spans="15:32" x14ac:dyDescent="0.2">
      <c r="O52" s="139" t="s">
        <v>694</v>
      </c>
      <c r="P52" s="1"/>
      <c r="Q52" s="1"/>
      <c r="S52" s="76" t="s">
        <v>246</v>
      </c>
      <c r="T52" s="77" t="str">
        <v>1720265939600</v>
      </c>
      <c r="U52" s="78"/>
      <c r="V52" s="78"/>
      <c r="AF52" s="12"/>
    </row>
    <row r="53" spans="15:32" x14ac:dyDescent="0.2">
      <c r="AF53" s="12"/>
    </row>
    <row r="54" spans="15:32" x14ac:dyDescent="0.2">
      <c r="AF54" s="12"/>
    </row>
    <row r="55" spans="15:32" x14ac:dyDescent="0.2">
      <c r="AF55" s="12"/>
    </row>
    <row r="56" spans="15:32" x14ac:dyDescent="0.2">
      <c r="AF56" s="12"/>
    </row>
    <row r="57" spans="15:32" x14ac:dyDescent="0.2">
      <c r="AF57" s="12"/>
    </row>
    <row r="58" spans="15:32" x14ac:dyDescent="0.2">
      <c r="AF58" s="12"/>
    </row>
    <row r="59" spans="15:32" x14ac:dyDescent="0.2">
      <c r="AF59" s="12"/>
    </row>
    <row r="60" spans="15:32" x14ac:dyDescent="0.2">
      <c r="AF60" s="12"/>
    </row>
    <row r="61" spans="15:32" x14ac:dyDescent="0.2">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sheetData>
  <sheetProtection algorithmName="SHA-512" hashValue="hp93TzSBPl2JY65xvVXnrvJMCPGJ/4Cn50D364V3oR+xb+e2FEg5OUxBkL/6dk/Ai16VTvQe3BtbBYRa7XTETg==" saltValue="Ypog2Tl8KZ3PwSReF//CPQ==" spinCount="100000" sheet="1" objects="1" scenarios="1" autoFilter="0"/>
  <autoFilter ref="L15:L35" xr:uid="{00000000-0001-0000-0400-000000000000}"/>
  <mergeCells count="25">
    <mergeCell ref="O51:Q51"/>
    <mergeCell ref="O15:R15"/>
    <mergeCell ref="Q38:X38"/>
    <mergeCell ref="O41:X43"/>
    <mergeCell ref="O45:X45"/>
    <mergeCell ref="O48:Q48"/>
    <mergeCell ref="O46:X46"/>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cfRule type="cellIs" dxfId="236" priority="43290" stopIfTrue="1" operator="notEqual">
      <formula>$N14</formula>
    </cfRule>
  </conditionalFormatting>
  <conditionalFormatting sqref="M16:M34">
    <cfRule type="cellIs" dxfId="235" priority="72" stopIfTrue="1" operator="notEqual">
      <formula>$N16</formula>
    </cfRule>
  </conditionalFormatting>
  <conditionalFormatting sqref="N14:O14 R16 R33:R34">
    <cfRule type="expression" dxfId="234" priority="43292" stopIfTrue="1">
      <formula>OR($C14=0,$C14=2,$C14=3,$C14=4)</formula>
    </cfRule>
  </conditionalFormatting>
  <conditionalFormatting sqref="N16:O34">
    <cfRule type="expression" dxfId="233" priority="74" stopIfTrue="1">
      <formula>OR($C16=0,$C16=2,$C16=3,$C16=4)</formula>
    </cfRule>
    <cfRule type="expression" dxfId="232" priority="73" stopIfTrue="1">
      <formula>$C16=1</formula>
    </cfRule>
  </conditionalFormatting>
  <conditionalFormatting sqref="O8:P8">
    <cfRule type="expression" dxfId="231" priority="43307" stopIfTrue="1">
      <formula>ISERROR(INDIRECT($F$9))</formula>
    </cfRule>
  </conditionalFormatting>
  <conditionalFormatting sqref="P14:Q14 S14:T14 Y14 AG14:AH14">
    <cfRule type="expression" dxfId="230" priority="43296" stopIfTrue="1">
      <formula>$C14=1</formula>
    </cfRule>
    <cfRule type="expression" dxfId="229" priority="43297" stopIfTrue="1">
      <formula>OR($C14=0,$C14=2,$C14=3,$C14=4)</formula>
    </cfRule>
  </conditionalFormatting>
  <conditionalFormatting sqref="P16:Q34 S16:T34 Y16:Y34 AG16:AH34">
    <cfRule type="expression" dxfId="228" priority="78" stopIfTrue="1">
      <formula>$C16=1</formula>
    </cfRule>
  </conditionalFormatting>
  <conditionalFormatting sqref="P16:Q34 Y16:Y34 AG16:AH34 S19:T19">
    <cfRule type="expression" dxfId="227" priority="79" stopIfTrue="1">
      <formula>OR($C16=0,$C16=2,$C16=3,$C16=4)</formula>
    </cfRule>
  </conditionalFormatting>
  <conditionalFormatting sqref="R14">
    <cfRule type="expression" dxfId="226" priority="4648" stopIfTrue="1">
      <formula>OR($C14=0,$C14=2,$C14=3,$C14=4)</formula>
    </cfRule>
    <cfRule type="expression" dxfId="225" priority="4647" stopIfTrue="1">
      <formula>$C14=1</formula>
    </cfRule>
    <cfRule type="beginsWith" dxfId="224" priority="4646" operator="beginsWith" text="(">
      <formula>LEFT(R14,LEN("("))="("</formula>
    </cfRule>
  </conditionalFormatting>
  <conditionalFormatting sqref="R16 R33:R34 N14:O14">
    <cfRule type="expression" dxfId="223" priority="43291" stopIfTrue="1">
      <formula>$C14=1</formula>
    </cfRule>
  </conditionalFormatting>
  <conditionalFormatting sqref="R16:R23">
    <cfRule type="beginsWith" dxfId="222" priority="67" operator="beginsWith" text="(">
      <formula>LEFT(R16,LEN("("))="("</formula>
    </cfRule>
  </conditionalFormatting>
  <conditionalFormatting sqref="R17">
    <cfRule type="expression" dxfId="221" priority="63" stopIfTrue="1">
      <formula>$C17=1</formula>
    </cfRule>
    <cfRule type="expression" dxfId="220" priority="64" stopIfTrue="1">
      <formula>OR($C17=0,$C17=2,$C17=3,$C17=4)</formula>
    </cfRule>
  </conditionalFormatting>
  <conditionalFormatting sqref="R18:R23">
    <cfRule type="expression" dxfId="219" priority="69" stopIfTrue="1">
      <formula>OR($C18=0,$C18=2,$C18=3,$C18=4)</formula>
    </cfRule>
    <cfRule type="expression" dxfId="218" priority="68" stopIfTrue="1">
      <formula>$C18=1</formula>
    </cfRule>
  </conditionalFormatting>
  <conditionalFormatting sqref="R24:R25">
    <cfRule type="expression" dxfId="217" priority="2" stopIfTrue="1">
      <formula>$C24=1</formula>
    </cfRule>
    <cfRule type="expression" dxfId="216" priority="3" stopIfTrue="1">
      <formula>OR($C24=0,$C24=2,$C24=3,$C24=4)</formula>
    </cfRule>
    <cfRule type="beginsWith" dxfId="215" priority="1" operator="beginsWith" text="(">
      <formula>LEFT(R24,LEN("("))="("</formula>
    </cfRule>
  </conditionalFormatting>
  <conditionalFormatting sqref="R26:R30">
    <cfRule type="expression" dxfId="214" priority="212" stopIfTrue="1">
      <formula>OR($C26=0,$C26=2,$C26=3,$C26=4)</formula>
    </cfRule>
    <cfRule type="expression" dxfId="213" priority="211" stopIfTrue="1">
      <formula>$C26=1</formula>
    </cfRule>
  </conditionalFormatting>
  <conditionalFormatting sqref="R26:R34">
    <cfRule type="beginsWith" dxfId="212" priority="50" operator="beginsWith" text="(">
      <formula>LEFT(R26,LEN("("))="("</formula>
    </cfRule>
  </conditionalFormatting>
  <conditionalFormatting sqref="R31:R32">
    <cfRule type="expression" dxfId="211" priority="21" stopIfTrue="1">
      <formula>$C31=1</formula>
    </cfRule>
    <cfRule type="expression" dxfId="210" priority="22" stopIfTrue="1">
      <formula>OR($C31=0,$C31=2,$C31=3,$C31=4)</formula>
    </cfRule>
  </conditionalFormatting>
  <conditionalFormatting sqref="S7:V8">
    <cfRule type="expression" dxfId="209" priority="43308" stopIfTrue="1">
      <formula>TIPOORCAMENTO="Proposto"</formula>
    </cfRule>
  </conditionalFormatting>
  <conditionalFormatting sqref="S16:V18">
    <cfRule type="expression" dxfId="208" priority="154" stopIfTrue="1">
      <formula>OR($C16=0,$C16=2,$C16=3,$C16=4)</formula>
    </cfRule>
  </conditionalFormatting>
  <conditionalFormatting sqref="S20:V34">
    <cfRule type="expression" dxfId="207" priority="115" stopIfTrue="1">
      <formula>OR($C20=0,$C20=2,$C20=3,$C20=4)</formula>
    </cfRule>
  </conditionalFormatting>
  <conditionalFormatting sqref="S9:X9">
    <cfRule type="expression" dxfId="206" priority="43255" stopIfTrue="1">
      <formula>TIPOORCAMENTO="Proposto"</formula>
    </cfRule>
  </conditionalFormatting>
  <conditionalFormatting sqref="U14:V14">
    <cfRule type="expression" dxfId="205" priority="43294" stopIfTrue="1">
      <formula>OR($C14=0,$C14=2,$C14=3,$C14=4)</formula>
    </cfRule>
    <cfRule type="expression" dxfId="204" priority="43295" stopIfTrue="1">
      <formula>AND(TIPOORCAMENTO="Licitado",$C14&lt;&gt;"L",$C14&lt;&gt;-1)</formula>
    </cfRule>
    <cfRule type="expression" dxfId="203" priority="43293" stopIfTrue="1">
      <formula>$C14=1</formula>
    </cfRule>
  </conditionalFormatting>
  <conditionalFormatting sqref="U16:V18">
    <cfRule type="expression" dxfId="202" priority="155" stopIfTrue="1">
      <formula>AND(TIPOORCAMENTO="Licitado",$C16&lt;&gt;"L",$C16&lt;&gt;-1)</formula>
    </cfRule>
  </conditionalFormatting>
  <conditionalFormatting sqref="U16:V34">
    <cfRule type="expression" dxfId="201" priority="75" stopIfTrue="1">
      <formula>$C16=1</formula>
    </cfRule>
  </conditionalFormatting>
  <conditionalFormatting sqref="U19:V19">
    <cfRule type="expression" dxfId="200" priority="77" stopIfTrue="1">
      <formula>AND(TIPOORCAMENTO="Licitado",$C19&lt;&gt;"L",$C19&lt;&gt;-1)</formula>
    </cfRule>
    <cfRule type="expression" dxfId="199" priority="76" stopIfTrue="1">
      <formula>OR($C19=0,$C19=2,$C19=3,$C19=4)</formula>
    </cfRule>
  </conditionalFormatting>
  <conditionalFormatting sqref="U20:V34">
    <cfRule type="expression" dxfId="198" priority="116" stopIfTrue="1">
      <formula>AND(TIPOORCAMENTO="Licitado",$C20&lt;&gt;"L",$C20&lt;&gt;-1)</formula>
    </cfRule>
  </conditionalFormatting>
  <conditionalFormatting sqref="W14:X14">
    <cfRule type="expression" dxfId="197" priority="28881" stopIfTrue="1">
      <formula>OR($C14=0,$C14=2,$C14=3,$C14=4)</formula>
    </cfRule>
    <cfRule type="expression" dxfId="196" priority="28880" stopIfTrue="1">
      <formula>$C14=1</formula>
    </cfRule>
  </conditionalFormatting>
  <conditionalFormatting sqref="W16:X34">
    <cfRule type="expression" dxfId="195" priority="4" stopIfTrue="1">
      <formula>$C16=1</formula>
    </cfRule>
    <cfRule type="expression" dxfId="194" priority="5" stopIfTrue="1">
      <formula>OR($C16=0,$C16=2,$C16=3,$C16=4)</formula>
    </cfRule>
  </conditionalFormatting>
  <conditionalFormatting sqref="AC11">
    <cfRule type="cellIs" dxfId="193" priority="19715" operator="equal">
      <formula>"OK"</formula>
    </cfRule>
  </conditionalFormatting>
  <conditionalFormatting sqref="AJ7:AJ35">
    <cfRule type="expression" dxfId="192" priority="43298" stopIfTrue="1">
      <formula>OR(ACOMPANHAMENTO&lt;&gt;"BM",TIPOORCAMENTO="Licitado")</formula>
    </cfRule>
    <cfRule type="expression" dxfId="191" priority="43299" stopIfTrue="1">
      <formula>$C7=1</formula>
    </cfRule>
    <cfRule type="expression" dxfId="190" priority="43300" stopIfTrue="1">
      <formula>OR(AND(ISNUMBER($C7),$C7=0),$C7=2,$C7=3,$C7=4)</formula>
    </cfRule>
  </conditionalFormatting>
  <conditionalFormatting sqref="AL7:AL35">
    <cfRule type="expression" dxfId="189" priority="43302" stopIfTrue="1">
      <formula>$C7=1</formula>
    </cfRule>
    <cfRule type="expression" dxfId="188" priority="43303" stopIfTrue="1">
      <formula>OR(AND(ISNUMBER($C7),$C7=0),$C7=2,$C7=3,$C7=4)</formula>
    </cfRule>
  </conditionalFormatting>
  <conditionalFormatting sqref="AL7:AN35">
    <cfRule type="expression" dxfId="187" priority="43301" stopIfTrue="1">
      <formula>TIPOORCAMENTO="PROPOSTO"</formula>
    </cfRule>
  </conditionalFormatting>
  <conditionalFormatting sqref="AM7:AN35">
    <cfRule type="expression" dxfId="186" priority="43305" stopIfTrue="1">
      <formula>$C7=1</formula>
    </cfRule>
    <cfRule type="expression" dxfId="185" priority="43306" stopIfTrue="1">
      <formula>OR(AND(ISNUMBER($C7),$C7=0),$C7=2,$C7=3,$C7=4)</formula>
    </cfRule>
  </conditionalFormatting>
  <dataValidations xWindow="223" yWindow="597" count="8">
    <dataValidation type="decimal" operator="greaterThan" allowBlank="1" showErrorMessage="1" error="Apenas números decimais maiores que zero." sqref="U14 AL14 AJ14 AJ16:AJ34 AL16:AL34 U16:U3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34"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34" xr:uid="{00000000-0002-0000-0400-000006000000}"/>
    <dataValidation type="list" errorStyle="information" allowBlank="1" showInputMessage="1" prompt="Selecione uma sigla de unidade na lista suspensa." sqref="S14 S16:S34"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4"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34"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34"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34"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7"/>
  <sheetViews>
    <sheetView showGridLines="0" topLeftCell="A2" zoomScale="85" zoomScaleNormal="85" workbookViewId="0"/>
  </sheetViews>
  <sheetFormatPr defaultRowHeight="12.75" x14ac:dyDescent="0.2"/>
  <cols>
    <col min="1" max="1" width="3.5703125" style="505"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5" t="str">
        <f t="shared" ref="A1" si="0">IF(D1="","","F")</f>
        <v/>
      </c>
      <c r="B1" t="e">
        <f ca="1">IF(OR(C1=" ",D1=""),"",CONCATENATE(C1,". ",D1))</f>
        <v>#REF!</v>
      </c>
      <c r="C1" s="181" t="e" cm="1">
        <f t="array" aca="1" ref="C1" ca="1">IF(OR(ROW(C1)=ROW(EVENTOS.firstrow)+1,AND(OFFSET(C1,-1,0)&lt;&gt;" ",OFFSET(C1,-1,1)&lt;&gt;"")),OFFSET(C1,-1,0)+1," ")</f>
        <v>#REF!</v>
      </c>
      <c r="D1" s="495"/>
      <c r="E1" s="619" cm="1">
        <f t="array" aca="1" ref="E1" ca="1">IF(AUTOEVENTO="Manual",ROUND(SUMPRODUCT((CÁLCULO!$M$15:$M$35=EVENTOS!$C1)*(OFFSET(CÁLCULO!$AI$15:$AI$35,0,E$13))),2),0)</f>
        <v>0</v>
      </c>
      <c r="F1" s="182">
        <f ca="1">IF(AUTOEVENTO="Manual",ROUND(SUMPRODUCT((CÁLCULO!$M$15:$M$35=EVENTOS!$C1)*(OFFSET(CÁLCULO!$AI$15,0,1):OFFSET(CÁLCULO!$BB$35,0,-1))),2),0)</f>
        <v>0</v>
      </c>
      <c r="G1" s="620" t="str">
        <f ca="1">IF(AND(D1=0,F1&gt;0),"NOME",
 IF(AND(D1&lt;&gt;0,$F$14&gt;0,F1=0),"VALOR",
 IF(AND(Import.TipoArredondamento="TransfereGOV",$A1="F",LEN(D1)&gt;100),"Nome &gt;100","")))</f>
        <v/>
      </c>
      <c r="H1" s="619" cm="1">
        <f t="array" aca="1" ref="H1" ca="1">IF(AUTOEVENTO="Manual",ROUND(SUMPRODUCT((CÁLCULO!$M$15:$M$35=EVENTOS!$C1)*(OFFSET(CÁLCULO!$AI$15:$AI$35,0,H$13))),2),0)</f>
        <v>0</v>
      </c>
      <c r="I1" s="619" cm="1">
        <f t="array" aca="1" ref="I1" ca="1">IF(AUTOEVENTO="Manual",ROUND(SUMPRODUCT((CÁLCULO!$M$15:$M$35=EVENTOS!$C1)*(OFFSET(CÁLCULO!$AI$15:$AI$35,0,I$13))),2),0)</f>
        <v>0</v>
      </c>
      <c r="J1" s="619" cm="1">
        <f t="array" aca="1" ref="J1" ca="1">IF(AUTOEVENTO="Manual",ROUND(SUMPRODUCT((CÁLCULO!$M$15:$M$35=EVENTOS!$C1)*(OFFSET(CÁLCULO!$AI$15:$AI$35,0,J$13))),2),0)</f>
        <v>0</v>
      </c>
      <c r="K1" s="619" cm="1">
        <f t="array" aca="1" ref="K1" ca="1">IF(AUTOEVENTO="Manual",ROUND(SUMPRODUCT((CÁLCULO!$M$15:$M$35=EVENTOS!$C1)*(OFFSET(CÁLCULO!$AI$15:$AI$35,0,K$13))),2),0)</f>
        <v>0</v>
      </c>
      <c r="L1" s="619" cm="1">
        <f t="array" aca="1" ref="L1" ca="1">IF(AUTOEVENTO="Manual",ROUND(SUMPRODUCT((CÁLCULO!$M$15:$M$35=EVENTOS!$C1)*(OFFSET(CÁLCULO!$AI$15:$AI$35,0,L$13))),2),0)</f>
        <v>0</v>
      </c>
      <c r="M1" s="619" cm="1">
        <f t="array" aca="1" ref="M1" ca="1">IF(AUTOEVENTO="Manual",ROUND(SUMPRODUCT((CÁLCULO!$M$15:$M$35=EVENTOS!$C1)*(OFFSET(CÁLCULO!$AI$15:$AI$35,0,M$13))),2),0)</f>
        <v>0</v>
      </c>
      <c r="N1" s="619" cm="1">
        <f t="array" aca="1" ref="N1" ca="1">IF(AUTOEVENTO="Manual",ROUND(SUMPRODUCT((CÁLCULO!$M$15:$M$35=EVENTOS!$C1)*(OFFSET(CÁLCULO!$AI$15:$AI$35,0,N$13))),2),0)</f>
        <v>0</v>
      </c>
      <c r="O1" s="619" cm="1">
        <f t="array" aca="1" ref="O1" ca="1">IF(AUTOEVENTO="Manual",ROUND(SUMPRODUCT((CÁLCULO!$M$15:$M$35=EVENTOS!$C1)*(OFFSET(CÁLCULO!$AI$15:$AI$35,0,O$13))),2),0)</f>
        <v>0</v>
      </c>
      <c r="P1" s="619" cm="1">
        <f t="array" aca="1" ref="P1" ca="1">IF(AUTOEVENTO="Manual",ROUND(SUMPRODUCT((CÁLCULO!$M$15:$M$35=EVENTOS!$C1)*(OFFSET(CÁLCULO!$AI$15:$AI$35,0,P$13))),2),0)</f>
        <v>0</v>
      </c>
      <c r="Q1" s="619" cm="1">
        <f t="array" aca="1" ref="Q1" ca="1">IF(AUTOEVENTO="Manual",ROUND(SUMPRODUCT((CÁLCULO!$M$15:$M$35=EVENTOS!$C1)*(OFFSET(CÁLCULO!$AI$15:$AI$35,0,Q$13))),2),0)</f>
        <v>0</v>
      </c>
      <c r="R1" s="619" cm="1">
        <f t="array" aca="1" ref="R1" ca="1">IF(AUTOEVENTO="Manual",ROUND(SUMPRODUCT((CÁLCULO!$M$15:$M$35=EVENTOS!$C1)*(OFFSET(CÁLCULO!$AI$15:$AI$35,0,R$13))),2),0)</f>
        <v>0</v>
      </c>
      <c r="S1" s="619" cm="1">
        <f t="array" aca="1" ref="S1" ca="1">IF(AUTOEVENTO="Manual",ROUND(SUMPRODUCT((CÁLCULO!$M$15:$M$35=EVENTOS!$C1)*(OFFSET(CÁLCULO!$AI$15:$AI$35,0,S$13))),2),0)</f>
        <v>0</v>
      </c>
      <c r="T1" s="619" cm="1">
        <f t="array" aca="1" ref="T1" ca="1">IF(AUTOEVENTO="Manual",ROUND(SUMPRODUCT((CÁLCULO!$M$15:$M$35=EVENTOS!$C1)*(OFFSET(CÁLCULO!$AI$15:$AI$35,0,T$13))),2),0)</f>
        <v>0</v>
      </c>
      <c r="U1" s="619" cm="1">
        <f t="array" aca="1" ref="U1" ca="1">IF(AUTOEVENTO="Manual",ROUND(SUMPRODUCT((CÁLCULO!$M$15:$M$35=EVENTOS!$C1)*(OFFSET(CÁLCULO!$AI$15:$AI$35,0,U$13))),2),0)</f>
        <v>0</v>
      </c>
      <c r="V1" s="619" cm="1">
        <f t="array" aca="1" ref="V1" ca="1">IF(AUTOEVENTO="Manual",ROUND(SUMPRODUCT((CÁLCULO!$M$15:$M$35=EVENTOS!$C1)*(OFFSET(CÁLCULO!$AI$15:$AI$35,0,V$13))),2),0)</f>
        <v>0</v>
      </c>
      <c r="W1" s="619" cm="1">
        <f t="array" aca="1" ref="W1" ca="1">IF(AUTOEVENTO="Manual",ROUND(SUMPRODUCT((CÁLCULO!$M$15:$M$35=EVENTOS!$C1)*(OFFSET(CÁLCULO!$AI$15:$AI$35,0,W$13))),2),0)</f>
        <v>0</v>
      </c>
      <c r="X1" s="619" cm="1">
        <f t="array" aca="1" ref="X1" ca="1">IF(AUTOEVENTO="Manual",ROUND(SUMPRODUCT((CÁLCULO!$M$15:$M$35=EVENTOS!$C1)*(OFFSET(CÁLCULO!$AI$15:$AI$35,0,X$13))),2),0)</f>
        <v>0</v>
      </c>
      <c r="Y1" s="619" cm="1">
        <f t="array" aca="1" ref="Y1" ca="1">IF(AUTOEVENTO="Manual",ROUND(SUMPRODUCT((CÁLCULO!$M$15:$M$35=EVENTOS!$C1)*(OFFSET(CÁLCULO!$AI$15:$AI$35,0,Y$13))),2),0)</f>
        <v>0</v>
      </c>
    </row>
    <row r="2" spans="1:26" ht="30" customHeight="1" x14ac:dyDescent="0.2">
      <c r="F2" s="81" t="s">
        <v>756</v>
      </c>
      <c r="O2" s="621" t="s">
        <v>757</v>
      </c>
      <c r="Y2" s="621" t="s">
        <v>757</v>
      </c>
    </row>
    <row r="4" spans="1:26" ht="12.75" customHeight="1" x14ac:dyDescent="0.2">
      <c r="C4" s="54" t="s">
        <v>652</v>
      </c>
      <c r="D4" s="95"/>
      <c r="E4" s="76"/>
      <c r="F4" s="207" t="s">
        <v>758</v>
      </c>
      <c r="G4" s="76"/>
      <c r="H4" s="483"/>
      <c r="I4" s="483"/>
      <c r="J4" s="483"/>
      <c r="K4" s="483"/>
      <c r="L4" s="483"/>
      <c r="N4" s="54" t="s">
        <v>650</v>
      </c>
      <c r="O4" s="503" t="s">
        <v>707</v>
      </c>
      <c r="P4" s="207" t="s">
        <v>758</v>
      </c>
      <c r="Q4" s="76"/>
      <c r="R4" s="483"/>
      <c r="S4" s="483"/>
      <c r="T4" s="483"/>
      <c r="U4" s="483"/>
      <c r="V4" s="483"/>
      <c r="X4" s="54" t="s">
        <v>650</v>
      </c>
      <c r="Y4" s="503" t="s">
        <v>707</v>
      </c>
    </row>
    <row r="5" spans="1:26" ht="12.75" customHeight="1" x14ac:dyDescent="0.2">
      <c r="C5" s="504" t="str">
        <f>Import.Proponente</f>
        <v>PREFEITURA MUNICIPAL DE MARIALVA</v>
      </c>
      <c r="D5" s="502"/>
      <c r="E5" s="502"/>
      <c r="F5" s="725" t="str">
        <f>Import.Apelido</f>
        <v>RECAPEAMENTO ASFÁLTICO</v>
      </c>
      <c r="G5" s="726"/>
      <c r="H5" s="726"/>
      <c r="I5" s="726"/>
      <c r="J5" s="726"/>
      <c r="K5" s="726"/>
      <c r="L5" s="726"/>
      <c r="M5" s="727"/>
      <c r="N5" s="55" t="str">
        <f>Import.CR</f>
        <v>1091265-71</v>
      </c>
      <c r="O5" s="55" t="str">
        <f>Import.SICONV</f>
        <v>060795/2023</v>
      </c>
      <c r="P5" s="725" t="str">
        <f>Import.Apelido</f>
        <v>RECAPEAMENTO ASFÁLTICO</v>
      </c>
      <c r="Q5" s="726"/>
      <c r="R5" s="726"/>
      <c r="S5" s="726"/>
      <c r="T5" s="726"/>
      <c r="U5" s="726"/>
      <c r="V5" s="726"/>
      <c r="W5" s="727"/>
      <c r="X5" s="55" t="str">
        <f>Import.CR</f>
        <v>1091265-71</v>
      </c>
      <c r="Y5" s="55" t="str">
        <f>Import.SICONV</f>
        <v>060795/2023</v>
      </c>
      <c r="Z5" t="s">
        <v>752</v>
      </c>
    </row>
    <row r="6" spans="1:26" ht="24.95" customHeight="1" x14ac:dyDescent="0.25">
      <c r="B6" t="s">
        <v>937</v>
      </c>
      <c r="C6" t="s">
        <v>759</v>
      </c>
      <c r="F6" s="520" t="str">
        <f>IF(AUTOEVENTO="MANUAL",
  IF(COUNTIF($G$15:$G$20,"NOME")&gt;0,"Falta preencher o nome do Título do Evento nº "&amp;INDEX($C$15:$C$20,MATCH("NOME",$G$15:$G$20,0)),
  IF(COUNTIF($G$15:$G$20,"VALOR")&gt;0,"Falta atribuir serviços ao Evento nº "&amp;INDEX($C$15:$C$20,MATCH("VALOR",$G$15:$G$20,0))&amp;". Corrigir a atribuição dos eventos na aba CÁLCULO. Ou excluir linhas dos eventos não utilizados.",
  IF(ROUND($F$14,2)&lt;&gt;ROUND(ORÇAMENTO!$X$15,2),"O valor total dos Eventos é diferente do valor total do Orçamento. Corrigir a atribuição dos eventos na aba CÁLCULO",
  IF(COUNTIF($G$15:$G$20,"Nome &gt;100")&gt;0,"O tamanho do Título do Evento no TransfereGOV é limitado a 100 caracteres. Resuma o nome do Título do Evento nº "&amp;INDEX($C$15:$C$20,MATCH("Nome &gt;100",$G$15:$G$20,0)),"")))),"")</f>
        <v/>
      </c>
    </row>
    <row r="7" spans="1:26" ht="3.95" customHeight="1" thickBot="1" x14ac:dyDescent="0.25">
      <c r="B7" t="s">
        <v>940</v>
      </c>
    </row>
    <row r="8" spans="1:26" ht="16.5" thickBot="1" x14ac:dyDescent="0.3">
      <c r="B8" t="s">
        <v>941</v>
      </c>
      <c r="C8" s="732" t="s">
        <v>937</v>
      </c>
      <c r="D8" s="733"/>
      <c r="F8" s="520"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5">
        <f ca="1">COUNTIF($C$15:$C$20,"&gt;0")-1</f>
        <v>0</v>
      </c>
      <c r="D10" t="s">
        <v>752</v>
      </c>
      <c r="E10" s="728" t="str">
        <f ca="1">OFFSET(CÁLCULO!$P$12,0,EVENTOS!E$13)</f>
        <v>Rua João M. Tosta Sobrinho Trecho 1</v>
      </c>
      <c r="F10" t="s">
        <v>752</v>
      </c>
      <c r="G10" s="729"/>
      <c r="H10" s="728" t="str">
        <f ca="1">OFFSET(CÁLCULO!$P$12,0,EVENTOS!H$13)</f>
        <v>Rua João M. Tosta Sobrinho Trecho 1</v>
      </c>
      <c r="I10" s="728" t="str">
        <f ca="1">OFFSET(CÁLCULO!$P$12,0,EVENTOS!I$13)</f>
        <v>Rua João M. Tosta Sobrinho Trecho 2</v>
      </c>
      <c r="J10" s="728" t="str">
        <f ca="1">OFFSET(CÁLCULO!$P$12,0,EVENTOS!J$13)</f>
        <v>Av Eneas Modesto de Oliveira</v>
      </c>
      <c r="K10" s="729" t="str">
        <f ca="1">OFFSET(CÁLCULO!$P$12,0,EVENTOS!K$13)</f>
        <v>Travessa Castelo Branco</v>
      </c>
      <c r="L10" s="729" t="str">
        <f ca="1">OFFSET(CÁLCULO!$P$12,0,EVENTOS!L$13)</f>
        <v>Travessa Salto Osório</v>
      </c>
      <c r="M10" s="729" t="str">
        <f ca="1">OFFSET(CÁLCULO!$P$12,0,EVENTOS!M$13)</f>
        <v>Rua José Cividanes</v>
      </c>
      <c r="N10" s="729" t="str">
        <f ca="1">OFFSET(CÁLCULO!$P$12,0,EVENTOS!N$13)</f>
        <v>Rua Prosperina Guimarães da Silva</v>
      </c>
      <c r="O10" s="729" t="str">
        <f ca="1">OFFSET(CÁLCULO!$P$12,0,EVENTOS!O$13)</f>
        <v>Av Padre Theo Hermann</v>
      </c>
      <c r="P10" s="729" t="str">
        <f ca="1">OFFSET(CÁLCULO!$P$12,0,EVENTOS!P$13)</f>
        <v>Rua Dionisio Hernandes</v>
      </c>
      <c r="Q10" s="729" t="str">
        <f ca="1">OFFSET(CÁLCULO!$P$12,0,EVENTOS!Q$13)</f>
        <v>Rua Luiz Pierini</v>
      </c>
      <c r="R10" s="729" t="str">
        <f ca="1">OFFSET(CÁLCULO!$P$12,0,EVENTOS!R$13)</f>
        <v>Rua Joinville</v>
      </c>
      <c r="S10" s="729" t="str">
        <f ca="1">OFFSET(CÁLCULO!$P$12,0,EVENTOS!S$13)</f>
        <v>Rua Kei Hamada</v>
      </c>
      <c r="T10" s="729" t="str">
        <f ca="1">OFFSET(CÁLCULO!$P$12,0,EVENTOS!T$13)</f>
        <v>Rua João Morais da Silva</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6"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4"/>
      <c r="E11" s="728"/>
      <c r="F11" s="496"/>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7"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7"/>
      <c r="C13" s="497" t="s">
        <v>760</v>
      </c>
      <c r="D13" s="622" t="s">
        <v>761</v>
      </c>
      <c r="E13" s="623">
        <f ca="1">IF(NOT(ISNUMBER(OFFSET(E13,0,-1))),1,IF(OR(OFFSET(E13,0,-1)=0,OFFSET(E13,0,-1)+1&gt;CÁLCULO.FrentesPreenchidas),0,OFFSET(E13,0,-1)+1))</f>
        <v>1</v>
      </c>
      <c r="F13" s="544" t="s">
        <v>762</v>
      </c>
      <c r="G13" s="494"/>
      <c r="H13" s="623">
        <f t="shared" ref="H13:Y13" ca="1" si="1">IF(NOT(ISNUMBER(OFFSET(H13,0,-1))),1,IF(OR(OFFSET(H13,0,-1)=0,OFFSET(H13,0,-1)+1&gt;CÁLCULO.FrentesPreenchidas),0,OFFSET(H13,0,-1)+1))</f>
        <v>1</v>
      </c>
      <c r="I13" s="623">
        <f t="shared" ca="1" si="1"/>
        <v>2</v>
      </c>
      <c r="J13" s="623">
        <f t="shared" ca="1" si="1"/>
        <v>3</v>
      </c>
      <c r="K13" s="623">
        <f t="shared" ca="1" si="1"/>
        <v>4</v>
      </c>
      <c r="L13" s="623">
        <f t="shared" ca="1" si="1"/>
        <v>5</v>
      </c>
      <c r="M13" s="623">
        <f t="shared" ca="1" si="1"/>
        <v>6</v>
      </c>
      <c r="N13" s="623">
        <f t="shared" ca="1" si="1"/>
        <v>7</v>
      </c>
      <c r="O13" s="623">
        <f t="shared" ca="1" si="1"/>
        <v>8</v>
      </c>
      <c r="P13" s="623">
        <f t="shared" ca="1" si="1"/>
        <v>9</v>
      </c>
      <c r="Q13" s="623">
        <f t="shared" ca="1" si="1"/>
        <v>10</v>
      </c>
      <c r="R13" s="623">
        <f t="shared" ca="1" si="1"/>
        <v>11</v>
      </c>
      <c r="S13" s="623">
        <f t="shared" ca="1" si="1"/>
        <v>12</v>
      </c>
      <c r="T13" s="623">
        <f t="shared" ca="1" si="1"/>
        <v>13</v>
      </c>
      <c r="U13" s="623">
        <f t="shared" ca="1" si="1"/>
        <v>0</v>
      </c>
      <c r="V13" s="623">
        <f t="shared" ca="1" si="1"/>
        <v>0</v>
      </c>
      <c r="W13" s="623">
        <f t="shared" ca="1" si="1"/>
        <v>0</v>
      </c>
      <c r="X13" s="623">
        <f t="shared" ca="1" si="1"/>
        <v>0</v>
      </c>
      <c r="Y13" s="623">
        <f t="shared" ca="1" si="1"/>
        <v>0</v>
      </c>
    </row>
    <row r="14" spans="1:26" ht="15" customHeight="1" x14ac:dyDescent="0.2">
      <c r="A14" s="505" t="s">
        <v>536</v>
      </c>
      <c r="C14" s="540"/>
      <c r="D14" s="541" t="s">
        <v>763</v>
      </c>
      <c r="E14" s="624">
        <f ca="1">SUM(E$15:E$20)</f>
        <v>0</v>
      </c>
      <c r="F14" s="542">
        <f ca="1">SUM(F$15:F$20)</f>
        <v>0</v>
      </c>
      <c r="H14" s="624">
        <f t="shared" ref="H14:Y14" ca="1" si="2">SUM(H$15:H$20)</f>
        <v>0</v>
      </c>
      <c r="I14" s="624">
        <f t="shared" ca="1" si="2"/>
        <v>0</v>
      </c>
      <c r="J14" s="624">
        <f t="shared" ca="1" si="2"/>
        <v>0</v>
      </c>
      <c r="K14" s="624">
        <f t="shared" ca="1" si="2"/>
        <v>0</v>
      </c>
      <c r="L14" s="624">
        <f t="shared" ca="1" si="2"/>
        <v>0</v>
      </c>
      <c r="M14" s="624">
        <f t="shared" ca="1" si="2"/>
        <v>0</v>
      </c>
      <c r="N14" s="624">
        <f t="shared" ca="1" si="2"/>
        <v>0</v>
      </c>
      <c r="O14" s="624">
        <f t="shared" ca="1" si="2"/>
        <v>0</v>
      </c>
      <c r="P14" s="624">
        <f t="shared" ca="1" si="2"/>
        <v>0</v>
      </c>
      <c r="Q14" s="624">
        <f t="shared" ca="1" si="2"/>
        <v>0</v>
      </c>
      <c r="R14" s="624">
        <f t="shared" ca="1" si="2"/>
        <v>0</v>
      </c>
      <c r="S14" s="624">
        <f t="shared" ca="1" si="2"/>
        <v>0</v>
      </c>
      <c r="T14" s="624">
        <f t="shared" ca="1" si="2"/>
        <v>0</v>
      </c>
      <c r="U14" s="624">
        <f t="shared" ca="1" si="2"/>
        <v>0</v>
      </c>
      <c r="V14" s="624">
        <f t="shared" ca="1" si="2"/>
        <v>0</v>
      </c>
      <c r="W14" s="624">
        <f t="shared" ca="1" si="2"/>
        <v>0</v>
      </c>
      <c r="X14" s="624">
        <f t="shared" ca="1" si="2"/>
        <v>0</v>
      </c>
      <c r="Y14" s="624">
        <f t="shared" ca="1" si="2"/>
        <v>0</v>
      </c>
    </row>
    <row r="15" spans="1:26" x14ac:dyDescent="0.2">
      <c r="A15" s="505" t="str">
        <f t="shared" ref="A15:A19" si="3">IF(D15="","","F")</f>
        <v/>
      </c>
      <c r="B15" t="str">
        <f>IF(OR(C15=" ",D15=""),"",CONCATENATE(C15,". ",D15))</f>
        <v/>
      </c>
      <c r="C15" s="545" cm="1">
        <f t="array" ref="C15">IF(AdmLocal="Automática",1,0)</f>
        <v>0</v>
      </c>
      <c r="D15" s="625" t="str">
        <f>IF(C15=1,"Administração Local","")</f>
        <v/>
      </c>
      <c r="E15" s="626">
        <f ca="1">IF($F$15=0,0,IF(E13=1,$F$15-SUM($I$15:$Z$15),ROUND(SUM(OFFSET(E15,1,0):OFFSET(E$20,-1,0))/SUM(OFFSET($F15,1,0):OFFSET($F$20,-1,0))*$F$15,2)))</f>
        <v>0</v>
      </c>
      <c r="F15" s="546" cm="1">
        <f t="array" ref="F15">IF($C$15=0,0,ROUND(SUMPRODUCT((CÁLCULO!$M$15:$M$35=EVENTOS!$C15)*(ORÇAMENTO!$X$15:'ORÇAMENTO'!$X$35)),2))</f>
        <v>0</v>
      </c>
      <c r="G15" s="627"/>
      <c r="H15" s="626">
        <f ca="1">IF($F$15=0,0,IF(H13=1,$F$15-SUM($I$15:$Z$15),ROUND(SUM(OFFSET(H15,1,0):OFFSET(H$20,-1,0))/SUM(OFFSET($F15,1,0):OFFSET($F$20,-1,0))*$F$15,2)))</f>
        <v>0</v>
      </c>
      <c r="I15" s="626">
        <f ca="1">IF($F$15=0,0,IF(I13=1,$F$15-SUM($I$15:$Z$15),ROUND(SUM(OFFSET(I15,1,0):OFFSET(I$20,-1,0))/SUM(OFFSET($F15,1,0):OFFSET($F$20,-1,0))*$F$15,2)))</f>
        <v>0</v>
      </c>
      <c r="J15" s="626">
        <f ca="1">IF($F$15=0,0,IF(J13=1,$F$15-SUM($I$15:$Z$15),ROUND(SUM(OFFSET(J15,1,0):OFFSET(J$20,-1,0))/SUM(OFFSET($F15,1,0):OFFSET($F$20,-1,0))*$F$15,2)))</f>
        <v>0</v>
      </c>
      <c r="K15" s="626">
        <f ca="1">IF($F$15=0,0,IF(K13=1,$F$15-SUM($I$15:$Z$15),ROUND(SUM(OFFSET(K15,1,0):OFFSET(K$20,-1,0))/SUM(OFFSET($F15,1,0):OFFSET($F$20,-1,0))*$F$15,2)))</f>
        <v>0</v>
      </c>
      <c r="L15" s="626">
        <f ca="1">IF($F$15=0,0,IF(L13=1,$F$15-SUM($I$15:$Z$15),ROUND(SUM(OFFSET(L15,1,0):OFFSET(L$20,-1,0))/SUM(OFFSET($F15,1,0):OFFSET($F$20,-1,0))*$F$15,2)))</f>
        <v>0</v>
      </c>
      <c r="M15" s="626">
        <f ca="1">IF($F$15=0,0,IF(M13=1,$F$15-SUM($I$15:$Z$15),ROUND(SUM(OFFSET(M15,1,0):OFFSET(M$20,-1,0))/SUM(OFFSET($F15,1,0):OFFSET($F$20,-1,0))*$F$15,2)))</f>
        <v>0</v>
      </c>
      <c r="N15" s="626">
        <f ca="1">IF($F$15=0,0,IF(N13=1,$F$15-SUM($I$15:$Z$15),ROUND(SUM(OFFSET(N15,1,0):OFFSET(N$20,-1,0))/SUM(OFFSET($F15,1,0):OFFSET($F$20,-1,0))*$F$15,2)))</f>
        <v>0</v>
      </c>
      <c r="O15" s="626">
        <f ca="1">IF($F$15=0,0,IF(O13=1,$F$15-SUM($I$15:$Z$15),ROUND(SUM(OFFSET(O15,1,0):OFFSET(O$20,-1,0))/SUM(OFFSET($F15,1,0):OFFSET($F$20,-1,0))*$F$15,2)))</f>
        <v>0</v>
      </c>
      <c r="P15" s="626">
        <f ca="1">IF($F$15=0,0,IF(P13=1,$F$15-SUM($I$15:$Z$15),ROUND(SUM(OFFSET(P15,1,0):OFFSET(P$20,-1,0))/SUM(OFFSET($F15,1,0):OFFSET($F$20,-1,0))*$F$15,2)))</f>
        <v>0</v>
      </c>
      <c r="Q15" s="626">
        <f ca="1">IF($F$15=0,0,IF(Q13=1,$F$15-SUM($I$15:$Z$15),ROUND(SUM(OFFSET(Q15,1,0):OFFSET(Q$20,-1,0))/SUM(OFFSET($F15,1,0):OFFSET($F$20,-1,0))*$F$15,2)))</f>
        <v>0</v>
      </c>
      <c r="R15" s="626">
        <f ca="1">IF($F$15=0,0,IF(R13=1,$F$15-SUM($I$15:$Z$15),ROUND(SUM(OFFSET(R15,1,0):OFFSET(R$20,-1,0))/SUM(OFFSET($F15,1,0):OFFSET($F$20,-1,0))*$F$15,2)))</f>
        <v>0</v>
      </c>
      <c r="S15" s="626">
        <f ca="1">IF($F$15=0,0,IF(S13=1,$F$15-SUM($I$15:$Z$15),ROUND(SUM(OFFSET(S15,1,0):OFFSET(S$20,-1,0))/SUM(OFFSET($F15,1,0):OFFSET($F$20,-1,0))*$F$15,2)))</f>
        <v>0</v>
      </c>
      <c r="T15" s="626">
        <f ca="1">IF($F$15=0,0,IF(T13=1,$F$15-SUM($I$15:$Z$15),ROUND(SUM(OFFSET(T15,1,0):OFFSET(T$20,-1,0))/SUM(OFFSET($F15,1,0):OFFSET($F$20,-1,0))*$F$15,2)))</f>
        <v>0</v>
      </c>
      <c r="U15" s="626">
        <f ca="1">IF($F$15=0,0,IF(U13=1,$F$15-SUM($I$15:$Z$15),ROUND(SUM(OFFSET(U15,1,0):OFFSET(U$20,-1,0))/SUM(OFFSET($F15,1,0):OFFSET($F$20,-1,0))*$F$15,2)))</f>
        <v>0</v>
      </c>
      <c r="V15" s="626">
        <f ca="1">IF($F$15=0,0,IF(V13=1,$F$15-SUM($I$15:$Z$15),ROUND(SUM(OFFSET(V15,1,0):OFFSET(V$20,-1,0))/SUM(OFFSET($F15,1,0):OFFSET($F$20,-1,0))*$F$15,2)))</f>
        <v>0</v>
      </c>
      <c r="W15" s="626">
        <f ca="1">IF($F$15=0,0,IF(W13=1,$F$15-SUM($I$15:$Z$15),ROUND(SUM(OFFSET(W15,1,0):OFFSET(W$20,-1,0))/SUM(OFFSET($F15,1,0):OFFSET($F$20,-1,0))*$F$15,2)))</f>
        <v>0</v>
      </c>
      <c r="X15" s="626">
        <f ca="1">IF($F$15=0,0,IF(X13=1,$F$15-SUM($I$15:$Z$15),ROUND(SUM(OFFSET(X15,1,0):OFFSET(X$20,-1,0))/SUM(OFFSET($F15,1,0):OFFSET($F$20,-1,0))*$F$15,2)))</f>
        <v>0</v>
      </c>
      <c r="Y15" s="626">
        <f ca="1">IF($F$15=0,0,IF(Y13=1,$F$15-SUM($I$15:$Z$15),ROUND(SUM(OFFSET(Y15,1,0):OFFSET(Y$20,-1,0))/SUM(OFFSET($F15,1,0):OFFSET($F$20,-1,0))*$F$15,2)))</f>
        <v>0</v>
      </c>
    </row>
    <row r="16" spans="1:26" x14ac:dyDescent="0.2">
      <c r="A16" s="505" t="str">
        <f t="shared" si="3"/>
        <v/>
      </c>
      <c r="B16" t="str">
        <f t="shared" ref="B16:B19" ca="1" si="4">IF(OR(C16=" ",D16=""),"",CONCATENATE(C16,". ",D16))</f>
        <v/>
      </c>
      <c r="C16" s="181" cm="1">
        <f t="array" aca="1" ref="C16" ca="1">IF(OR(ROW(C16)=ROW(EVENTOS.firstrow)+1,AND(OFFSET(C16,-1,0)&lt;&gt;" ",OFFSET(C16,-1,1)&lt;&gt;"")),OFFSET(C16,-1,0)+1," ")</f>
        <v>1</v>
      </c>
      <c r="D16" s="495"/>
      <c r="E16" s="619" cm="1">
        <f t="array" aca="1" ref="E16" ca="1">IF(AUTOEVENTO="Manual",ROUND(SUMPRODUCT((CÁLCULO!$M$15:$M$35=EVENTOS!$C16)*(OFFSET(CÁLCULO!$AI$15:$AI$35,0,E$13))),2),0)</f>
        <v>0</v>
      </c>
      <c r="F16" s="182">
        <f ca="1">IF(AUTOEVENTO="Manual",ROUND(SUMPRODUCT((CÁLCULO!$M$15:$M$35=EVENTOS!$C16)*(OFFSET(CÁLCULO!$AI$15,0,1):OFFSET(CÁLCULO!$BB$35,0,-1))),2),0)</f>
        <v>0</v>
      </c>
      <c r="G16" s="620" t="str">
        <f t="shared" ref="G16:G19" ca="1" si="5">IF(AND(D16=0,F16&gt;0),"NOME",
 IF(AND(D16&lt;&gt;0,$F$14&gt;0,F16=0),"VALOR",
 IF(AND(Import.TipoArredondamento="TransfereGOV",$A16="F",LEN(D16)&gt;100),"Nome &gt;100","")))</f>
        <v/>
      </c>
      <c r="H16" s="619" cm="1">
        <f t="array" aca="1" ref="H16" ca="1">IF(AUTOEVENTO="Manual",ROUND(SUMPRODUCT((CÁLCULO!$M$15:$M$35=EVENTOS!$C16)*(OFFSET(CÁLCULO!$AI$15:$AI$35,0,H$13))),2),0)</f>
        <v>0</v>
      </c>
      <c r="I16" s="619" cm="1">
        <f t="array" aca="1" ref="I16" ca="1">IF(AUTOEVENTO="Manual",ROUND(SUMPRODUCT((CÁLCULO!$M$15:$M$35=EVENTOS!$C16)*(OFFSET(CÁLCULO!$AI$15:$AI$35,0,I$13))),2),0)</f>
        <v>0</v>
      </c>
      <c r="J16" s="619" cm="1">
        <f t="array" aca="1" ref="J16" ca="1">IF(AUTOEVENTO="Manual",ROUND(SUMPRODUCT((CÁLCULO!$M$15:$M$35=EVENTOS!$C16)*(OFFSET(CÁLCULO!$AI$15:$AI$35,0,J$13))),2),0)</f>
        <v>0</v>
      </c>
      <c r="K16" s="619" cm="1">
        <f t="array" aca="1" ref="K16" ca="1">IF(AUTOEVENTO="Manual",ROUND(SUMPRODUCT((CÁLCULO!$M$15:$M$35=EVENTOS!$C16)*(OFFSET(CÁLCULO!$AI$15:$AI$35,0,K$13))),2),0)</f>
        <v>0</v>
      </c>
      <c r="L16" s="619" cm="1">
        <f t="array" aca="1" ref="L16" ca="1">IF(AUTOEVENTO="Manual",ROUND(SUMPRODUCT((CÁLCULO!$M$15:$M$35=EVENTOS!$C16)*(OFFSET(CÁLCULO!$AI$15:$AI$35,0,L$13))),2),0)</f>
        <v>0</v>
      </c>
      <c r="M16" s="619" cm="1">
        <f t="array" aca="1" ref="M16" ca="1">IF(AUTOEVENTO="Manual",ROUND(SUMPRODUCT((CÁLCULO!$M$15:$M$35=EVENTOS!$C16)*(OFFSET(CÁLCULO!$AI$15:$AI$35,0,M$13))),2),0)</f>
        <v>0</v>
      </c>
      <c r="N16" s="619" cm="1">
        <f t="array" aca="1" ref="N16" ca="1">IF(AUTOEVENTO="Manual",ROUND(SUMPRODUCT((CÁLCULO!$M$15:$M$35=EVENTOS!$C16)*(OFFSET(CÁLCULO!$AI$15:$AI$35,0,N$13))),2),0)</f>
        <v>0</v>
      </c>
      <c r="O16" s="619" cm="1">
        <f t="array" aca="1" ref="O16" ca="1">IF(AUTOEVENTO="Manual",ROUND(SUMPRODUCT((CÁLCULO!$M$15:$M$35=EVENTOS!$C16)*(OFFSET(CÁLCULO!$AI$15:$AI$35,0,O$13))),2),0)</f>
        <v>0</v>
      </c>
      <c r="P16" s="619" cm="1">
        <f t="array" aca="1" ref="P16" ca="1">IF(AUTOEVENTO="Manual",ROUND(SUMPRODUCT((CÁLCULO!$M$15:$M$35=EVENTOS!$C16)*(OFFSET(CÁLCULO!$AI$15:$AI$35,0,P$13))),2),0)</f>
        <v>0</v>
      </c>
      <c r="Q16" s="619" cm="1">
        <f t="array" aca="1" ref="Q16" ca="1">IF(AUTOEVENTO="Manual",ROUND(SUMPRODUCT((CÁLCULO!$M$15:$M$35=EVENTOS!$C16)*(OFFSET(CÁLCULO!$AI$15:$AI$35,0,Q$13))),2),0)</f>
        <v>0</v>
      </c>
      <c r="R16" s="619" cm="1">
        <f t="array" aca="1" ref="R16" ca="1">IF(AUTOEVENTO="Manual",ROUND(SUMPRODUCT((CÁLCULO!$M$15:$M$35=EVENTOS!$C16)*(OFFSET(CÁLCULO!$AI$15:$AI$35,0,R$13))),2),0)</f>
        <v>0</v>
      </c>
      <c r="S16" s="619" cm="1">
        <f t="array" aca="1" ref="S16" ca="1">IF(AUTOEVENTO="Manual",ROUND(SUMPRODUCT((CÁLCULO!$M$15:$M$35=EVENTOS!$C16)*(OFFSET(CÁLCULO!$AI$15:$AI$35,0,S$13))),2),0)</f>
        <v>0</v>
      </c>
      <c r="T16" s="619" cm="1">
        <f t="array" aca="1" ref="T16" ca="1">IF(AUTOEVENTO="Manual",ROUND(SUMPRODUCT((CÁLCULO!$M$15:$M$35=EVENTOS!$C16)*(OFFSET(CÁLCULO!$AI$15:$AI$35,0,T$13))),2),0)</f>
        <v>0</v>
      </c>
      <c r="U16" s="619" cm="1">
        <f t="array" aca="1" ref="U16" ca="1">IF(AUTOEVENTO="Manual",ROUND(SUMPRODUCT((CÁLCULO!$M$15:$M$35=EVENTOS!$C16)*(OFFSET(CÁLCULO!$AI$15:$AI$35,0,U$13))),2),0)</f>
        <v>0</v>
      </c>
      <c r="V16" s="619" cm="1">
        <f t="array" aca="1" ref="V16" ca="1">IF(AUTOEVENTO="Manual",ROUND(SUMPRODUCT((CÁLCULO!$M$15:$M$35=EVENTOS!$C16)*(OFFSET(CÁLCULO!$AI$15:$AI$35,0,V$13))),2),0)</f>
        <v>0</v>
      </c>
      <c r="W16" s="619" cm="1">
        <f t="array" aca="1" ref="W16" ca="1">IF(AUTOEVENTO="Manual",ROUND(SUMPRODUCT((CÁLCULO!$M$15:$M$35=EVENTOS!$C16)*(OFFSET(CÁLCULO!$AI$15:$AI$35,0,W$13))),2),0)</f>
        <v>0</v>
      </c>
      <c r="X16" s="619" cm="1">
        <f t="array" aca="1" ref="X16" ca="1">IF(AUTOEVENTO="Manual",ROUND(SUMPRODUCT((CÁLCULO!$M$15:$M$35=EVENTOS!$C16)*(OFFSET(CÁLCULO!$AI$15:$AI$35,0,X$13))),2),0)</f>
        <v>0</v>
      </c>
      <c r="Y16" s="619" cm="1">
        <f t="array" aca="1" ref="Y16" ca="1">IF(AUTOEVENTO="Manual",ROUND(SUMPRODUCT((CÁLCULO!$M$15:$M$35=EVENTOS!$C16)*(OFFSET(CÁLCULO!$AI$15:$AI$35,0,Y$13))),2),0)</f>
        <v>0</v>
      </c>
    </row>
    <row r="17" spans="1:25" x14ac:dyDescent="0.2">
      <c r="A17" s="505" t="str">
        <f t="shared" si="3"/>
        <v/>
      </c>
      <c r="B17" t="str">
        <f t="shared" ca="1" si="4"/>
        <v/>
      </c>
      <c r="C17" s="181" t="str" cm="1">
        <f t="array" aca="1" ref="C17" ca="1">IF(OR(ROW(C17)=ROW(EVENTOS.firstrow)+1,AND(OFFSET(C17,-1,0)&lt;&gt;" ",OFFSET(C17,-1,1)&lt;&gt;"")),OFFSET(C17,-1,0)+1," ")</f>
        <v xml:space="preserve"> </v>
      </c>
      <c r="D17" s="495"/>
      <c r="E17" s="619" cm="1">
        <f t="array" aca="1" ref="E17" ca="1">IF(AUTOEVENTO="Manual",ROUND(SUMPRODUCT((CÁLCULO!$M$15:$M$35=EVENTOS!$C17)*(OFFSET(CÁLCULO!$AI$15:$AI$35,0,E$13))),2),0)</f>
        <v>0</v>
      </c>
      <c r="F17" s="182">
        <f ca="1">IF(AUTOEVENTO="Manual",ROUND(SUMPRODUCT((CÁLCULO!$M$15:$M$35=EVENTOS!$C17)*(OFFSET(CÁLCULO!$AI$15,0,1):OFFSET(CÁLCULO!$BB$35,0,-1))),2),0)</f>
        <v>0</v>
      </c>
      <c r="G17" s="620" t="str">
        <f t="shared" ca="1" si="5"/>
        <v/>
      </c>
      <c r="H17" s="619" cm="1">
        <f t="array" aca="1" ref="H17" ca="1">IF(AUTOEVENTO="Manual",ROUND(SUMPRODUCT((CÁLCULO!$M$15:$M$35=EVENTOS!$C17)*(OFFSET(CÁLCULO!$AI$15:$AI$35,0,H$13))),2),0)</f>
        <v>0</v>
      </c>
      <c r="I17" s="619" cm="1">
        <f t="array" aca="1" ref="I17" ca="1">IF(AUTOEVENTO="Manual",ROUND(SUMPRODUCT((CÁLCULO!$M$15:$M$35=EVENTOS!$C17)*(OFFSET(CÁLCULO!$AI$15:$AI$35,0,I$13))),2),0)</f>
        <v>0</v>
      </c>
      <c r="J17" s="619" cm="1">
        <f t="array" aca="1" ref="J17" ca="1">IF(AUTOEVENTO="Manual",ROUND(SUMPRODUCT((CÁLCULO!$M$15:$M$35=EVENTOS!$C17)*(OFFSET(CÁLCULO!$AI$15:$AI$35,0,J$13))),2),0)</f>
        <v>0</v>
      </c>
      <c r="K17" s="619" cm="1">
        <f t="array" aca="1" ref="K17" ca="1">IF(AUTOEVENTO="Manual",ROUND(SUMPRODUCT((CÁLCULO!$M$15:$M$35=EVENTOS!$C17)*(OFFSET(CÁLCULO!$AI$15:$AI$35,0,K$13))),2),0)</f>
        <v>0</v>
      </c>
      <c r="L17" s="619" cm="1">
        <f t="array" aca="1" ref="L17" ca="1">IF(AUTOEVENTO="Manual",ROUND(SUMPRODUCT((CÁLCULO!$M$15:$M$35=EVENTOS!$C17)*(OFFSET(CÁLCULO!$AI$15:$AI$35,0,L$13))),2),0)</f>
        <v>0</v>
      </c>
      <c r="M17" s="619" cm="1">
        <f t="array" aca="1" ref="M17" ca="1">IF(AUTOEVENTO="Manual",ROUND(SUMPRODUCT((CÁLCULO!$M$15:$M$35=EVENTOS!$C17)*(OFFSET(CÁLCULO!$AI$15:$AI$35,0,M$13))),2),0)</f>
        <v>0</v>
      </c>
      <c r="N17" s="619" cm="1">
        <f t="array" aca="1" ref="N17" ca="1">IF(AUTOEVENTO="Manual",ROUND(SUMPRODUCT((CÁLCULO!$M$15:$M$35=EVENTOS!$C17)*(OFFSET(CÁLCULO!$AI$15:$AI$35,0,N$13))),2),0)</f>
        <v>0</v>
      </c>
      <c r="O17" s="619" cm="1">
        <f t="array" aca="1" ref="O17" ca="1">IF(AUTOEVENTO="Manual",ROUND(SUMPRODUCT((CÁLCULO!$M$15:$M$35=EVENTOS!$C17)*(OFFSET(CÁLCULO!$AI$15:$AI$35,0,O$13))),2),0)</f>
        <v>0</v>
      </c>
      <c r="P17" s="619" cm="1">
        <f t="array" aca="1" ref="P17" ca="1">IF(AUTOEVENTO="Manual",ROUND(SUMPRODUCT((CÁLCULO!$M$15:$M$35=EVENTOS!$C17)*(OFFSET(CÁLCULO!$AI$15:$AI$35,0,P$13))),2),0)</f>
        <v>0</v>
      </c>
      <c r="Q17" s="619" cm="1">
        <f t="array" aca="1" ref="Q17" ca="1">IF(AUTOEVENTO="Manual",ROUND(SUMPRODUCT((CÁLCULO!$M$15:$M$35=EVENTOS!$C17)*(OFFSET(CÁLCULO!$AI$15:$AI$35,0,Q$13))),2),0)</f>
        <v>0</v>
      </c>
      <c r="R17" s="619" cm="1">
        <f t="array" aca="1" ref="R17" ca="1">IF(AUTOEVENTO="Manual",ROUND(SUMPRODUCT((CÁLCULO!$M$15:$M$35=EVENTOS!$C17)*(OFFSET(CÁLCULO!$AI$15:$AI$35,0,R$13))),2),0)</f>
        <v>0</v>
      </c>
      <c r="S17" s="619" cm="1">
        <f t="array" aca="1" ref="S17" ca="1">IF(AUTOEVENTO="Manual",ROUND(SUMPRODUCT((CÁLCULO!$M$15:$M$35=EVENTOS!$C17)*(OFFSET(CÁLCULO!$AI$15:$AI$35,0,S$13))),2),0)</f>
        <v>0</v>
      </c>
      <c r="T17" s="619" cm="1">
        <f t="array" aca="1" ref="T17" ca="1">IF(AUTOEVENTO="Manual",ROUND(SUMPRODUCT((CÁLCULO!$M$15:$M$35=EVENTOS!$C17)*(OFFSET(CÁLCULO!$AI$15:$AI$35,0,T$13))),2),0)</f>
        <v>0</v>
      </c>
      <c r="U17" s="619" cm="1">
        <f t="array" aca="1" ref="U17" ca="1">IF(AUTOEVENTO="Manual",ROUND(SUMPRODUCT((CÁLCULO!$M$15:$M$35=EVENTOS!$C17)*(OFFSET(CÁLCULO!$AI$15:$AI$35,0,U$13))),2),0)</f>
        <v>0</v>
      </c>
      <c r="V17" s="619" cm="1">
        <f t="array" aca="1" ref="V17" ca="1">IF(AUTOEVENTO="Manual",ROUND(SUMPRODUCT((CÁLCULO!$M$15:$M$35=EVENTOS!$C17)*(OFFSET(CÁLCULO!$AI$15:$AI$35,0,V$13))),2),0)</f>
        <v>0</v>
      </c>
      <c r="W17" s="619" cm="1">
        <f t="array" aca="1" ref="W17" ca="1">IF(AUTOEVENTO="Manual",ROUND(SUMPRODUCT((CÁLCULO!$M$15:$M$35=EVENTOS!$C17)*(OFFSET(CÁLCULO!$AI$15:$AI$35,0,W$13))),2),0)</f>
        <v>0</v>
      </c>
      <c r="X17" s="619" cm="1">
        <f t="array" aca="1" ref="X17" ca="1">IF(AUTOEVENTO="Manual",ROUND(SUMPRODUCT((CÁLCULO!$M$15:$M$35=EVENTOS!$C17)*(OFFSET(CÁLCULO!$AI$15:$AI$35,0,X$13))),2),0)</f>
        <v>0</v>
      </c>
      <c r="Y17" s="619" cm="1">
        <f t="array" aca="1" ref="Y17" ca="1">IF(AUTOEVENTO="Manual",ROUND(SUMPRODUCT((CÁLCULO!$M$15:$M$35=EVENTOS!$C17)*(OFFSET(CÁLCULO!$AI$15:$AI$35,0,Y$13))),2),0)</f>
        <v>0</v>
      </c>
    </row>
    <row r="18" spans="1:25" x14ac:dyDescent="0.2">
      <c r="A18" s="505" t="str">
        <f t="shared" si="3"/>
        <v/>
      </c>
      <c r="B18" t="str">
        <f t="shared" ca="1" si="4"/>
        <v/>
      </c>
      <c r="C18" s="181" t="str" cm="1">
        <f t="array" aca="1" ref="C18" ca="1">IF(OR(ROW(C18)=ROW(EVENTOS.firstrow)+1,AND(OFFSET(C18,-1,0)&lt;&gt;" ",OFFSET(C18,-1,1)&lt;&gt;"")),OFFSET(C18,-1,0)+1," ")</f>
        <v xml:space="preserve"> </v>
      </c>
      <c r="D18" s="495"/>
      <c r="E18" s="619" cm="1">
        <f t="array" aca="1" ref="E18" ca="1">IF(AUTOEVENTO="Manual",ROUND(SUMPRODUCT((CÁLCULO!$M$15:$M$35=EVENTOS!$C18)*(OFFSET(CÁLCULO!$AI$15:$AI$35,0,E$13))),2),0)</f>
        <v>0</v>
      </c>
      <c r="F18" s="182">
        <f ca="1">IF(AUTOEVENTO="Manual",ROUND(SUMPRODUCT((CÁLCULO!$M$15:$M$35=EVENTOS!$C18)*(OFFSET(CÁLCULO!$AI$15,0,1):OFFSET(CÁLCULO!$BB$35,0,-1))),2),0)</f>
        <v>0</v>
      </c>
      <c r="G18" s="620" t="str">
        <f t="shared" ca="1" si="5"/>
        <v/>
      </c>
      <c r="H18" s="619" cm="1">
        <f t="array" aca="1" ref="H18" ca="1">IF(AUTOEVENTO="Manual",ROUND(SUMPRODUCT((CÁLCULO!$M$15:$M$35=EVENTOS!$C18)*(OFFSET(CÁLCULO!$AI$15:$AI$35,0,H$13))),2),0)</f>
        <v>0</v>
      </c>
      <c r="I18" s="619" cm="1">
        <f t="array" aca="1" ref="I18" ca="1">IF(AUTOEVENTO="Manual",ROUND(SUMPRODUCT((CÁLCULO!$M$15:$M$35=EVENTOS!$C18)*(OFFSET(CÁLCULO!$AI$15:$AI$35,0,I$13))),2),0)</f>
        <v>0</v>
      </c>
      <c r="J18" s="619" cm="1">
        <f t="array" aca="1" ref="J18" ca="1">IF(AUTOEVENTO="Manual",ROUND(SUMPRODUCT((CÁLCULO!$M$15:$M$35=EVENTOS!$C18)*(OFFSET(CÁLCULO!$AI$15:$AI$35,0,J$13))),2),0)</f>
        <v>0</v>
      </c>
      <c r="K18" s="619" cm="1">
        <f t="array" aca="1" ref="K18" ca="1">IF(AUTOEVENTO="Manual",ROUND(SUMPRODUCT((CÁLCULO!$M$15:$M$35=EVENTOS!$C18)*(OFFSET(CÁLCULO!$AI$15:$AI$35,0,K$13))),2),0)</f>
        <v>0</v>
      </c>
      <c r="L18" s="619" cm="1">
        <f t="array" aca="1" ref="L18" ca="1">IF(AUTOEVENTO="Manual",ROUND(SUMPRODUCT((CÁLCULO!$M$15:$M$35=EVENTOS!$C18)*(OFFSET(CÁLCULO!$AI$15:$AI$35,0,L$13))),2),0)</f>
        <v>0</v>
      </c>
      <c r="M18" s="619" cm="1">
        <f t="array" aca="1" ref="M18" ca="1">IF(AUTOEVENTO="Manual",ROUND(SUMPRODUCT((CÁLCULO!$M$15:$M$35=EVENTOS!$C18)*(OFFSET(CÁLCULO!$AI$15:$AI$35,0,M$13))),2),0)</f>
        <v>0</v>
      </c>
      <c r="N18" s="619" cm="1">
        <f t="array" aca="1" ref="N18" ca="1">IF(AUTOEVENTO="Manual",ROUND(SUMPRODUCT((CÁLCULO!$M$15:$M$35=EVENTOS!$C18)*(OFFSET(CÁLCULO!$AI$15:$AI$35,0,N$13))),2),0)</f>
        <v>0</v>
      </c>
      <c r="O18" s="619" cm="1">
        <f t="array" aca="1" ref="O18" ca="1">IF(AUTOEVENTO="Manual",ROUND(SUMPRODUCT((CÁLCULO!$M$15:$M$35=EVENTOS!$C18)*(OFFSET(CÁLCULO!$AI$15:$AI$35,0,O$13))),2),0)</f>
        <v>0</v>
      </c>
      <c r="P18" s="619" cm="1">
        <f t="array" aca="1" ref="P18" ca="1">IF(AUTOEVENTO="Manual",ROUND(SUMPRODUCT((CÁLCULO!$M$15:$M$35=EVENTOS!$C18)*(OFFSET(CÁLCULO!$AI$15:$AI$35,0,P$13))),2),0)</f>
        <v>0</v>
      </c>
      <c r="Q18" s="619" cm="1">
        <f t="array" aca="1" ref="Q18" ca="1">IF(AUTOEVENTO="Manual",ROUND(SUMPRODUCT((CÁLCULO!$M$15:$M$35=EVENTOS!$C18)*(OFFSET(CÁLCULO!$AI$15:$AI$35,0,Q$13))),2),0)</f>
        <v>0</v>
      </c>
      <c r="R18" s="619" cm="1">
        <f t="array" aca="1" ref="R18" ca="1">IF(AUTOEVENTO="Manual",ROUND(SUMPRODUCT((CÁLCULO!$M$15:$M$35=EVENTOS!$C18)*(OFFSET(CÁLCULO!$AI$15:$AI$35,0,R$13))),2),0)</f>
        <v>0</v>
      </c>
      <c r="S18" s="619" cm="1">
        <f t="array" aca="1" ref="S18" ca="1">IF(AUTOEVENTO="Manual",ROUND(SUMPRODUCT((CÁLCULO!$M$15:$M$35=EVENTOS!$C18)*(OFFSET(CÁLCULO!$AI$15:$AI$35,0,S$13))),2),0)</f>
        <v>0</v>
      </c>
      <c r="T18" s="619" cm="1">
        <f t="array" aca="1" ref="T18" ca="1">IF(AUTOEVENTO="Manual",ROUND(SUMPRODUCT((CÁLCULO!$M$15:$M$35=EVENTOS!$C18)*(OFFSET(CÁLCULO!$AI$15:$AI$35,0,T$13))),2),0)</f>
        <v>0</v>
      </c>
      <c r="U18" s="619" cm="1">
        <f t="array" aca="1" ref="U18" ca="1">IF(AUTOEVENTO="Manual",ROUND(SUMPRODUCT((CÁLCULO!$M$15:$M$35=EVENTOS!$C18)*(OFFSET(CÁLCULO!$AI$15:$AI$35,0,U$13))),2),0)</f>
        <v>0</v>
      </c>
      <c r="V18" s="619" cm="1">
        <f t="array" aca="1" ref="V18" ca="1">IF(AUTOEVENTO="Manual",ROUND(SUMPRODUCT((CÁLCULO!$M$15:$M$35=EVENTOS!$C18)*(OFFSET(CÁLCULO!$AI$15:$AI$35,0,V$13))),2),0)</f>
        <v>0</v>
      </c>
      <c r="W18" s="619" cm="1">
        <f t="array" aca="1" ref="W18" ca="1">IF(AUTOEVENTO="Manual",ROUND(SUMPRODUCT((CÁLCULO!$M$15:$M$35=EVENTOS!$C18)*(OFFSET(CÁLCULO!$AI$15:$AI$35,0,W$13))),2),0)</f>
        <v>0</v>
      </c>
      <c r="X18" s="619" cm="1">
        <f t="array" aca="1" ref="X18" ca="1">IF(AUTOEVENTO="Manual",ROUND(SUMPRODUCT((CÁLCULO!$M$15:$M$35=EVENTOS!$C18)*(OFFSET(CÁLCULO!$AI$15:$AI$35,0,X$13))),2),0)</f>
        <v>0</v>
      </c>
      <c r="Y18" s="619" cm="1">
        <f t="array" aca="1" ref="Y18" ca="1">IF(AUTOEVENTO="Manual",ROUND(SUMPRODUCT((CÁLCULO!$M$15:$M$35=EVENTOS!$C18)*(OFFSET(CÁLCULO!$AI$15:$AI$35,0,Y$13))),2),0)</f>
        <v>0</v>
      </c>
    </row>
    <row r="19" spans="1:25" x14ac:dyDescent="0.2">
      <c r="A19" s="505" t="str">
        <f t="shared" si="3"/>
        <v/>
      </c>
      <c r="B19" t="str">
        <f t="shared" ca="1" si="4"/>
        <v/>
      </c>
      <c r="C19" s="181" t="str" cm="1">
        <f t="array" aca="1" ref="C19" ca="1">IF(OR(ROW(C19)=ROW(EVENTOS.firstrow)+1,AND(OFFSET(C19,-1,0)&lt;&gt;" ",OFFSET(C19,-1,1)&lt;&gt;"")),OFFSET(C19,-1,0)+1," ")</f>
        <v xml:space="preserve"> </v>
      </c>
      <c r="D19" s="495"/>
      <c r="E19" s="619" cm="1">
        <f t="array" aca="1" ref="E19" ca="1">IF(AUTOEVENTO="Manual",ROUND(SUMPRODUCT((CÁLCULO!$M$15:$M$35=EVENTOS!$C19)*(OFFSET(CÁLCULO!$AI$15:$AI$35,0,E$13))),2),0)</f>
        <v>0</v>
      </c>
      <c r="F19" s="182">
        <f ca="1">IF(AUTOEVENTO="Manual",ROUND(SUMPRODUCT((CÁLCULO!$M$15:$M$35=EVENTOS!$C19)*(OFFSET(CÁLCULO!$AI$15,0,1):OFFSET(CÁLCULO!$BB$35,0,-1))),2),0)</f>
        <v>0</v>
      </c>
      <c r="G19" s="620" t="str">
        <f t="shared" ca="1" si="5"/>
        <v/>
      </c>
      <c r="H19" s="619" cm="1">
        <f t="array" aca="1" ref="H19" ca="1">IF(AUTOEVENTO="Manual",ROUND(SUMPRODUCT((CÁLCULO!$M$15:$M$35=EVENTOS!$C19)*(OFFSET(CÁLCULO!$AI$15:$AI$35,0,H$13))),2),0)</f>
        <v>0</v>
      </c>
      <c r="I19" s="619" cm="1">
        <f t="array" aca="1" ref="I19" ca="1">IF(AUTOEVENTO="Manual",ROUND(SUMPRODUCT((CÁLCULO!$M$15:$M$35=EVENTOS!$C19)*(OFFSET(CÁLCULO!$AI$15:$AI$35,0,I$13))),2),0)</f>
        <v>0</v>
      </c>
      <c r="J19" s="619" cm="1">
        <f t="array" aca="1" ref="J19" ca="1">IF(AUTOEVENTO="Manual",ROUND(SUMPRODUCT((CÁLCULO!$M$15:$M$35=EVENTOS!$C19)*(OFFSET(CÁLCULO!$AI$15:$AI$35,0,J$13))),2),0)</f>
        <v>0</v>
      </c>
      <c r="K19" s="619" cm="1">
        <f t="array" aca="1" ref="K19" ca="1">IF(AUTOEVENTO="Manual",ROUND(SUMPRODUCT((CÁLCULO!$M$15:$M$35=EVENTOS!$C19)*(OFFSET(CÁLCULO!$AI$15:$AI$35,0,K$13))),2),0)</f>
        <v>0</v>
      </c>
      <c r="L19" s="619" cm="1">
        <f t="array" aca="1" ref="L19" ca="1">IF(AUTOEVENTO="Manual",ROUND(SUMPRODUCT((CÁLCULO!$M$15:$M$35=EVENTOS!$C19)*(OFFSET(CÁLCULO!$AI$15:$AI$35,0,L$13))),2),0)</f>
        <v>0</v>
      </c>
      <c r="M19" s="619" cm="1">
        <f t="array" aca="1" ref="M19" ca="1">IF(AUTOEVENTO="Manual",ROUND(SUMPRODUCT((CÁLCULO!$M$15:$M$35=EVENTOS!$C19)*(OFFSET(CÁLCULO!$AI$15:$AI$35,0,M$13))),2),0)</f>
        <v>0</v>
      </c>
      <c r="N19" s="619" cm="1">
        <f t="array" aca="1" ref="N19" ca="1">IF(AUTOEVENTO="Manual",ROUND(SUMPRODUCT((CÁLCULO!$M$15:$M$35=EVENTOS!$C19)*(OFFSET(CÁLCULO!$AI$15:$AI$35,0,N$13))),2),0)</f>
        <v>0</v>
      </c>
      <c r="O19" s="619" cm="1">
        <f t="array" aca="1" ref="O19" ca="1">IF(AUTOEVENTO="Manual",ROUND(SUMPRODUCT((CÁLCULO!$M$15:$M$35=EVENTOS!$C19)*(OFFSET(CÁLCULO!$AI$15:$AI$35,0,O$13))),2),0)</f>
        <v>0</v>
      </c>
      <c r="P19" s="619" cm="1">
        <f t="array" aca="1" ref="P19" ca="1">IF(AUTOEVENTO="Manual",ROUND(SUMPRODUCT((CÁLCULO!$M$15:$M$35=EVENTOS!$C19)*(OFFSET(CÁLCULO!$AI$15:$AI$35,0,P$13))),2),0)</f>
        <v>0</v>
      </c>
      <c r="Q19" s="619" cm="1">
        <f t="array" aca="1" ref="Q19" ca="1">IF(AUTOEVENTO="Manual",ROUND(SUMPRODUCT((CÁLCULO!$M$15:$M$35=EVENTOS!$C19)*(OFFSET(CÁLCULO!$AI$15:$AI$35,0,Q$13))),2),0)</f>
        <v>0</v>
      </c>
      <c r="R19" s="619" cm="1">
        <f t="array" aca="1" ref="R19" ca="1">IF(AUTOEVENTO="Manual",ROUND(SUMPRODUCT((CÁLCULO!$M$15:$M$35=EVENTOS!$C19)*(OFFSET(CÁLCULO!$AI$15:$AI$35,0,R$13))),2),0)</f>
        <v>0</v>
      </c>
      <c r="S19" s="619" cm="1">
        <f t="array" aca="1" ref="S19" ca="1">IF(AUTOEVENTO="Manual",ROUND(SUMPRODUCT((CÁLCULO!$M$15:$M$35=EVENTOS!$C19)*(OFFSET(CÁLCULO!$AI$15:$AI$35,0,S$13))),2),0)</f>
        <v>0</v>
      </c>
      <c r="T19" s="619" cm="1">
        <f t="array" aca="1" ref="T19" ca="1">IF(AUTOEVENTO="Manual",ROUND(SUMPRODUCT((CÁLCULO!$M$15:$M$35=EVENTOS!$C19)*(OFFSET(CÁLCULO!$AI$15:$AI$35,0,T$13))),2),0)</f>
        <v>0</v>
      </c>
      <c r="U19" s="619" cm="1">
        <f t="array" aca="1" ref="U19" ca="1">IF(AUTOEVENTO="Manual",ROUND(SUMPRODUCT((CÁLCULO!$M$15:$M$35=EVENTOS!$C19)*(OFFSET(CÁLCULO!$AI$15:$AI$35,0,U$13))),2),0)</f>
        <v>0</v>
      </c>
      <c r="V19" s="619" cm="1">
        <f t="array" aca="1" ref="V19" ca="1">IF(AUTOEVENTO="Manual",ROUND(SUMPRODUCT((CÁLCULO!$M$15:$M$35=EVENTOS!$C19)*(OFFSET(CÁLCULO!$AI$15:$AI$35,0,V$13))),2),0)</f>
        <v>0</v>
      </c>
      <c r="W19" s="619" cm="1">
        <f t="array" aca="1" ref="W19" ca="1">IF(AUTOEVENTO="Manual",ROUND(SUMPRODUCT((CÁLCULO!$M$15:$M$35=EVENTOS!$C19)*(OFFSET(CÁLCULO!$AI$15:$AI$35,0,W$13))),2),0)</f>
        <v>0</v>
      </c>
      <c r="X19" s="619" cm="1">
        <f t="array" aca="1" ref="X19" ca="1">IF(AUTOEVENTO="Manual",ROUND(SUMPRODUCT((CÁLCULO!$M$15:$M$35=EVENTOS!$C19)*(OFFSET(CÁLCULO!$AI$15:$AI$35,0,X$13))),2),0)</f>
        <v>0</v>
      </c>
      <c r="Y19" s="619" cm="1">
        <f t="array" aca="1" ref="Y19" ca="1">IF(AUTOEVENTO="Manual",ROUND(SUMPRODUCT((CÁLCULO!$M$15:$M$35=EVENTOS!$C19)*(OFFSET(CÁLCULO!$AI$15:$AI$35,0,Y$13))),2),0)</f>
        <v>0</v>
      </c>
    </row>
    <row r="20" spans="1:25" ht="5.0999999999999996" customHeight="1" x14ac:dyDescent="0.2">
      <c r="A20" s="505" t="s">
        <v>536</v>
      </c>
      <c r="C20" s="628"/>
      <c r="D20" s="629"/>
      <c r="E20" s="630"/>
      <c r="F20" s="183"/>
      <c r="G20" s="630"/>
      <c r="H20" s="630"/>
      <c r="I20" s="630"/>
      <c r="J20" s="630"/>
      <c r="K20" s="630"/>
      <c r="L20" s="630"/>
      <c r="M20" s="630"/>
      <c r="N20" s="630"/>
      <c r="O20" s="630"/>
      <c r="P20" s="630"/>
      <c r="Q20" s="630"/>
      <c r="R20" s="630"/>
      <c r="S20" s="630"/>
      <c r="T20" s="630"/>
      <c r="U20" s="630"/>
      <c r="V20" s="630"/>
      <c r="W20" s="630"/>
      <c r="X20" s="630"/>
      <c r="Y20" s="630"/>
    </row>
    <row r="21" spans="1:25" x14ac:dyDescent="0.2">
      <c r="A21" s="505" t="s">
        <v>536</v>
      </c>
    </row>
    <row r="22" spans="1:25" x14ac:dyDescent="0.2">
      <c r="A22" s="505" t="s">
        <v>536</v>
      </c>
    </row>
    <row r="23" spans="1:25" ht="15" x14ac:dyDescent="0.2">
      <c r="A23" s="505" t="s">
        <v>536</v>
      </c>
      <c r="D23" s="492" t="str">
        <f>Import.Município</f>
        <v>Marialva-PR</v>
      </c>
      <c r="L23" s="459"/>
      <c r="M23" s="416"/>
      <c r="N23" s="416"/>
      <c r="O23" s="416"/>
      <c r="V23" s="459"/>
      <c r="W23" s="416"/>
      <c r="X23" s="416"/>
      <c r="Y23" s="416"/>
    </row>
    <row r="24" spans="1:25" x14ac:dyDescent="0.2">
      <c r="A24" s="505" t="s">
        <v>536</v>
      </c>
      <c r="D24" s="9" t="s">
        <v>693</v>
      </c>
      <c r="H24" s="543"/>
      <c r="I24" s="543"/>
      <c r="J24" s="543"/>
      <c r="L24" s="180" t="s">
        <v>696</v>
      </c>
      <c r="V24" s="180" t="s">
        <v>696</v>
      </c>
    </row>
    <row r="25" spans="1:25" x14ac:dyDescent="0.2">
      <c r="A25" s="505" t="s">
        <v>536</v>
      </c>
      <c r="H25" s="543"/>
      <c r="I25" s="543"/>
      <c r="J25" s="543"/>
      <c r="L25" s="397" t="str">
        <f t="array" aca="1" ref="L25:L27" ca="1">OFFSET(Import.RespOrçamento,0,-1) &amp; " " &amp; Import.RespOrçamento</f>
        <v>Nome: Fernando Vinicius Moraes Viana</v>
      </c>
      <c r="V25" s="397" t="str">
        <f t="array" aca="1" ref="V25:V27" ca="1">OFFSET(Import.RespOrçamento,0,-1) &amp; " " &amp; Import.RespOrçamento</f>
        <v>Nome: Fernando Vinicius Moraes Viana</v>
      </c>
    </row>
    <row r="26" spans="1:25" x14ac:dyDescent="0.2">
      <c r="A26" s="505" t="s">
        <v>536</v>
      </c>
      <c r="D26" s="493">
        <f>DADOS!$C$25</f>
        <v>46295</v>
      </c>
      <c r="L26" s="397" t="str">
        <f ca="1"/>
        <v>CREA/CAU: 144.403/D</v>
      </c>
      <c r="V26" s="397" t="str">
        <f ca="1"/>
        <v>CREA/CAU: 144.403/D</v>
      </c>
    </row>
    <row r="27" spans="1:25" x14ac:dyDescent="0.2">
      <c r="A27" s="505" t="s">
        <v>536</v>
      </c>
      <c r="D27" s="9" t="s">
        <v>694</v>
      </c>
      <c r="L27" s="397" t="str">
        <f ca="1"/>
        <v>ART/RRT: 1720265939600</v>
      </c>
      <c r="V27" s="397" t="str">
        <f ca="1"/>
        <v>ART/RRT: 1720265939600</v>
      </c>
    </row>
  </sheetData>
  <sheetProtection algorithmName="SHA-512" hashValue="4qWUH7QftM56VmvkPgLh+FWGNZNCLxSqseQR9Lk9fi1KeCldXD5x2uSYyPgoGDMm0K7i2+su1tq8PSa7XsM8rA==" saltValue="ZD+03pzzsOQg5ZfJ+mdkYw==" spinCount="100000" sheet="1" objects="1" scenarios="1"/>
  <autoFilter ref="A13:A27"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Z1 C10:J10 K10:Y12 Z10:Z15 E11:J11 C12:J12 C13:Y15 C16:Z20">
    <cfRule type="expression" dxfId="184" priority="1" stopIfTrue="1">
      <formula>OR(AUTOEVENTO&lt;&gt;"Manual",ACOMPANHAMENTO="BM",C$10=0,C$13=0,$C1=" ")</formula>
    </cfRule>
  </conditionalFormatting>
  <conditionalFormatting sqref="C15:XFD15 A15">
    <cfRule type="expression" dxfId="18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303"/>
  <sheetViews>
    <sheetView showGridLines="0" zoomScale="70" zoomScaleNormal="70" zoomScaleSheetLayoutView="90" workbookViewId="0">
      <pane xSplit="8" ySplit="15" topLeftCell="N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34" width="11.5703125" customWidth="1"/>
    <col min="35" max="91" width="9.140625" hidden="1" customWidth="1"/>
    <col min="92" max="92" width="1.5703125" hidden="1" customWidth="1"/>
  </cols>
  <sheetData>
    <row r="1" spans="1:91" ht="12.75" hidden="1" customHeight="1" x14ac:dyDescent="0.2">
      <c r="M1" s="7">
        <f ca="1">SUM(OFFSET(CÁLCULO!$P$1,0,1):OFFSET(CÁLCULO!$AI$1,0,-1))</f>
        <v>13</v>
      </c>
      <c r="O1" s="631" cm="1">
        <f t="array" ref="O1">IF(OR(ACOMPANHAMENTO="BM",N1=0,O12=""),0,1)</f>
        <v>0</v>
      </c>
      <c r="P1" t="s">
        <v>764</v>
      </c>
      <c r="Q1" s="631" cm="1">
        <f t="array" ref="Q1">IF(OR(ACOMPANHAMENTO="BM",P1=0,Q12=""),0,1)</f>
        <v>1</v>
      </c>
      <c r="R1" s="631" cm="1">
        <f t="array" ref="R1">IF(OR(ACOMPANHAMENTO="BM",Q1=0,R12=""),0,1)</f>
        <v>1</v>
      </c>
      <c r="S1" s="631" cm="1">
        <f t="array" ref="S1">IF(OR(ACOMPANHAMENTO="BM",R1=0,S12=""),0,1)</f>
        <v>1</v>
      </c>
      <c r="T1" s="631" cm="1">
        <f t="array" ref="T1">IF(OR(ACOMPANHAMENTO="BM",S1=0,T12=""),0,1)</f>
        <v>1</v>
      </c>
      <c r="U1" s="631" cm="1">
        <f t="array" ref="U1">IF(OR(ACOMPANHAMENTO="BM",T1=0,U12=""),0,1)</f>
        <v>1</v>
      </c>
      <c r="V1" s="631" cm="1">
        <f t="array" ref="V1">IF(OR(ACOMPANHAMENTO="BM",U1=0,V12=""),0,1)</f>
        <v>1</v>
      </c>
      <c r="W1" s="631" cm="1">
        <f t="array" ref="W1">IF(OR(ACOMPANHAMENTO="BM",V1=0,W12=""),0,1)</f>
        <v>1</v>
      </c>
      <c r="X1" s="631" cm="1">
        <f t="array" ref="X1">IF(OR(ACOMPANHAMENTO="BM",W1=0,X12=""),0,1)</f>
        <v>1</v>
      </c>
      <c r="Y1" s="631" cm="1">
        <f t="array" ref="Y1">IF(OR(ACOMPANHAMENTO="BM",X1=0,Y12=""),0,1)</f>
        <v>1</v>
      </c>
      <c r="Z1" s="631" cm="1">
        <f t="array" ref="Z1">IF(OR(ACOMPANHAMENTO="BM",Y1=0,Z12=""),0,1)</f>
        <v>1</v>
      </c>
      <c r="AA1" s="631" cm="1">
        <f t="array" ref="AA1">IF(OR(ACOMPANHAMENTO="BM",Z1=0,AA12=""),0,1)</f>
        <v>1</v>
      </c>
      <c r="AB1" s="631" cm="1">
        <f t="array" ref="AB1">IF(OR(ACOMPANHAMENTO="BM",AA1=0,AB12=""),0,1)</f>
        <v>1</v>
      </c>
      <c r="AC1" s="631" cm="1">
        <f t="array" ref="AC1">IF(OR(ACOMPANHAMENTO="BM",AB1=0,AC12=""),0,1)</f>
        <v>1</v>
      </c>
      <c r="AD1" s="631" cm="1">
        <f t="array" ref="AD1">IF(OR(ACOMPANHAMENTO="BM",AC1=0,AD12=""),0,1)</f>
        <v>0</v>
      </c>
      <c r="AE1" s="631" cm="1">
        <f t="array" ref="AE1">IF(OR(ACOMPANHAMENTO="BM",AD1=0,AE12=""),0,1)</f>
        <v>0</v>
      </c>
      <c r="AF1" s="631" cm="1">
        <f t="array" ref="AF1">IF(OR(ACOMPANHAMENTO="BM",AE1=0,AF12=""),0,1)</f>
        <v>0</v>
      </c>
      <c r="AG1" s="631" cm="1">
        <f t="array" ref="AG1">IF(OR(ACOMPANHAMENTO="BM",AF1=0,AG12=""),0,1)</f>
        <v>0</v>
      </c>
      <c r="AH1" s="631" cm="1">
        <f t="array" ref="AH1">IF(OR(ACOMPANHAMENTO="BM",AG1=0,AH12=""),0,1)</f>
        <v>0</v>
      </c>
      <c r="AJ1" t="s">
        <v>765</v>
      </c>
      <c r="BC1" t="s">
        <v>766</v>
      </c>
      <c r="BV1" t="s">
        <v>767</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736" t="str" cm="1">
        <f t="array" ref="F6">IF(ACOMPANHAMENTO="BM","MEMÓRIA DE CÁLCULO","PLQ - PLANILHA DE LEVANTAMENTO DE QUANTIDADES")</f>
        <v>PLQ - PLANILHA DE LEVANTAMENTO DE QUANTIDADES</v>
      </c>
      <c r="G6" s="736"/>
      <c r="H6" s="736"/>
      <c r="I6" s="140"/>
      <c r="K6" s="140"/>
      <c r="L6" s="140"/>
      <c r="M6" s="141"/>
      <c r="N6" s="140"/>
      <c r="P6" s="140"/>
      <c r="Q6" s="737" t="s">
        <v>644</v>
      </c>
      <c r="R6" s="738"/>
      <c r="Y6" s="719" t="s">
        <v>644</v>
      </c>
      <c r="Z6" s="719"/>
      <c r="AG6" s="719" t="s">
        <v>644</v>
      </c>
      <c r="AH6" s="719"/>
    </row>
    <row r="7" spans="1:91" ht="15" customHeight="1" x14ac:dyDescent="0.2">
      <c r="F7" s="739" t="str" cm="1">
        <f t="array" ref="F7">IF(ACOMPANHAMENTO="BM","","Memória de Cálculo")&amp;" - "&amp;import.recurso</f>
        <v>Memória de Cálculo - OGU</v>
      </c>
      <c r="G7" s="739"/>
      <c r="H7" s="739"/>
      <c r="I7" s="142"/>
      <c r="K7" s="142"/>
      <c r="L7" s="142"/>
      <c r="M7" s="143"/>
      <c r="N7" s="142"/>
      <c r="P7" s="142"/>
      <c r="Q7" s="740" t="s">
        <v>647</v>
      </c>
      <c r="R7" s="741"/>
      <c r="Y7" s="720" t="s">
        <v>647</v>
      </c>
      <c r="Z7" s="720"/>
      <c r="AG7" s="720" t="s">
        <v>647</v>
      </c>
      <c r="AH7" s="720"/>
    </row>
    <row r="8" spans="1:91" ht="12.75" customHeight="1" x14ac:dyDescent="0.2">
      <c r="AM8" s="475"/>
      <c r="AU8" s="475"/>
    </row>
    <row r="9" spans="1:91" ht="12.75" customHeight="1" x14ac:dyDescent="0.2">
      <c r="E9" s="677" t="s">
        <v>708</v>
      </c>
      <c r="F9" s="677"/>
      <c r="G9" s="677" t="s">
        <v>707</v>
      </c>
      <c r="H9" s="677"/>
      <c r="I9" s="86" t="s">
        <v>650</v>
      </c>
      <c r="K9" s="144" t="s">
        <v>652</v>
      </c>
      <c r="L9" s="145"/>
      <c r="M9" s="145"/>
      <c r="N9" s="145"/>
      <c r="O9" s="145"/>
      <c r="P9" s="145"/>
      <c r="Q9" s="145"/>
      <c r="R9" s="146"/>
      <c r="S9" s="677" t="s">
        <v>650</v>
      </c>
      <c r="T9" s="677"/>
      <c r="U9" s="677" t="s">
        <v>652</v>
      </c>
      <c r="V9" s="677"/>
      <c r="W9" s="677"/>
      <c r="X9" s="677"/>
      <c r="Y9" s="677"/>
      <c r="Z9" s="677"/>
      <c r="AA9" s="677" t="s">
        <v>650</v>
      </c>
      <c r="AB9" s="677"/>
      <c r="AC9" s="677" t="s">
        <v>652</v>
      </c>
      <c r="AD9" s="677"/>
      <c r="AE9" s="677"/>
      <c r="AF9" s="677"/>
      <c r="AG9" s="677"/>
      <c r="AH9" s="677"/>
    </row>
    <row r="10" spans="1:91" ht="12.75" customHeight="1" x14ac:dyDescent="0.2">
      <c r="A10" s="600" t="s">
        <v>768</v>
      </c>
      <c r="E10" s="683" t="str">
        <f>Import.Apelido</f>
        <v>RECAPEAMENTO ASFÁLTICO</v>
      </c>
      <c r="F10" s="683"/>
      <c r="G10" s="683" t="str" cm="1">
        <f t="array" ref="G10">Import.TransfereGOV</f>
        <v>060795/2023</v>
      </c>
      <c r="H10" s="683"/>
      <c r="I10" s="89" t="str">
        <f>Import.CR</f>
        <v>1091265-71</v>
      </c>
      <c r="K10" s="147" t="str">
        <f>Import.Proponente</f>
        <v>PREFEITURA MUNICIPAL DE MARIALVA</v>
      </c>
      <c r="L10" s="148"/>
      <c r="M10" s="99"/>
      <c r="N10" s="148"/>
      <c r="O10" s="148"/>
      <c r="P10" s="148"/>
      <c r="Q10" s="148"/>
      <c r="R10" s="90"/>
      <c r="S10" s="683" t="str">
        <f>Import.CR</f>
        <v>1091265-71</v>
      </c>
      <c r="T10" s="683"/>
      <c r="U10" s="683" t="str">
        <f>Import.Proponente</f>
        <v>PREFEITURA MUNICIPAL DE MARIALVA</v>
      </c>
      <c r="V10" s="683"/>
      <c r="W10" s="683"/>
      <c r="X10" s="683"/>
      <c r="Y10" s="683"/>
      <c r="Z10" s="683"/>
      <c r="AA10" s="683" t="str">
        <f>Import.CR</f>
        <v>1091265-71</v>
      </c>
      <c r="AB10" s="683"/>
      <c r="AC10" s="683" t="str">
        <f>Import.Proponente</f>
        <v>PREFEITURA MUNICIPAL DE MARIALVA</v>
      </c>
      <c r="AD10" s="683"/>
      <c r="AE10" s="683"/>
      <c r="AF10" s="683"/>
      <c r="AG10" s="683"/>
      <c r="AH10" s="683"/>
    </row>
    <row r="11" spans="1:91" ht="15" customHeight="1" x14ac:dyDescent="0.2">
      <c r="A11" s="449" t="str">
        <f>IF(AND(Import.TipoArredondamento="Tradicional",AUTOEVENTO="Manual"),"Automática",IF(CRONOPLE!$B$8="","Sem Adm","Manual"))</f>
        <v>Manual</v>
      </c>
      <c r="F11" s="566" t="str">
        <f ca="1">IF(AND(ACOMPANHAMENTO="PLE",ISERROR(AUTOEVENTO)),"Selecione a forma de definição dos agrupadores de eventos na aba EVENTOS",
  IF(AND(ACOMPANHAMENTO="PLE",CÁLCULO.FrentesPreenchidas=0),"Preencher os nomes das Frentes de Obra",
  IF(COUNTIF($J$15:$J$35,"►E")&gt;0,"Não pode haver serviços sem agrupador de eventos",
  IF(COUNTIF($P$11:$AI$11,"▼")&gt;0,"Não pode haver frentes de obra sem quantidades",
  IF(COUNTIF($P$11:$AI$11,"Nome &gt;100")&gt;0,"Nome da frente de obra com mais de 100 caracteres","")))))</f>
        <v/>
      </c>
      <c r="N11" s="572" t="str">
        <f ca="1">IF(OR(COUNTIF($J$15:$J$35,"►E")&gt;0,COUNTIF($J$15:$J$35,"►Q")&gt;0),"",
IF(COUNTIF($J$15:$J$35,"►S")&gt;0,"Preencha as quantidades com no máximo duas casas decimais",
IF(COUNTIF($P$11:$AI$11,"▼")&gt;0,"Falta preencher a frente de obra nº " &amp; HLOOKUP("▼",$P$11:$AI$13,3,FALSE),
IF(COUNTIF($P$11:$AI$11,"Nome &gt;100")&gt;0,"Resuma o nome da frente de obra nº " &amp; HLOOKUP("Nome &gt;100",$P$11:$AI$13,3,FALSE),""))))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c r="AA11" s="565" t="str">
        <f t="shared" ref="AA11:AH11" ca="1" si="1">IF(AND(AA1=1,AA15=0),"▼",IF(AND(AA1=1,LEN(AA12)&gt;100),"Nome &gt;100",""))</f>
        <v/>
      </c>
      <c r="AB11" s="565" t="str">
        <f t="shared" ca="1" si="1"/>
        <v/>
      </c>
      <c r="AC11" s="565" t="str">
        <f t="shared" ca="1" si="1"/>
        <v/>
      </c>
      <c r="AD11" s="565" t="str">
        <f t="shared" ca="1" si="1"/>
        <v/>
      </c>
      <c r="AE11" s="565" t="str">
        <f t="shared" ca="1" si="1"/>
        <v/>
      </c>
      <c r="AF11" s="565" t="str">
        <f t="shared" ca="1" si="1"/>
        <v/>
      </c>
      <c r="AG11" s="565" t="str">
        <f t="shared" ca="1" si="1"/>
        <v/>
      </c>
      <c r="AH11" s="565" t="str">
        <f t="shared" ca="1" si="1"/>
        <v/>
      </c>
    </row>
    <row r="12" spans="1:91" ht="69.95" customHeight="1" x14ac:dyDescent="0.2">
      <c r="A12" s="598">
        <f>IF(Import.Eventos.Nível="Definir Manualmente","Manual",MATCH(Import.Eventos.Nível,EVENTOS!$B$6:$B$9,0)+1)</f>
        <v>2</v>
      </c>
      <c r="B12" s="7" t="s">
        <v>769</v>
      </c>
      <c r="C12" s="488" t="s">
        <v>655</v>
      </c>
      <c r="H12" s="149"/>
      <c r="I12" s="574" t="str">
        <f ca="1">IF(AND(ACOMPANHAMENTO="PLE",CÁLCULO.FrentesPreenchidas=0),"",
  IF(COUNTIF($J$15:$J$35,"►E")&gt;0,"Falta Definir o Agrupador de Evento na linha "&amp;MATCH("►E",$J$15:$J$35,0)+ROW($J$14),
  IF(COUNTIF($J$15:$J$35,"►Q")&gt;0,"Falta preencher a quantidade do serviço na linha "&amp;MATCH("►Q",$J$15:$J$35,0)+ROW($J$14),
  IF(COUNTIF($J$15:$J$35,"►S")&gt;0,"Verifique as quantidades preenchidas na linha "&amp;MATCH("►S",$J$15:$J$35,0)+ROW($J$14),
  IF(AND(COUNTIF($P$11:$AI$11,"▼")=0,COUNTIF($J$15:$J$35,"◄")&gt;0),"Falta Preencher o Memorial de Cálculo na linha "&amp;MATCH("◄",$J$15:$J$35,0)+ROW($J$14),"")))))</f>
        <v/>
      </c>
      <c r="J12" s="150" t="s">
        <v>764</v>
      </c>
      <c r="K12" s="151" t="s">
        <v>770</v>
      </c>
      <c r="L12" s="150" t="s">
        <v>764</v>
      </c>
      <c r="M12" s="569" cm="1">
        <f t="array" aca="1" ref="M12" ca="1">IF(ACOMPANHAMENTO="BM",0,MAX($M$15:$M$35))</f>
        <v>4</v>
      </c>
      <c r="N12" s="573" t="str">
        <f ca="1">IF(AND(ACOMPANHAMENTO="PLE",CÁLCULO.FrentesPreenchidas=0),"Preencher os nomes das Frentes de Obra ►","FRENTES DE OBRA:")</f>
        <v>FRENTES DE OBRA:</v>
      </c>
      <c r="O12" s="152"/>
      <c r="P12" s="150" t="s">
        <v>764</v>
      </c>
      <c r="Q12" s="451" t="s">
        <v>1020</v>
      </c>
      <c r="R12" s="152" t="s">
        <v>1021</v>
      </c>
      <c r="S12" s="152" t="s">
        <v>1022</v>
      </c>
      <c r="T12" s="519" t="s">
        <v>1023</v>
      </c>
      <c r="U12" s="152" t="s">
        <v>1024</v>
      </c>
      <c r="V12" s="152" t="s">
        <v>1025</v>
      </c>
      <c r="W12" s="152" t="s">
        <v>1026</v>
      </c>
      <c r="X12" s="152" t="s">
        <v>1027</v>
      </c>
      <c r="Y12" s="152" t="s">
        <v>1028</v>
      </c>
      <c r="Z12" s="153" t="s">
        <v>1029</v>
      </c>
      <c r="AA12" s="152" t="s">
        <v>1030</v>
      </c>
      <c r="AB12" s="519" t="s">
        <v>1031</v>
      </c>
      <c r="AC12" s="152" t="s">
        <v>1032</v>
      </c>
      <c r="AD12" s="152"/>
      <c r="AE12" s="152"/>
      <c r="AF12" s="152"/>
      <c r="AG12" s="152"/>
      <c r="AH12" s="153"/>
      <c r="AI12" s="150" t="s">
        <v>764</v>
      </c>
      <c r="AJ12" s="154" t="str">
        <f ca="1">IF(OFFSET($P$1,0,AJ$13)=0,0,OFFSET($P$12,0,AJ$13))</f>
        <v>Rua João M. Tosta Sobrinho Trecho 1</v>
      </c>
      <c r="AK12" s="154" t="str">
        <f t="shared" ref="AK12:BA12" ca="1" si="2">IF(OFFSET($P$1,0,AK$13)=0,0,OFFSET($P$12,0,AK$13))</f>
        <v>Rua João M. Tosta Sobrinho Trecho 2</v>
      </c>
      <c r="AL12" s="154" t="str">
        <f t="shared" ca="1" si="2"/>
        <v>Av Eneas Modesto de Oliveira</v>
      </c>
      <c r="AM12" s="154" t="str">
        <f t="shared" ca="1" si="2"/>
        <v>Travessa Castelo Branco</v>
      </c>
      <c r="AN12" s="154" t="str">
        <f t="shared" ca="1" si="2"/>
        <v>Travessa Salto Osório</v>
      </c>
      <c r="AO12" s="154" t="str">
        <f t="shared" ca="1" si="2"/>
        <v>Rua José Cividanes</v>
      </c>
      <c r="AP12" s="154" t="str">
        <f t="shared" ca="1" si="2"/>
        <v>Rua Prosperina Guimarães da Silva</v>
      </c>
      <c r="AQ12" s="154" t="str">
        <f t="shared" ca="1" si="2"/>
        <v>Av Padre Theo Hermann</v>
      </c>
      <c r="AR12" s="154" t="str">
        <f t="shared" ca="1" si="2"/>
        <v>Rua Dionisio Hernandes</v>
      </c>
      <c r="AS12" s="154" t="str">
        <f t="shared" ca="1" si="2"/>
        <v>Rua Luiz Pierini</v>
      </c>
      <c r="AT12" s="154" t="str">
        <f t="shared" ca="1" si="2"/>
        <v>Rua Joinville</v>
      </c>
      <c r="AU12" s="154" t="str">
        <f t="shared" ca="1" si="2"/>
        <v>Rua Kei Hamada</v>
      </c>
      <c r="AV12" s="154" t="str">
        <f t="shared" ca="1" si="2"/>
        <v>Rua João Morais da Silva</v>
      </c>
      <c r="AW12" s="154">
        <f t="shared" ca="1" si="2"/>
        <v>0</v>
      </c>
      <c r="AX12" s="154">
        <f t="shared" ca="1" si="2"/>
        <v>0</v>
      </c>
      <c r="AY12" s="154">
        <f t="shared" ca="1" si="2"/>
        <v>0</v>
      </c>
      <c r="AZ12" s="154">
        <f t="shared" ca="1" si="2"/>
        <v>0</v>
      </c>
      <c r="BA12" s="154">
        <f t="shared" ca="1" si="2"/>
        <v>0</v>
      </c>
      <c r="BC12" s="154" t="str">
        <f t="shared" ref="BC12:CM12" ca="1" si="3">IF(OFFSET($P$1,0,BC$13)=0,0,OFFSET($P$12,0,BC$13))</f>
        <v>Rua João M. Tosta Sobrinho Trecho 1</v>
      </c>
      <c r="BD12" s="155" t="str">
        <f t="shared" ca="1" si="3"/>
        <v>Rua João M. Tosta Sobrinho Trecho 2</v>
      </c>
      <c r="BE12" s="155" t="str">
        <f t="shared" ca="1" si="3"/>
        <v>Av Eneas Modesto de Oliveira</v>
      </c>
      <c r="BF12" s="155" t="str">
        <f t="shared" ca="1" si="3"/>
        <v>Travessa Castelo Branco</v>
      </c>
      <c r="BG12" s="155" t="str">
        <f t="shared" ca="1" si="3"/>
        <v>Travessa Salto Osório</v>
      </c>
      <c r="BH12" s="155" t="str">
        <f t="shared" ca="1" si="3"/>
        <v>Rua José Cividanes</v>
      </c>
      <c r="BI12" s="155" t="str">
        <f t="shared" ca="1" si="3"/>
        <v>Rua Prosperina Guimarães da Silva</v>
      </c>
      <c r="BJ12" s="155" t="str">
        <f t="shared" ca="1" si="3"/>
        <v>Av Padre Theo Hermann</v>
      </c>
      <c r="BK12" s="155" t="str">
        <f t="shared" ca="1" si="3"/>
        <v>Rua Dionisio Hernandes</v>
      </c>
      <c r="BL12" s="156" t="str">
        <f t="shared" ca="1" si="3"/>
        <v>Rua Luiz Pierini</v>
      </c>
      <c r="BM12" s="155" t="str">
        <f t="shared" ca="1" si="3"/>
        <v>Rua Joinville</v>
      </c>
      <c r="BN12" s="155" t="str">
        <f t="shared" ca="1" si="3"/>
        <v>Rua Kei Hamada</v>
      </c>
      <c r="BO12" s="155" t="str">
        <f t="shared" ca="1" si="3"/>
        <v>Rua João Morais da Silva</v>
      </c>
      <c r="BP12" s="155">
        <f t="shared" ca="1" si="3"/>
        <v>0</v>
      </c>
      <c r="BQ12" s="155">
        <f t="shared" ca="1" si="3"/>
        <v>0</v>
      </c>
      <c r="BR12" s="155">
        <f t="shared" ca="1" si="3"/>
        <v>0</v>
      </c>
      <c r="BS12" s="155">
        <f t="shared" ca="1" si="3"/>
        <v>0</v>
      </c>
      <c r="BT12" s="156">
        <f t="shared" ca="1" si="3"/>
        <v>0</v>
      </c>
      <c r="BV12" s="154" t="str">
        <f t="shared" ca="1" si="3"/>
        <v>Rua João M. Tosta Sobrinho Trecho 1</v>
      </c>
      <c r="BW12" s="155" t="str">
        <f t="shared" ca="1" si="3"/>
        <v>Rua João M. Tosta Sobrinho Trecho 2</v>
      </c>
      <c r="BX12" s="155" t="str">
        <f t="shared" ca="1" si="3"/>
        <v>Av Eneas Modesto de Oliveira</v>
      </c>
      <c r="BY12" s="155" t="str">
        <f t="shared" ca="1" si="3"/>
        <v>Travessa Castelo Branco</v>
      </c>
      <c r="BZ12" s="155" t="str">
        <f t="shared" ca="1" si="3"/>
        <v>Travessa Salto Osório</v>
      </c>
      <c r="CA12" s="155" t="str">
        <f t="shared" ca="1" si="3"/>
        <v>Rua José Cividanes</v>
      </c>
      <c r="CB12" s="155" t="str">
        <f t="shared" ca="1" si="3"/>
        <v>Rua Prosperina Guimarães da Silva</v>
      </c>
      <c r="CC12" s="155" t="str">
        <f t="shared" ca="1" si="3"/>
        <v>Av Padre Theo Hermann</v>
      </c>
      <c r="CD12" s="155" t="str">
        <f t="shared" ca="1" si="3"/>
        <v>Rua Dionisio Hernandes</v>
      </c>
      <c r="CE12" s="156" t="str">
        <f t="shared" ca="1" si="3"/>
        <v>Rua Luiz Pierini</v>
      </c>
      <c r="CF12" s="155" t="str">
        <f t="shared" ca="1" si="3"/>
        <v>Rua Joinville</v>
      </c>
      <c r="CG12" s="155" t="str">
        <f t="shared" ca="1" si="3"/>
        <v>Rua Kei Hamada</v>
      </c>
      <c r="CH12" s="155" t="str">
        <f t="shared" ca="1" si="3"/>
        <v>Rua João Morais da Silva</v>
      </c>
      <c r="CI12" s="155">
        <f t="shared" ca="1" si="3"/>
        <v>0</v>
      </c>
      <c r="CJ12" s="155">
        <f t="shared" ca="1" si="3"/>
        <v>0</v>
      </c>
      <c r="CK12" s="155">
        <f t="shared" ca="1" si="3"/>
        <v>0</v>
      </c>
      <c r="CL12" s="155">
        <f t="shared" ca="1" si="3"/>
        <v>0</v>
      </c>
      <c r="CM12" s="156">
        <f t="shared" ca="1" si="3"/>
        <v>0</v>
      </c>
    </row>
    <row r="13" spans="1:91" ht="12.75" customHeight="1" x14ac:dyDescent="0.2">
      <c r="A13" s="599" t="s">
        <v>771</v>
      </c>
      <c r="B13" s="7" t="s">
        <v>769</v>
      </c>
      <c r="C13" s="489" t="s">
        <v>660</v>
      </c>
      <c r="D13" s="106" t="s">
        <v>733</v>
      </c>
      <c r="E13" s="106" t="s">
        <v>735</v>
      </c>
      <c r="F13" s="106" t="s">
        <v>118</v>
      </c>
      <c r="G13" s="108" t="s">
        <v>738</v>
      </c>
      <c r="H13" s="106" t="s">
        <v>712</v>
      </c>
      <c r="I13" s="106" t="s">
        <v>772</v>
      </c>
      <c r="J13" s="521"/>
      <c r="K13" s="291" t="s">
        <v>773</v>
      </c>
      <c r="L13" s="150"/>
      <c r="M13" s="106" t="s">
        <v>774</v>
      </c>
      <c r="N13" s="106" t="s">
        <v>775</v>
      </c>
      <c r="O13" s="157" t="e">
        <f ca="1">OFFSET(O13,0,-1)+1</f>
        <v>#VALUE!</v>
      </c>
      <c r="Q13" s="158">
        <f t="shared" ref="Q13:AH13" ca="1" si="4">OFFSET(Q13,0,-1)+1</f>
        <v>1</v>
      </c>
      <c r="R13" s="157">
        <f t="shared" ca="1" si="4"/>
        <v>2</v>
      </c>
      <c r="S13" s="157">
        <f t="shared" ca="1" si="4"/>
        <v>3</v>
      </c>
      <c r="T13" s="157">
        <f t="shared" ca="1" si="4"/>
        <v>4</v>
      </c>
      <c r="U13" s="157">
        <f t="shared" ca="1" si="4"/>
        <v>5</v>
      </c>
      <c r="V13" s="157">
        <f t="shared" ca="1" si="4"/>
        <v>6</v>
      </c>
      <c r="W13" s="157">
        <f t="shared" ca="1" si="4"/>
        <v>7</v>
      </c>
      <c r="X13" s="157">
        <f t="shared" ca="1" si="4"/>
        <v>8</v>
      </c>
      <c r="Y13" s="157">
        <f t="shared" ca="1" si="4"/>
        <v>9</v>
      </c>
      <c r="Z13" s="159">
        <f t="shared" ca="1" si="4"/>
        <v>10</v>
      </c>
      <c r="AA13" s="157">
        <f t="shared" ca="1" si="4"/>
        <v>11</v>
      </c>
      <c r="AB13" s="157">
        <f t="shared" ca="1" si="4"/>
        <v>12</v>
      </c>
      <c r="AC13" s="157">
        <f t="shared" ca="1" si="4"/>
        <v>13</v>
      </c>
      <c r="AD13" s="157">
        <f t="shared" ca="1" si="4"/>
        <v>14</v>
      </c>
      <c r="AE13" s="157">
        <f t="shared" ca="1" si="4"/>
        <v>15</v>
      </c>
      <c r="AF13" s="157">
        <f t="shared" ca="1" si="4"/>
        <v>16</v>
      </c>
      <c r="AG13" s="157">
        <f t="shared" ca="1" si="4"/>
        <v>17</v>
      </c>
      <c r="AH13" s="159">
        <f t="shared" ca="1" si="4"/>
        <v>18</v>
      </c>
      <c r="AJ13" s="112">
        <f t="shared" ref="AJ13:CM13" ca="1" si="5">OFFSET(AJ13,0,-1)+1</f>
        <v>1</v>
      </c>
      <c r="AK13" s="160">
        <f t="shared" ca="1" si="5"/>
        <v>2</v>
      </c>
      <c r="AL13" s="160">
        <f t="shared" ca="1" si="5"/>
        <v>3</v>
      </c>
      <c r="AM13" s="160">
        <f t="shared" ca="1" si="5"/>
        <v>4</v>
      </c>
      <c r="AN13" s="160">
        <f t="shared" ca="1" si="5"/>
        <v>5</v>
      </c>
      <c r="AO13" s="160">
        <f t="shared" ca="1" si="5"/>
        <v>6</v>
      </c>
      <c r="AP13" s="160">
        <f t="shared" ca="1" si="5"/>
        <v>7</v>
      </c>
      <c r="AQ13" s="160">
        <f t="shared" ca="1" si="5"/>
        <v>8</v>
      </c>
      <c r="AR13" s="160">
        <f t="shared" ca="1" si="5"/>
        <v>9</v>
      </c>
      <c r="AS13" s="161">
        <f t="shared" ca="1" si="5"/>
        <v>10</v>
      </c>
      <c r="AT13" s="160">
        <f t="shared" ca="1" si="5"/>
        <v>11</v>
      </c>
      <c r="AU13" s="160">
        <f t="shared" ca="1" si="5"/>
        <v>12</v>
      </c>
      <c r="AV13" s="160">
        <f t="shared" ca="1" si="5"/>
        <v>13</v>
      </c>
      <c r="AW13" s="160">
        <f t="shared" ca="1" si="5"/>
        <v>14</v>
      </c>
      <c r="AX13" s="160">
        <f t="shared" ca="1" si="5"/>
        <v>15</v>
      </c>
      <c r="AY13" s="160">
        <f t="shared" ca="1" si="5"/>
        <v>16</v>
      </c>
      <c r="AZ13" s="160">
        <f t="shared" ca="1" si="5"/>
        <v>17</v>
      </c>
      <c r="BA13" s="161">
        <f t="shared" ca="1" si="5"/>
        <v>18</v>
      </c>
      <c r="BC13" s="112">
        <f t="shared" ca="1" si="5"/>
        <v>1</v>
      </c>
      <c r="BD13" s="160">
        <f t="shared" ca="1" si="5"/>
        <v>2</v>
      </c>
      <c r="BE13" s="160">
        <f t="shared" ca="1" si="5"/>
        <v>3</v>
      </c>
      <c r="BF13" s="160">
        <f t="shared" ca="1" si="5"/>
        <v>4</v>
      </c>
      <c r="BG13" s="160">
        <f t="shared" ca="1" si="5"/>
        <v>5</v>
      </c>
      <c r="BH13" s="160">
        <f t="shared" ca="1" si="5"/>
        <v>6</v>
      </c>
      <c r="BI13" s="160">
        <f t="shared" ca="1" si="5"/>
        <v>7</v>
      </c>
      <c r="BJ13" s="160">
        <f t="shared" ca="1" si="5"/>
        <v>8</v>
      </c>
      <c r="BK13" s="160">
        <f t="shared" ca="1" si="5"/>
        <v>9</v>
      </c>
      <c r="BL13" s="161">
        <f t="shared" ca="1" si="5"/>
        <v>10</v>
      </c>
      <c r="BM13" s="160">
        <f t="shared" ca="1" si="5"/>
        <v>11</v>
      </c>
      <c r="BN13" s="160">
        <f t="shared" ca="1" si="5"/>
        <v>12</v>
      </c>
      <c r="BO13" s="160">
        <f t="shared" ca="1" si="5"/>
        <v>13</v>
      </c>
      <c r="BP13" s="160">
        <f t="shared" ca="1" si="5"/>
        <v>14</v>
      </c>
      <c r="BQ13" s="160">
        <f t="shared" ca="1" si="5"/>
        <v>15</v>
      </c>
      <c r="BR13" s="160">
        <f t="shared" ca="1" si="5"/>
        <v>16</v>
      </c>
      <c r="BS13" s="160">
        <f t="shared" ca="1" si="5"/>
        <v>17</v>
      </c>
      <c r="BT13" s="161">
        <f t="shared" ca="1" si="5"/>
        <v>18</v>
      </c>
      <c r="BV13" s="112">
        <f t="shared" ca="1" si="5"/>
        <v>1</v>
      </c>
      <c r="BW13" s="160">
        <f t="shared" ca="1" si="5"/>
        <v>2</v>
      </c>
      <c r="BX13" s="160">
        <f t="shared" ca="1" si="5"/>
        <v>3</v>
      </c>
      <c r="BY13" s="160">
        <f t="shared" ca="1" si="5"/>
        <v>4</v>
      </c>
      <c r="BZ13" s="160">
        <f t="shared" ca="1" si="5"/>
        <v>5</v>
      </c>
      <c r="CA13" s="160">
        <f t="shared" ca="1" si="5"/>
        <v>6</v>
      </c>
      <c r="CB13" s="160">
        <f t="shared" ca="1" si="5"/>
        <v>7</v>
      </c>
      <c r="CC13" s="160">
        <f t="shared" ca="1" si="5"/>
        <v>8</v>
      </c>
      <c r="CD13" s="160">
        <f t="shared" ca="1" si="5"/>
        <v>9</v>
      </c>
      <c r="CE13" s="161">
        <f t="shared" ca="1" si="5"/>
        <v>10</v>
      </c>
      <c r="CF13" s="160">
        <f t="shared" ca="1" si="5"/>
        <v>11</v>
      </c>
      <c r="CG13" s="160">
        <f t="shared" ca="1" si="5"/>
        <v>12</v>
      </c>
      <c r="CH13" s="160">
        <f t="shared" ca="1" si="5"/>
        <v>13</v>
      </c>
      <c r="CI13" s="160">
        <f t="shared" ca="1" si="5"/>
        <v>14</v>
      </c>
      <c r="CJ13" s="160">
        <f t="shared" ca="1" si="5"/>
        <v>15</v>
      </c>
      <c r="CK13" s="160">
        <f t="shared" ca="1" si="5"/>
        <v>16</v>
      </c>
      <c r="CL13" s="160">
        <f t="shared" ca="1" si="5"/>
        <v>17</v>
      </c>
      <c r="CM13" s="161">
        <f t="shared" ca="1" si="5"/>
        <v>18</v>
      </c>
    </row>
    <row r="14" spans="1:91" ht="25.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5" t="str">
        <f ca="1">OFFSET(ORÇAMENTO!N$15,$L14,0)</f>
        <v>Meta</v>
      </c>
      <c r="E14" s="116" t="str">
        <f ca="1">OFFSET(ORÇAMENTO!O$15,$L14,0)</f>
        <v>1.</v>
      </c>
      <c r="F14" s="162" t="str">
        <f ca="1">OFFSET(ORÇAMENTO!R$15,$L14,0)</f>
        <v>RECAPEAMENTO ASFÁLTICO DE VIAS PÚBLICAS NO MÚNICIPIO DE MARIALVA/PR</v>
      </c>
      <c r="G14" s="163" t="str">
        <f ca="1">IF($D14&lt;&gt;"Serviço","",OFFSET(ORÇAMENTO!S$15,$L14,0))</f>
        <v/>
      </c>
      <c r="H14" s="121" cm="1">
        <f t="array" aca="1" ref="H14" ca="1">IF($D14&lt;&gt;"Serviço",0,IF(ACOMPANHAMENTO="BM",ROUND(OFFSET(ORÇAMENTO!AJ$15,$L14,0),15-13*ORÇAMENTO!$AF$7),IF(IFERROR(CÁLCULO.FrentesPreenchidas,0)=0,0,SUM(ROUND(OFFSET($P14,0,1,1,CÁLCULO.FrentesPreenchidas),15-13*ORÇAMENTO!$AF$7)))))</f>
        <v>0</v>
      </c>
      <c r="I14" s="467"/>
      <c r="J14" s="650" t="str" cm="1">
        <f t="array" aca="1" ref="J14" ca="1">IF(OR(B14&lt;&gt;"S",CÁLCULO.FrentesPreenchidas=0),"",IF(AND(ACOMPANHAMENTO="PLE",AUTOEVENTO="Manual",OR(H14&gt;0,ORÇAMENTO!AC14="QUANT."),OR(K14="",M14=0,N14="")),"►E",IF(AND(ACOMPANHAMENTO="PLE",ORÇAMENTO!AC14="QUANT."),"►Q",IF(AND(ACOMPANHAMENTO="PLE",H14&lt;&gt;SUMPRODUCT(($Q$1:$AI$1=1)*ROUND(Q14:AI14,15))),"►S",IF(AND(COUNTIF($P$11:$AI$11,"▼")=0,H14&gt;0,I14=""),"◄M","")))))</f>
        <v/>
      </c>
      <c r="K14" s="651"/>
      <c r="L14" s="164">
        <f ca="1">OFFSET(L14,-1,0)+1</f>
        <v>1</v>
      </c>
      <c r="M14" s="165" t="str">
        <f ca="1">IF($D14&lt;&gt;"Serviço","",
          IF(AUTOEVENTO="manual",$A14,
                IF(ISERROR(MATCH($A14,$A$15:OFFSET($A14,-1,0),0)),MAX($M$15:OFFSET(M14,-1,0))+1,
                      INDEX($M$15:OFFSET(M14,-1,0),MATCH($A14,$A$15:OFFSET($A14,-1,0),0)))))</f>
        <v/>
      </c>
      <c r="N14" s="166" t="str">
        <f ca="1">IF($D14&lt;&gt;"Serviço","",
         IF(AUTOEVENTO="Manual",
                IF($A14=0,"&lt;-- defina o número do agrupador",
                       OFFSET(EVENTOS!$D$15,$A14-$A$15,0)),
                OFFSET($F$15,$A14,0)))</f>
        <v/>
      </c>
      <c r="O14" s="167"/>
      <c r="Q14" s="167"/>
      <c r="R14" s="168"/>
      <c r="S14" s="168"/>
      <c r="T14" s="168"/>
      <c r="U14" s="168"/>
      <c r="V14" s="168"/>
      <c r="W14" s="168"/>
      <c r="X14" s="168"/>
      <c r="Y14" s="168"/>
      <c r="Z14" s="169"/>
      <c r="AA14" s="168"/>
      <c r="AB14" s="168"/>
      <c r="AC14" s="168"/>
      <c r="AD14" s="168"/>
      <c r="AE14" s="168"/>
      <c r="AF14" s="168"/>
      <c r="AG14" s="168"/>
      <c r="AH14" s="169"/>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2">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2">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2">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2">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2">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2">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2">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2">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2">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2">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2">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2">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2">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2">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2">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2">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0">
        <f ca="1">IF(OR($D14&lt;&gt;"Serviço",AND(AUTOEVENTO="Manual",$M14=$A$15)),0,
         IF(OFFSET(CRONOPLE!$F$15,$M14-$A$15,BC$13)=0,10^12,OFFSET(CRONOPLE!$F$15,$M14-$A$15,BC$13)))</f>
        <v>0</v>
      </c>
      <c r="BD14" s="170">
        <f ca="1">IF(OR($D14&lt;&gt;"Serviço",AND(AUTOEVENTO="Manual",$M14=$A$15)),0,
         IF(OFFSET(CRONOPLE!$F$15,$M14-$A$15,BD$13)=0,10^12,OFFSET(CRONOPLE!$F$15,$M14-$A$15,BD$13)))</f>
        <v>0</v>
      </c>
      <c r="BE14" s="170">
        <f ca="1">IF(OR($D14&lt;&gt;"Serviço",AND(AUTOEVENTO="Manual",$M14=$A$15)),0,
         IF(OFFSET(CRONOPLE!$F$15,$M14-$A$15,BE$13)=0,10^12,OFFSET(CRONOPLE!$F$15,$M14-$A$15,BE$13)))</f>
        <v>0</v>
      </c>
      <c r="BF14" s="170">
        <f ca="1">IF(OR($D14&lt;&gt;"Serviço",AND(AUTOEVENTO="Manual",$M14=$A$15)),0,
         IF(OFFSET(CRONOPLE!$F$15,$M14-$A$15,BF$13)=0,10^12,OFFSET(CRONOPLE!$F$15,$M14-$A$15,BF$13)))</f>
        <v>0</v>
      </c>
      <c r="BG14" s="170">
        <f ca="1">IF(OR($D14&lt;&gt;"Serviço",AND(AUTOEVENTO="Manual",$M14=$A$15)),0,
         IF(OFFSET(CRONOPLE!$F$15,$M14-$A$15,BG$13)=0,10^12,OFFSET(CRONOPLE!$F$15,$M14-$A$15,BG$13)))</f>
        <v>0</v>
      </c>
      <c r="BH14" s="170">
        <f ca="1">IF(OR($D14&lt;&gt;"Serviço",AND(AUTOEVENTO="Manual",$M14=$A$15)),0,
         IF(OFFSET(CRONOPLE!$F$15,$M14-$A$15,BH$13)=0,10^12,OFFSET(CRONOPLE!$F$15,$M14-$A$15,BH$13)))</f>
        <v>0</v>
      </c>
      <c r="BI14" s="170">
        <f ca="1">IF(OR($D14&lt;&gt;"Serviço",AND(AUTOEVENTO="Manual",$M14=$A$15)),0,
         IF(OFFSET(CRONOPLE!$F$15,$M14-$A$15,BI$13)=0,10^12,OFFSET(CRONOPLE!$F$15,$M14-$A$15,BI$13)))</f>
        <v>0</v>
      </c>
      <c r="BJ14" s="170">
        <f ca="1">IF(OR($D14&lt;&gt;"Serviço",AND(AUTOEVENTO="Manual",$M14=$A$15)),0,
         IF(OFFSET(CRONOPLE!$F$15,$M14-$A$15,BJ$13)=0,10^12,OFFSET(CRONOPLE!$F$15,$M14-$A$15,BJ$13)))</f>
        <v>0</v>
      </c>
      <c r="BK14" s="170">
        <f ca="1">IF(OR($D14&lt;&gt;"Serviço",AND(AUTOEVENTO="Manual",$M14=$A$15)),0,
         IF(OFFSET(CRONOPLE!$F$15,$M14-$A$15,BK$13)=0,10^12,OFFSET(CRONOPLE!$F$15,$M14-$A$15,BK$13)))</f>
        <v>0</v>
      </c>
      <c r="BL14" s="170">
        <f ca="1">IF(OR($D14&lt;&gt;"Serviço",AND(AUTOEVENTO="Manual",$M14=$A$15)),0,
         IF(OFFSET(CRONOPLE!$F$15,$M14-$A$15,BL$13)=0,10^12,OFFSET(CRONOPLE!$F$15,$M14-$A$15,BL$13)))</f>
        <v>0</v>
      </c>
      <c r="BM14" s="170">
        <f ca="1">IF(OR($D14&lt;&gt;"Serviço",AND(AUTOEVENTO="Manual",$M14=$A$15)),0,
         IF(OFFSET(CRONOPLE!$F$15,$M14-$A$15,BM$13)=0,10^12,OFFSET(CRONOPLE!$F$15,$M14-$A$15,BM$13)))</f>
        <v>0</v>
      </c>
      <c r="BN14" s="170">
        <f ca="1">IF(OR($D14&lt;&gt;"Serviço",AND(AUTOEVENTO="Manual",$M14=$A$15)),0,
         IF(OFFSET(CRONOPLE!$F$15,$M14-$A$15,BN$13)=0,10^12,OFFSET(CRONOPLE!$F$15,$M14-$A$15,BN$13)))</f>
        <v>0</v>
      </c>
      <c r="BO14" s="170">
        <f ca="1">IF(OR($D14&lt;&gt;"Serviço",AND(AUTOEVENTO="Manual",$M14=$A$15)),0,
         IF(OFFSET(CRONOPLE!$F$15,$M14-$A$15,BO$13)=0,10^12,OFFSET(CRONOPLE!$F$15,$M14-$A$15,BO$13)))</f>
        <v>0</v>
      </c>
      <c r="BP14" s="170">
        <f ca="1">IF(OR($D14&lt;&gt;"Serviço",AND(AUTOEVENTO="Manual",$M14=$A$15)),0,
         IF(OFFSET(CRONOPLE!$F$15,$M14-$A$15,BP$13)=0,10^12,OFFSET(CRONOPLE!$F$15,$M14-$A$15,BP$13)))</f>
        <v>0</v>
      </c>
      <c r="BQ14" s="170">
        <f ca="1">IF(OR($D14&lt;&gt;"Serviço",AND(AUTOEVENTO="Manual",$M14=$A$15)),0,
         IF(OFFSET(CRONOPLE!$F$15,$M14-$A$15,BQ$13)=0,10^12,OFFSET(CRONOPLE!$F$15,$M14-$A$15,BQ$13)))</f>
        <v>0</v>
      </c>
      <c r="BR14" s="170">
        <f ca="1">IF(OR($D14&lt;&gt;"Serviço",AND(AUTOEVENTO="Manual",$M14=$A$15)),0,
         IF(OFFSET(CRONOPLE!$F$15,$M14-$A$15,BR$13)=0,10^12,OFFSET(CRONOPLE!$F$15,$M14-$A$15,BR$13)))</f>
        <v>0</v>
      </c>
      <c r="BS14" s="170">
        <f ca="1">IF(OR($D14&lt;&gt;"Serviço",AND(AUTOEVENTO="Manual",$M14=$A$15)),0,
         IF(OFFSET(CRONOPLE!$F$15,$M14-$A$15,BS$13)=0,10^12,OFFSET(CRONOPLE!$F$15,$M14-$A$15,BS$13)))</f>
        <v>0</v>
      </c>
      <c r="BT14" s="170">
        <f ca="1">IF(OR($D14&lt;&gt;"Serviço",AND(AUTOEVENTO="Manual",$M14=$A$15)),0,
         IF(OFFSET(CRONOPLE!$F$15,$M14-$A$15,BT$13)=0,10^12,OFFSET(CRONOPLE!$F$15,$M14-$A$15,BT$13)))</f>
        <v>0</v>
      </c>
      <c r="BV14" s="171" cm="1">
        <f t="array" aca="1" ref="BV14" ca="1">IF(OR($D14&lt;&gt;"Serviço",AND(AUTOEVENTO="Manual",$M14=$A$15),$M14&gt;(ROW(PLE.lastrow)-ROW(PLE.firstrow))),0,
           IF(OFFSET(PLE!$G$15,$M14-$A$15,BV$13)="",10^12,OFFSET(PLE!$G$15,$M14-$A$15,BV$13)))</f>
        <v>0</v>
      </c>
      <c r="BW14" s="171" cm="1">
        <f t="array" aca="1" ref="BW14" ca="1">IF(OR($D14&lt;&gt;"Serviço",AND(AUTOEVENTO="Manual",$M14=$A$15),$M14&gt;(ROW(PLE.lastrow)-ROW(PLE.firstrow))),0,
           IF(OFFSET(PLE!$G$15,$M14-$A$15,BW$13)="",10^12,OFFSET(PLE!$G$15,$M14-$A$15,BW$13)))</f>
        <v>0</v>
      </c>
      <c r="BX14" s="171" cm="1">
        <f t="array" aca="1" ref="BX14" ca="1">IF(OR($D14&lt;&gt;"Serviço",AND(AUTOEVENTO="Manual",$M14=$A$15),$M14&gt;(ROW(PLE.lastrow)-ROW(PLE.firstrow))),0,
           IF(OFFSET(PLE!$G$15,$M14-$A$15,BX$13)="",10^12,OFFSET(PLE!$G$15,$M14-$A$15,BX$13)))</f>
        <v>0</v>
      </c>
      <c r="BY14" s="171" cm="1">
        <f t="array" aca="1" ref="BY14" ca="1">IF(OR($D14&lt;&gt;"Serviço",AND(AUTOEVENTO="Manual",$M14=$A$15),$M14&gt;(ROW(PLE.lastrow)-ROW(PLE.firstrow))),0,
           IF(OFFSET(PLE!$G$15,$M14-$A$15,BY$13)="",10^12,OFFSET(PLE!$G$15,$M14-$A$15,BY$13)))</f>
        <v>0</v>
      </c>
      <c r="BZ14" s="171" cm="1">
        <f t="array" aca="1" ref="BZ14" ca="1">IF(OR($D14&lt;&gt;"Serviço",AND(AUTOEVENTO="Manual",$M14=$A$15),$M14&gt;(ROW(PLE.lastrow)-ROW(PLE.firstrow))),0,
           IF(OFFSET(PLE!$G$15,$M14-$A$15,BZ$13)="",10^12,OFFSET(PLE!$G$15,$M14-$A$15,BZ$13)))</f>
        <v>0</v>
      </c>
      <c r="CA14" s="171" cm="1">
        <f t="array" aca="1" ref="CA14" ca="1">IF(OR($D14&lt;&gt;"Serviço",AND(AUTOEVENTO="Manual",$M14=$A$15),$M14&gt;(ROW(PLE.lastrow)-ROW(PLE.firstrow))),0,
           IF(OFFSET(PLE!$G$15,$M14-$A$15,CA$13)="",10^12,OFFSET(PLE!$G$15,$M14-$A$15,CA$13)))</f>
        <v>0</v>
      </c>
      <c r="CB14" s="171" cm="1">
        <f t="array" aca="1" ref="CB14" ca="1">IF(OR($D14&lt;&gt;"Serviço",AND(AUTOEVENTO="Manual",$M14=$A$15),$M14&gt;(ROW(PLE.lastrow)-ROW(PLE.firstrow))),0,
           IF(OFFSET(PLE!$G$15,$M14-$A$15,CB$13)="",10^12,OFFSET(PLE!$G$15,$M14-$A$15,CB$13)))</f>
        <v>0</v>
      </c>
      <c r="CC14" s="171" cm="1">
        <f t="array" aca="1" ref="CC14" ca="1">IF(OR($D14&lt;&gt;"Serviço",AND(AUTOEVENTO="Manual",$M14=$A$15),$M14&gt;(ROW(PLE.lastrow)-ROW(PLE.firstrow))),0,
           IF(OFFSET(PLE!$G$15,$M14-$A$15,CC$13)="",10^12,OFFSET(PLE!$G$15,$M14-$A$15,CC$13)))</f>
        <v>0</v>
      </c>
      <c r="CD14" s="171" cm="1">
        <f t="array" aca="1" ref="CD14" ca="1">IF(OR($D14&lt;&gt;"Serviço",AND(AUTOEVENTO="Manual",$M14=$A$15),$M14&gt;(ROW(PLE.lastrow)-ROW(PLE.firstrow))),0,
           IF(OFFSET(PLE!$G$15,$M14-$A$15,CD$13)="",10^12,OFFSET(PLE!$G$15,$M14-$A$15,CD$13)))</f>
        <v>0</v>
      </c>
      <c r="CE14" s="171" cm="1">
        <f t="array" aca="1" ref="CE14" ca="1">IF(OR($D14&lt;&gt;"Serviço",AND(AUTOEVENTO="Manual",$M14=$A$15),$M14&gt;(ROW(PLE.lastrow)-ROW(PLE.firstrow))),0,
           IF(OFFSET(PLE!$G$15,$M14-$A$15,CE$13)="",10^12,OFFSET(PLE!$G$15,$M14-$A$15,CE$13)))</f>
        <v>0</v>
      </c>
      <c r="CF14" s="171" cm="1">
        <f t="array" aca="1" ref="CF14" ca="1">IF(OR($D14&lt;&gt;"Serviço",AND(AUTOEVENTO="Manual",$M14=$A$15),$M14&gt;(ROW(PLE.lastrow)-ROW(PLE.firstrow))),0,
           IF(OFFSET(PLE!$G$15,$M14-$A$15,CF$13)="",10^12,OFFSET(PLE!$G$15,$M14-$A$15,CF$13)))</f>
        <v>0</v>
      </c>
      <c r="CG14" s="171" cm="1">
        <f t="array" aca="1" ref="CG14" ca="1">IF(OR($D14&lt;&gt;"Serviço",AND(AUTOEVENTO="Manual",$M14=$A$15),$M14&gt;(ROW(PLE.lastrow)-ROW(PLE.firstrow))),0,
           IF(OFFSET(PLE!$G$15,$M14-$A$15,CG$13)="",10^12,OFFSET(PLE!$G$15,$M14-$A$15,CG$13)))</f>
        <v>0</v>
      </c>
      <c r="CH14" s="171" cm="1">
        <f t="array" aca="1" ref="CH14" ca="1">IF(OR($D14&lt;&gt;"Serviço",AND(AUTOEVENTO="Manual",$M14=$A$15),$M14&gt;(ROW(PLE.lastrow)-ROW(PLE.firstrow))),0,
           IF(OFFSET(PLE!$G$15,$M14-$A$15,CH$13)="",10^12,OFFSET(PLE!$G$15,$M14-$A$15,CH$13)))</f>
        <v>0</v>
      </c>
      <c r="CI14" s="171" cm="1">
        <f t="array" aca="1" ref="CI14" ca="1">IF(OR($D14&lt;&gt;"Serviço",AND(AUTOEVENTO="Manual",$M14=$A$15),$M14&gt;(ROW(PLE.lastrow)-ROW(PLE.firstrow))),0,
           IF(OFFSET(PLE!$G$15,$M14-$A$15,CI$13)="",10^12,OFFSET(PLE!$G$15,$M14-$A$15,CI$13)))</f>
        <v>0</v>
      </c>
      <c r="CJ14" s="171" cm="1">
        <f t="array" aca="1" ref="CJ14" ca="1">IF(OR($D14&lt;&gt;"Serviço",AND(AUTOEVENTO="Manual",$M14=$A$15),$M14&gt;(ROW(PLE.lastrow)-ROW(PLE.firstrow))),0,
           IF(OFFSET(PLE!$G$15,$M14-$A$15,CJ$13)="",10^12,OFFSET(PLE!$G$15,$M14-$A$15,CJ$13)))</f>
        <v>0</v>
      </c>
      <c r="CK14" s="171" cm="1">
        <f t="array" aca="1" ref="CK14" ca="1">IF(OR($D14&lt;&gt;"Serviço",AND(AUTOEVENTO="Manual",$M14=$A$15),$M14&gt;(ROW(PLE.lastrow)-ROW(PLE.firstrow))),0,
           IF(OFFSET(PLE!$G$15,$M14-$A$15,CK$13)="",10^12,OFFSET(PLE!$G$15,$M14-$A$15,CK$13)))</f>
        <v>0</v>
      </c>
      <c r="CL14" s="171" cm="1">
        <f t="array" aca="1" ref="CL14" ca="1">IF(OR($D14&lt;&gt;"Serviço",AND(AUTOEVENTO="Manual",$M14=$A$15),$M14&gt;(ROW(PLE.lastrow)-ROW(PLE.firstrow))),0,
           IF(OFFSET(PLE!$G$15,$M14-$A$15,CL$13)="",10^12,OFFSET(PLE!$G$15,$M14-$A$15,CL$13)))</f>
        <v>0</v>
      </c>
      <c r="CM14" s="171" cm="1">
        <f t="array" aca="1" ref="CM14" ca="1">IF(OR($D14&lt;&gt;"Serviço",AND(AUTOEVENTO="Manual",$M14=$A$15),$M14&gt;(ROW(PLE.lastrow)-ROW(PLE.firstrow))),0,
           IF(OFFSET(PLE!$G$15,$M14-$A$15,CM$13)="",10^12,OFFSET(PLE!$G$15,$M14-$A$15,CM$13)))</f>
        <v>0</v>
      </c>
    </row>
    <row r="15" spans="1:91" ht="12.75" customHeight="1" x14ac:dyDescent="0.2">
      <c r="A15" s="652" cm="1">
        <f t="array" ref="A15">IF(AdmLocal="Automática",1,0)</f>
        <v>0</v>
      </c>
      <c r="B15" s="7" t="str">
        <f ca="1">OFFSET(ORÇAMENTO!C$15,ROW(B15)-ROW(B$15),0)</f>
        <v>L</v>
      </c>
      <c r="C15" s="7" t="str">
        <f ca="1">OFFSET(ORÇAMENTO!L$15,ROW(C15)-ROW(C$15),0)</f>
        <v>F</v>
      </c>
      <c r="D15" s="129" t="str" cm="1">
        <f t="array" ref="D15">IF(TIPOORCAMENTO="LICITADO","CTEF","LOTE")</f>
        <v>LOTE</v>
      </c>
      <c r="E15" s="735" t="str">
        <f>Import.DescLote</f>
        <v>RECAPEAMENTO ASFÁLTICO DE VIAS PÚBLICAS NO MÚNICIPIO DE MARIALVA/PR</v>
      </c>
      <c r="F15" s="735"/>
      <c r="G15" s="735"/>
      <c r="H15" s="735"/>
      <c r="I15" s="468"/>
      <c r="J15" s="521"/>
      <c r="K15" s="632"/>
      <c r="L15" s="164">
        <v>0</v>
      </c>
      <c r="M15" s="567">
        <v>0</v>
      </c>
      <c r="N15" s="172" t="s">
        <v>776</v>
      </c>
      <c r="O15" s="173" t="e">
        <f ca="1">OFFSET($AI$15,0,O$13)</f>
        <v>#VALUE!</v>
      </c>
      <c r="Q15" s="174">
        <f t="shared" ref="Q15:Z15" ca="1" si="6">OFFSET($AI$15,0,Q$13)</f>
        <v>59526.62</v>
      </c>
      <c r="R15" s="173">
        <f t="shared" ca="1" si="6"/>
        <v>347449.63</v>
      </c>
      <c r="S15" s="173">
        <f t="shared" ca="1" si="6"/>
        <v>116462.05</v>
      </c>
      <c r="T15" s="173">
        <f t="shared" ca="1" si="6"/>
        <v>60093.75</v>
      </c>
      <c r="U15" s="173">
        <f t="shared" ca="1" si="6"/>
        <v>69444.76999999999</v>
      </c>
      <c r="V15" s="173">
        <f t="shared" ca="1" si="6"/>
        <v>92186.819999999992</v>
      </c>
      <c r="W15" s="173">
        <f t="shared" ca="1" si="6"/>
        <v>456550.28</v>
      </c>
      <c r="X15" s="173">
        <f t="shared" ca="1" si="6"/>
        <v>434665.52999999997</v>
      </c>
      <c r="Y15" s="173">
        <f t="shared" ca="1" si="6"/>
        <v>143832.85</v>
      </c>
      <c r="Z15" s="175">
        <f t="shared" ca="1" si="6"/>
        <v>29274.510000000002</v>
      </c>
      <c r="AA15" s="173">
        <f t="shared" ref="AA15:AH15" ca="1" si="7">OFFSET($AI$15,0,AA$13)</f>
        <v>293013.22000000009</v>
      </c>
      <c r="AB15" s="173">
        <f t="shared" ca="1" si="7"/>
        <v>832312.94</v>
      </c>
      <c r="AC15" s="173">
        <f t="shared" ca="1" si="7"/>
        <v>157140.07</v>
      </c>
      <c r="AD15" s="173">
        <f t="shared" ca="1" si="7"/>
        <v>0</v>
      </c>
      <c r="AE15" s="173">
        <f t="shared" ca="1" si="7"/>
        <v>0</v>
      </c>
      <c r="AF15" s="173">
        <f t="shared" ca="1" si="7"/>
        <v>0</v>
      </c>
      <c r="AG15" s="173">
        <f t="shared" ca="1" si="7"/>
        <v>0</v>
      </c>
      <c r="AH15" s="175">
        <f t="shared" ca="1" si="7"/>
        <v>0</v>
      </c>
      <c r="AJ15" s="176">
        <f ca="1">ROUND(SUM(OFFSET(AJ$15,1,0):AJ$35),2)</f>
        <v>59526.62</v>
      </c>
      <c r="AK15" s="176">
        <f ca="1">SUM(OFFSET(AK$15,1,0):AK$35)</f>
        <v>347449.63</v>
      </c>
      <c r="AL15" s="176">
        <f ca="1">SUM(OFFSET(AL$15,1,0):AL$35)</f>
        <v>116462.05</v>
      </c>
      <c r="AM15" s="176">
        <f ca="1">SUM(OFFSET(AM$15,1,0):AM$35)</f>
        <v>60093.75</v>
      </c>
      <c r="AN15" s="176">
        <f ca="1">SUM(OFFSET(AN$15,1,0):AN$35)</f>
        <v>69444.76999999999</v>
      </c>
      <c r="AO15" s="176">
        <f ca="1">SUM(OFFSET(AO$15,1,0):AO$35)</f>
        <v>92186.819999999992</v>
      </c>
      <c r="AP15" s="176">
        <f ca="1">SUM(OFFSET(AP$15,1,0):AP$35)</f>
        <v>456550.28</v>
      </c>
      <c r="AQ15" s="176">
        <f ca="1">SUM(OFFSET(AQ$15,1,0):AQ$35)</f>
        <v>434665.52999999997</v>
      </c>
      <c r="AR15" s="176">
        <f ca="1">SUM(OFFSET(AR$15,1,0):AR$35)</f>
        <v>143832.85</v>
      </c>
      <c r="AS15" s="176">
        <f ca="1">SUM(OFFSET(AS$15,1,0):AS$35)</f>
        <v>29274.510000000002</v>
      </c>
      <c r="AT15" s="176">
        <f ca="1">SUM(OFFSET(AT$15,1,0):AT$35)</f>
        <v>293013.22000000009</v>
      </c>
      <c r="AU15" s="176">
        <f ca="1">SUM(OFFSET(AU$15,1,0):AU$35)</f>
        <v>832312.94</v>
      </c>
      <c r="AV15" s="176">
        <f ca="1">SUM(OFFSET(AV$15,1,0):AV$35)</f>
        <v>157140.07</v>
      </c>
      <c r="AW15" s="176">
        <f ca="1">SUM(OFFSET(AW$15,1,0):AW$35)</f>
        <v>0</v>
      </c>
      <c r="AX15" s="176">
        <f ca="1">SUM(OFFSET(AX$15,1,0):AX$35)</f>
        <v>0</v>
      </c>
      <c r="AY15" s="176">
        <f ca="1">SUM(OFFSET(AY$15,1,0):AY$35)</f>
        <v>0</v>
      </c>
      <c r="AZ15" s="176">
        <f ca="1">SUM(OFFSET(AZ$15,1,0):AZ$35)</f>
        <v>0</v>
      </c>
      <c r="BA15" s="176">
        <f ca="1">SUM(OFFSET(BA$15,1,0):BA$35)</f>
        <v>0</v>
      </c>
      <c r="BC15" s="177">
        <f>10^12</f>
        <v>1000000000000</v>
      </c>
      <c r="BD15" s="177">
        <f t="shared" ref="BD15:BT15" si="8">10^12</f>
        <v>1000000000000</v>
      </c>
      <c r="BE15" s="177">
        <f t="shared" si="8"/>
        <v>1000000000000</v>
      </c>
      <c r="BF15" s="177">
        <f t="shared" si="8"/>
        <v>1000000000000</v>
      </c>
      <c r="BG15" s="177">
        <f t="shared" si="8"/>
        <v>1000000000000</v>
      </c>
      <c r="BH15" s="177">
        <f t="shared" si="8"/>
        <v>1000000000000</v>
      </c>
      <c r="BI15" s="177">
        <f t="shared" si="8"/>
        <v>1000000000000</v>
      </c>
      <c r="BJ15" s="177">
        <f t="shared" si="8"/>
        <v>1000000000000</v>
      </c>
      <c r="BK15" s="177">
        <f t="shared" si="8"/>
        <v>1000000000000</v>
      </c>
      <c r="BL15" s="177">
        <f t="shared" si="8"/>
        <v>1000000000000</v>
      </c>
      <c r="BM15" s="177">
        <f t="shared" si="8"/>
        <v>1000000000000</v>
      </c>
      <c r="BN15" s="177">
        <f t="shared" si="8"/>
        <v>1000000000000</v>
      </c>
      <c r="BO15" s="177">
        <f t="shared" si="8"/>
        <v>1000000000000</v>
      </c>
      <c r="BP15" s="177">
        <f t="shared" si="8"/>
        <v>1000000000000</v>
      </c>
      <c r="BQ15" s="177">
        <f t="shared" si="8"/>
        <v>1000000000000</v>
      </c>
      <c r="BR15" s="177">
        <f t="shared" si="8"/>
        <v>1000000000000</v>
      </c>
      <c r="BS15" s="177">
        <f t="shared" si="8"/>
        <v>1000000000000</v>
      </c>
      <c r="BT15" s="177">
        <f t="shared" si="8"/>
        <v>1000000000000</v>
      </c>
      <c r="BV15" s="177">
        <f t="shared" ref="BV15:CM15" si="9">10^12</f>
        <v>1000000000000</v>
      </c>
      <c r="BW15" s="177">
        <f t="shared" si="9"/>
        <v>1000000000000</v>
      </c>
      <c r="BX15" s="177">
        <f t="shared" si="9"/>
        <v>1000000000000</v>
      </c>
      <c r="BY15" s="177">
        <f t="shared" si="9"/>
        <v>1000000000000</v>
      </c>
      <c r="BZ15" s="177">
        <f t="shared" si="9"/>
        <v>1000000000000</v>
      </c>
      <c r="CA15" s="177">
        <f t="shared" si="9"/>
        <v>1000000000000</v>
      </c>
      <c r="CB15" s="177">
        <f t="shared" si="9"/>
        <v>1000000000000</v>
      </c>
      <c r="CC15" s="177">
        <f t="shared" si="9"/>
        <v>1000000000000</v>
      </c>
      <c r="CD15" s="177">
        <f t="shared" si="9"/>
        <v>1000000000000</v>
      </c>
      <c r="CE15" s="177">
        <f t="shared" si="9"/>
        <v>1000000000000</v>
      </c>
      <c r="CF15" s="177">
        <f t="shared" si="9"/>
        <v>1000000000000</v>
      </c>
      <c r="CG15" s="177">
        <f t="shared" si="9"/>
        <v>1000000000000</v>
      </c>
      <c r="CH15" s="177">
        <f t="shared" si="9"/>
        <v>1000000000000</v>
      </c>
      <c r="CI15" s="177">
        <f t="shared" si="9"/>
        <v>1000000000000</v>
      </c>
      <c r="CJ15" s="177">
        <f t="shared" si="9"/>
        <v>1000000000000</v>
      </c>
      <c r="CK15" s="177">
        <f t="shared" si="9"/>
        <v>1000000000000</v>
      </c>
      <c r="CL15" s="177">
        <f t="shared" si="9"/>
        <v>1000000000000</v>
      </c>
      <c r="CM15" s="177">
        <f t="shared" si="9"/>
        <v>1000000000000</v>
      </c>
    </row>
    <row r="16" spans="1:91" ht="25.5" x14ac:dyDescent="0.2">
      <c r="A16" s="7" t="str">
        <f t="shared" ref="A16:A34" ca="1" si="10">IFERROR(IF(AUTOEVENTO="Manual",IF(K16&lt;&gt;"",MIN(VALUE(LEFT(K16,FIND(".",K16)-1)),COUNTA(EVENTOS.Lista)),0),IF(OR($B16&gt;AUTOEVENTO,$B16="S",$B16=0),SUBSTITUTE(OFFSET($A16,-1,0),IF($D16="Serviço",".",""),""),$L16&amp;".")),0)</f>
        <v>1.</v>
      </c>
      <c r="B16" s="7">
        <f ca="1">OFFSET(ORÇAMENTO!C$15,$L16,0)</f>
        <v>1</v>
      </c>
      <c r="C16" s="7" t="str">
        <f ca="1">OFFSET(ORÇAMENTO!L$15,$L16,0)</f>
        <v>F</v>
      </c>
      <c r="D16" s="115" t="str">
        <f ca="1">OFFSET(ORÇAMENTO!N$15,$L16,0)</f>
        <v>Meta</v>
      </c>
      <c r="E16" s="116" t="str">
        <f ca="1">OFFSET(ORÇAMENTO!O$15,$L16,0)</f>
        <v>1.</v>
      </c>
      <c r="F16" s="162" t="str">
        <f ca="1">OFFSET(ORÇAMENTO!R$15,$L16,0)</f>
        <v>RECAPEAMENTO ASFÁLTICO DE VIAS PÚBLICAS NO MÚNICIPIO DE MARIALVA/PR</v>
      </c>
      <c r="G16" s="163" t="str">
        <f ca="1">IF($D16&lt;&gt;"Serviço","",OFFSET(ORÇAMENTO!S$15,$L16,0))</f>
        <v/>
      </c>
      <c r="H16" s="121" cm="1">
        <f t="array" aca="1" ref="H16" ca="1">IF($D16&lt;&gt;"Serviço",0,IF(ACOMPANHAMENTO="BM",ROUND(OFFSET(ORÇAMENTO!AJ$15,$L16,0),15-13*ORÇAMENTO!$AF$7),IF(IFERROR(CÁLCULO.FrentesPreenchidas,0)=0,0,SUM(ROUND(OFFSET($P16,0,1,1,CÁLCULO.FrentesPreenchidas),15-13*ORÇAMENTO!$AF$7)))))</f>
        <v>0</v>
      </c>
      <c r="I16" s="467"/>
      <c r="J16" s="650" t="str" cm="1">
        <f t="array" aca="1" ref="J16" ca="1">IF(OR(B16&lt;&gt;"S",CÁLCULO.FrentesPreenchidas=0),"",IF(AND(ACOMPANHAMENTO="PLE",AUTOEVENTO="Manual",OR(H16&gt;0,ORÇAMENTO!AC16="QUANT."),OR(K16="",M16=0,N16="")),"►E",IF(AND(ACOMPANHAMENTO="PLE",ORÇAMENTO!AC16="QUANT."),"►Q",IF(AND(ACOMPANHAMENTO="PLE",H16&lt;&gt;SUMPRODUCT(($Q$1:$AI$1=1)*ROUND(Q16:AI16,15))),"►S",IF(AND(COUNTIF($P$11:$AI$11,"▼")=0,H16&gt;0,I16=""),"◄M","")))))</f>
        <v/>
      </c>
      <c r="K16" s="651"/>
      <c r="L16" s="164">
        <f t="shared" ref="L16:L34" ca="1" si="11">OFFSET(L16,-1,0)+1</f>
        <v>1</v>
      </c>
      <c r="M16" s="165" t="str">
        <f ca="1">IF($D16&lt;&gt;"Serviço","",
          IF(AUTOEVENTO="manual",$A16,
                IF(ISERROR(MATCH($A16,$A$15:OFFSET($A16,-1,0),0)),MAX($M$15:OFFSET(M16,-1,0))+1,
                      INDEX($M$15:OFFSET(M16,-1,0),MATCH($A16,$A$15:OFFSET($A16,-1,0),0)))))</f>
        <v/>
      </c>
      <c r="N16" s="166" t="str">
        <f ca="1">IF($D16&lt;&gt;"Serviço","",
         IF(AUTOEVENTO="Manual",
                IF($A16=0,"&lt;-- defina o número do agrupador",
                       OFFSET(EVENTOS!$D$15,$A16-$A$15,0)),
                OFFSET($F$15,$A16,0)))</f>
        <v/>
      </c>
      <c r="O16" s="167"/>
      <c r="Q16" s="167"/>
      <c r="R16" s="168"/>
      <c r="S16" s="168"/>
      <c r="T16" s="168"/>
      <c r="U16" s="168"/>
      <c r="V16" s="168"/>
      <c r="W16" s="168"/>
      <c r="X16" s="168"/>
      <c r="Y16" s="168"/>
      <c r="Z16" s="169"/>
      <c r="AA16" s="168"/>
      <c r="AB16" s="168"/>
      <c r="AC16" s="168"/>
      <c r="AD16" s="168"/>
      <c r="AE16" s="168"/>
      <c r="AF16" s="168"/>
      <c r="AG16" s="168"/>
      <c r="AH16" s="169"/>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2">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2">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2">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2">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2">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2">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2">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2">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2">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2">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2">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2">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2">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2">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2">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2">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0">
        <f ca="1">IF(OR($D16&lt;&gt;"Serviço",AND(AUTOEVENTO="Manual",$M16=$A$15)),0,
         IF(OFFSET(CRONOPLE!$F$15,$M16-$A$15,BC$13)=0,10^12,OFFSET(CRONOPLE!$F$15,$M16-$A$15,BC$13)))</f>
        <v>0</v>
      </c>
      <c r="BD16" s="170">
        <f ca="1">IF(OR($D16&lt;&gt;"Serviço",AND(AUTOEVENTO="Manual",$M16=$A$15)),0,
         IF(OFFSET(CRONOPLE!$F$15,$M16-$A$15,BD$13)=0,10^12,OFFSET(CRONOPLE!$F$15,$M16-$A$15,BD$13)))</f>
        <v>0</v>
      </c>
      <c r="BE16" s="170">
        <f ca="1">IF(OR($D16&lt;&gt;"Serviço",AND(AUTOEVENTO="Manual",$M16=$A$15)),0,
         IF(OFFSET(CRONOPLE!$F$15,$M16-$A$15,BE$13)=0,10^12,OFFSET(CRONOPLE!$F$15,$M16-$A$15,BE$13)))</f>
        <v>0</v>
      </c>
      <c r="BF16" s="170">
        <f ca="1">IF(OR($D16&lt;&gt;"Serviço",AND(AUTOEVENTO="Manual",$M16=$A$15)),0,
         IF(OFFSET(CRONOPLE!$F$15,$M16-$A$15,BF$13)=0,10^12,OFFSET(CRONOPLE!$F$15,$M16-$A$15,BF$13)))</f>
        <v>0</v>
      </c>
      <c r="BG16" s="170">
        <f ca="1">IF(OR($D16&lt;&gt;"Serviço",AND(AUTOEVENTO="Manual",$M16=$A$15)),0,
         IF(OFFSET(CRONOPLE!$F$15,$M16-$A$15,BG$13)=0,10^12,OFFSET(CRONOPLE!$F$15,$M16-$A$15,BG$13)))</f>
        <v>0</v>
      </c>
      <c r="BH16" s="170">
        <f ca="1">IF(OR($D16&lt;&gt;"Serviço",AND(AUTOEVENTO="Manual",$M16=$A$15)),0,
         IF(OFFSET(CRONOPLE!$F$15,$M16-$A$15,BH$13)=0,10^12,OFFSET(CRONOPLE!$F$15,$M16-$A$15,BH$13)))</f>
        <v>0</v>
      </c>
      <c r="BI16" s="170">
        <f ca="1">IF(OR($D16&lt;&gt;"Serviço",AND(AUTOEVENTO="Manual",$M16=$A$15)),0,
         IF(OFFSET(CRONOPLE!$F$15,$M16-$A$15,BI$13)=0,10^12,OFFSET(CRONOPLE!$F$15,$M16-$A$15,BI$13)))</f>
        <v>0</v>
      </c>
      <c r="BJ16" s="170">
        <f ca="1">IF(OR($D16&lt;&gt;"Serviço",AND(AUTOEVENTO="Manual",$M16=$A$15)),0,
         IF(OFFSET(CRONOPLE!$F$15,$M16-$A$15,BJ$13)=0,10^12,OFFSET(CRONOPLE!$F$15,$M16-$A$15,BJ$13)))</f>
        <v>0</v>
      </c>
      <c r="BK16" s="170">
        <f ca="1">IF(OR($D16&lt;&gt;"Serviço",AND(AUTOEVENTO="Manual",$M16=$A$15)),0,
         IF(OFFSET(CRONOPLE!$F$15,$M16-$A$15,BK$13)=0,10^12,OFFSET(CRONOPLE!$F$15,$M16-$A$15,BK$13)))</f>
        <v>0</v>
      </c>
      <c r="BL16" s="170">
        <f ca="1">IF(OR($D16&lt;&gt;"Serviço",AND(AUTOEVENTO="Manual",$M16=$A$15)),0,
         IF(OFFSET(CRONOPLE!$F$15,$M16-$A$15,BL$13)=0,10^12,OFFSET(CRONOPLE!$F$15,$M16-$A$15,BL$13)))</f>
        <v>0</v>
      </c>
      <c r="BM16" s="170">
        <f ca="1">IF(OR($D16&lt;&gt;"Serviço",AND(AUTOEVENTO="Manual",$M16=$A$15)),0,
         IF(OFFSET(CRONOPLE!$F$15,$M16-$A$15,BM$13)=0,10^12,OFFSET(CRONOPLE!$F$15,$M16-$A$15,BM$13)))</f>
        <v>0</v>
      </c>
      <c r="BN16" s="170">
        <f ca="1">IF(OR($D16&lt;&gt;"Serviço",AND(AUTOEVENTO="Manual",$M16=$A$15)),0,
         IF(OFFSET(CRONOPLE!$F$15,$M16-$A$15,BN$13)=0,10^12,OFFSET(CRONOPLE!$F$15,$M16-$A$15,BN$13)))</f>
        <v>0</v>
      </c>
      <c r="BO16" s="170">
        <f ca="1">IF(OR($D16&lt;&gt;"Serviço",AND(AUTOEVENTO="Manual",$M16=$A$15)),0,
         IF(OFFSET(CRONOPLE!$F$15,$M16-$A$15,BO$13)=0,10^12,OFFSET(CRONOPLE!$F$15,$M16-$A$15,BO$13)))</f>
        <v>0</v>
      </c>
      <c r="BP16" s="170">
        <f ca="1">IF(OR($D16&lt;&gt;"Serviço",AND(AUTOEVENTO="Manual",$M16=$A$15)),0,
         IF(OFFSET(CRONOPLE!$F$15,$M16-$A$15,BP$13)=0,10^12,OFFSET(CRONOPLE!$F$15,$M16-$A$15,BP$13)))</f>
        <v>0</v>
      </c>
      <c r="BQ16" s="170">
        <f ca="1">IF(OR($D16&lt;&gt;"Serviço",AND(AUTOEVENTO="Manual",$M16=$A$15)),0,
         IF(OFFSET(CRONOPLE!$F$15,$M16-$A$15,BQ$13)=0,10^12,OFFSET(CRONOPLE!$F$15,$M16-$A$15,BQ$13)))</f>
        <v>0</v>
      </c>
      <c r="BR16" s="170">
        <f ca="1">IF(OR($D16&lt;&gt;"Serviço",AND(AUTOEVENTO="Manual",$M16=$A$15)),0,
         IF(OFFSET(CRONOPLE!$F$15,$M16-$A$15,BR$13)=0,10^12,OFFSET(CRONOPLE!$F$15,$M16-$A$15,BR$13)))</f>
        <v>0</v>
      </c>
      <c r="BS16" s="170">
        <f ca="1">IF(OR($D16&lt;&gt;"Serviço",AND(AUTOEVENTO="Manual",$M16=$A$15)),0,
         IF(OFFSET(CRONOPLE!$F$15,$M16-$A$15,BS$13)=0,10^12,OFFSET(CRONOPLE!$F$15,$M16-$A$15,BS$13)))</f>
        <v>0</v>
      </c>
      <c r="BT16" s="170">
        <f ca="1">IF(OR($D16&lt;&gt;"Serviço",AND(AUTOEVENTO="Manual",$M16=$A$15)),0,
         IF(OFFSET(CRONOPLE!$F$15,$M16-$A$15,BT$13)=0,10^12,OFFSET(CRONOPLE!$F$15,$M16-$A$15,BT$13)))</f>
        <v>0</v>
      </c>
      <c r="BV16" s="171" cm="1">
        <f t="array" aca="1" ref="BV16" ca="1">IF(OR($D16&lt;&gt;"Serviço",AND(AUTOEVENTO="Manual",$M16=$A$15),$M16&gt;(ROW(PLE.lastrow)-ROW(PLE.firstrow))),0,
           IF(OFFSET(PLE!$G$15,$M16-$A$15,BV$13)="",10^12,OFFSET(PLE!$G$15,$M16-$A$15,BV$13)))</f>
        <v>0</v>
      </c>
      <c r="BW16" s="171" cm="1">
        <f t="array" aca="1" ref="BW16" ca="1">IF(OR($D16&lt;&gt;"Serviço",AND(AUTOEVENTO="Manual",$M16=$A$15),$M16&gt;(ROW(PLE.lastrow)-ROW(PLE.firstrow))),0,
           IF(OFFSET(PLE!$G$15,$M16-$A$15,BW$13)="",10^12,OFFSET(PLE!$G$15,$M16-$A$15,BW$13)))</f>
        <v>0</v>
      </c>
      <c r="BX16" s="171" cm="1">
        <f t="array" aca="1" ref="BX16" ca="1">IF(OR($D16&lt;&gt;"Serviço",AND(AUTOEVENTO="Manual",$M16=$A$15),$M16&gt;(ROW(PLE.lastrow)-ROW(PLE.firstrow))),0,
           IF(OFFSET(PLE!$G$15,$M16-$A$15,BX$13)="",10^12,OFFSET(PLE!$G$15,$M16-$A$15,BX$13)))</f>
        <v>0</v>
      </c>
      <c r="BY16" s="171" cm="1">
        <f t="array" aca="1" ref="BY16" ca="1">IF(OR($D16&lt;&gt;"Serviço",AND(AUTOEVENTO="Manual",$M16=$A$15),$M16&gt;(ROW(PLE.lastrow)-ROW(PLE.firstrow))),0,
           IF(OFFSET(PLE!$G$15,$M16-$A$15,BY$13)="",10^12,OFFSET(PLE!$G$15,$M16-$A$15,BY$13)))</f>
        <v>0</v>
      </c>
      <c r="BZ16" s="171" cm="1">
        <f t="array" aca="1" ref="BZ16" ca="1">IF(OR($D16&lt;&gt;"Serviço",AND(AUTOEVENTO="Manual",$M16=$A$15),$M16&gt;(ROW(PLE.lastrow)-ROW(PLE.firstrow))),0,
           IF(OFFSET(PLE!$G$15,$M16-$A$15,BZ$13)="",10^12,OFFSET(PLE!$G$15,$M16-$A$15,BZ$13)))</f>
        <v>0</v>
      </c>
      <c r="CA16" s="171" cm="1">
        <f t="array" aca="1" ref="CA16" ca="1">IF(OR($D16&lt;&gt;"Serviço",AND(AUTOEVENTO="Manual",$M16=$A$15),$M16&gt;(ROW(PLE.lastrow)-ROW(PLE.firstrow))),0,
           IF(OFFSET(PLE!$G$15,$M16-$A$15,CA$13)="",10^12,OFFSET(PLE!$G$15,$M16-$A$15,CA$13)))</f>
        <v>0</v>
      </c>
      <c r="CB16" s="171" cm="1">
        <f t="array" aca="1" ref="CB16" ca="1">IF(OR($D16&lt;&gt;"Serviço",AND(AUTOEVENTO="Manual",$M16=$A$15),$M16&gt;(ROW(PLE.lastrow)-ROW(PLE.firstrow))),0,
           IF(OFFSET(PLE!$G$15,$M16-$A$15,CB$13)="",10^12,OFFSET(PLE!$G$15,$M16-$A$15,CB$13)))</f>
        <v>0</v>
      </c>
      <c r="CC16" s="171" cm="1">
        <f t="array" aca="1" ref="CC16" ca="1">IF(OR($D16&lt;&gt;"Serviço",AND(AUTOEVENTO="Manual",$M16=$A$15),$M16&gt;(ROW(PLE.lastrow)-ROW(PLE.firstrow))),0,
           IF(OFFSET(PLE!$G$15,$M16-$A$15,CC$13)="",10^12,OFFSET(PLE!$G$15,$M16-$A$15,CC$13)))</f>
        <v>0</v>
      </c>
      <c r="CD16" s="171" cm="1">
        <f t="array" aca="1" ref="CD16" ca="1">IF(OR($D16&lt;&gt;"Serviço",AND(AUTOEVENTO="Manual",$M16=$A$15),$M16&gt;(ROW(PLE.lastrow)-ROW(PLE.firstrow))),0,
           IF(OFFSET(PLE!$G$15,$M16-$A$15,CD$13)="",10^12,OFFSET(PLE!$G$15,$M16-$A$15,CD$13)))</f>
        <v>0</v>
      </c>
      <c r="CE16" s="171" cm="1">
        <f t="array" aca="1" ref="CE16" ca="1">IF(OR($D16&lt;&gt;"Serviço",AND(AUTOEVENTO="Manual",$M16=$A$15),$M16&gt;(ROW(PLE.lastrow)-ROW(PLE.firstrow))),0,
           IF(OFFSET(PLE!$G$15,$M16-$A$15,CE$13)="",10^12,OFFSET(PLE!$G$15,$M16-$A$15,CE$13)))</f>
        <v>0</v>
      </c>
      <c r="CF16" s="171" cm="1">
        <f t="array" aca="1" ref="CF16" ca="1">IF(OR($D16&lt;&gt;"Serviço",AND(AUTOEVENTO="Manual",$M16=$A$15),$M16&gt;(ROW(PLE.lastrow)-ROW(PLE.firstrow))),0,
           IF(OFFSET(PLE!$G$15,$M16-$A$15,CF$13)="",10^12,OFFSET(PLE!$G$15,$M16-$A$15,CF$13)))</f>
        <v>0</v>
      </c>
      <c r="CG16" s="171" cm="1">
        <f t="array" aca="1" ref="CG16" ca="1">IF(OR($D16&lt;&gt;"Serviço",AND(AUTOEVENTO="Manual",$M16=$A$15),$M16&gt;(ROW(PLE.lastrow)-ROW(PLE.firstrow))),0,
           IF(OFFSET(PLE!$G$15,$M16-$A$15,CG$13)="",10^12,OFFSET(PLE!$G$15,$M16-$A$15,CG$13)))</f>
        <v>0</v>
      </c>
      <c r="CH16" s="171" cm="1">
        <f t="array" aca="1" ref="CH16" ca="1">IF(OR($D16&lt;&gt;"Serviço",AND(AUTOEVENTO="Manual",$M16=$A$15),$M16&gt;(ROW(PLE.lastrow)-ROW(PLE.firstrow))),0,
           IF(OFFSET(PLE!$G$15,$M16-$A$15,CH$13)="",10^12,OFFSET(PLE!$G$15,$M16-$A$15,CH$13)))</f>
        <v>0</v>
      </c>
      <c r="CI16" s="171" cm="1">
        <f t="array" aca="1" ref="CI16" ca="1">IF(OR($D16&lt;&gt;"Serviço",AND(AUTOEVENTO="Manual",$M16=$A$15),$M16&gt;(ROW(PLE.lastrow)-ROW(PLE.firstrow))),0,
           IF(OFFSET(PLE!$G$15,$M16-$A$15,CI$13)="",10^12,OFFSET(PLE!$G$15,$M16-$A$15,CI$13)))</f>
        <v>0</v>
      </c>
      <c r="CJ16" s="171" cm="1">
        <f t="array" aca="1" ref="CJ16" ca="1">IF(OR($D16&lt;&gt;"Serviço",AND(AUTOEVENTO="Manual",$M16=$A$15),$M16&gt;(ROW(PLE.lastrow)-ROW(PLE.firstrow))),0,
           IF(OFFSET(PLE!$G$15,$M16-$A$15,CJ$13)="",10^12,OFFSET(PLE!$G$15,$M16-$A$15,CJ$13)))</f>
        <v>0</v>
      </c>
      <c r="CK16" s="171" cm="1">
        <f t="array" aca="1" ref="CK16" ca="1">IF(OR($D16&lt;&gt;"Serviço",AND(AUTOEVENTO="Manual",$M16=$A$15),$M16&gt;(ROW(PLE.lastrow)-ROW(PLE.firstrow))),0,
           IF(OFFSET(PLE!$G$15,$M16-$A$15,CK$13)="",10^12,OFFSET(PLE!$G$15,$M16-$A$15,CK$13)))</f>
        <v>0</v>
      </c>
      <c r="CL16" s="171" cm="1">
        <f t="array" aca="1" ref="CL16" ca="1">IF(OR($D16&lt;&gt;"Serviço",AND(AUTOEVENTO="Manual",$M16=$A$15),$M16&gt;(ROW(PLE.lastrow)-ROW(PLE.firstrow))),0,
           IF(OFFSET(PLE!$G$15,$M16-$A$15,CL$13)="",10^12,OFFSET(PLE!$G$15,$M16-$A$15,CL$13)))</f>
        <v>0</v>
      </c>
      <c r="CM16" s="171" cm="1">
        <f t="array" aca="1" ref="CM16" ca="1">IF(OR($D16&lt;&gt;"Serviço",AND(AUTOEVENTO="Manual",$M16=$A$15),$M16&gt;(ROW(PLE.lastrow)-ROW(PLE.firstrow))),0,
           IF(OFFSET(PLE!$G$15,$M16-$A$15,CM$13)="",10^12,OFFSET(PLE!$G$15,$M16-$A$15,CM$13)))</f>
        <v>0</v>
      </c>
    </row>
    <row r="17" spans="1:91" ht="12.75" x14ac:dyDescent="0.2">
      <c r="A17" s="7" t="str">
        <f t="shared" ref="A17:A26" ca="1" si="12">IFERROR(IF(AUTOEVENTO="Manual",IF(K17&lt;&gt;"",MIN(VALUE(LEFT(K17,FIND(".",K17)-1)),COUNTA(EVENTOS.Lista)),0),IF(OR($B17&gt;AUTOEVENTO,$B17="S",$B17=0),SUBSTITUTE(OFFSET($A17,-1,0),IF($D17="Serviço",".",""),""),$L17&amp;".")),0)</f>
        <v>2.</v>
      </c>
      <c r="B17" s="7">
        <f ca="1">OFFSET(ORÇAMENTO!C$15,$L17,0)</f>
        <v>2</v>
      </c>
      <c r="C17" s="7" t="str">
        <f ca="1">OFFSET(ORÇAMENTO!L$15,$L17,0)</f>
        <v>F</v>
      </c>
      <c r="D17" s="115" t="str">
        <f ca="1">OFFSET(ORÇAMENTO!N$15,$L17,0)</f>
        <v>Nível 2</v>
      </c>
      <c r="E17" s="116" t="str">
        <f ca="1">OFFSET(ORÇAMENTO!O$15,$L17,0)</f>
        <v>1.1.</v>
      </c>
      <c r="F17" s="162" t="str">
        <f ca="1">OFFSET(ORÇAMENTO!R$15,$L17,0)</f>
        <v>Serviços preliminares</v>
      </c>
      <c r="G17" s="163" t="str">
        <f ca="1">IF($D17&lt;&gt;"Serviço","",OFFSET(ORÇAMENTO!S$15,$L17,0))</f>
        <v/>
      </c>
      <c r="H17" s="121" cm="1">
        <f t="array" aca="1" ref="H17" ca="1">IF($D17&lt;&gt;"Serviço",0,IF(ACOMPANHAMENTO="BM",ROUND(OFFSET(ORÇAMENTO!AJ$15,$L17,0),15-13*ORÇAMENTO!$AF$7),IF(IFERROR(CÁLCULO.FrentesPreenchidas,0)=0,0,SUM(ROUND(OFFSET($P17,0,1,1,CÁLCULO.FrentesPreenchidas),15-13*ORÇAMENTO!$AF$7)))))</f>
        <v>0</v>
      </c>
      <c r="I17" s="467"/>
      <c r="J17" s="650" t="str" cm="1">
        <f t="array" aca="1" ref="J17" ca="1">IF(OR(B17&lt;&gt;"S",CÁLCULO.FrentesPreenchidas=0),"",IF(AND(ACOMPANHAMENTO="PLE",AUTOEVENTO="Manual",OR(H17&gt;0,ORÇAMENTO!AC17="QUANT."),OR(K17="",M17=0,N17="")),"►E",IF(AND(ACOMPANHAMENTO="PLE",ORÇAMENTO!AC17="QUANT."),"►Q",IF(AND(ACOMPANHAMENTO="PLE",H17&lt;&gt;SUMPRODUCT(($Q$1:$AI$1=1)*ROUND(Q17:AI17,15))),"►S",IF(AND(COUNTIF($P$11:$AI$11,"▼")=0,H17&gt;0,I17=""),"◄M","")))))</f>
        <v/>
      </c>
      <c r="K17" s="651"/>
      <c r="L17" s="164">
        <f ca="1">OFFSET(L17,-1,0)+1</f>
        <v>2</v>
      </c>
      <c r="M17" s="165" t="str">
        <f ca="1">IF($D17&lt;&gt;"Serviço","",
          IF(AUTOEVENTO="manual",$A17,
                IF(ISERROR(MATCH($A17,$A$15:OFFSET($A17,-1,0),0)),MAX($M$15:OFFSET(M17,-1,0))+1,
                      INDEX($M$15:OFFSET(M17,-1,0),MATCH($A17,$A$15:OFFSET($A17,-1,0),0)))))</f>
        <v/>
      </c>
      <c r="N17" s="166" t="str">
        <f ca="1">IF($D17&lt;&gt;"Serviço","",
         IF(AUTOEVENTO="Manual",
                IF($A17=0,"&lt;-- defina o número do agrupador",
                       OFFSET(EVENTOS!$D$15,$A17-$A$15,0)),
                OFFSET($F$15,$A17,0)))</f>
        <v/>
      </c>
      <c r="O17" s="167"/>
      <c r="Q17" s="167"/>
      <c r="R17" s="168"/>
      <c r="S17" s="168"/>
      <c r="T17" s="168"/>
      <c r="U17" s="168"/>
      <c r="V17" s="168"/>
      <c r="W17" s="168"/>
      <c r="X17" s="168"/>
      <c r="Y17" s="168"/>
      <c r="Z17" s="169"/>
      <c r="AA17" s="168"/>
      <c r="AB17" s="168"/>
      <c r="AC17" s="168"/>
      <c r="AD17" s="168"/>
      <c r="AE17" s="168"/>
      <c r="AF17" s="168"/>
      <c r="AG17" s="168"/>
      <c r="AH17" s="169"/>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2">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2">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2">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2">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2">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2">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2">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2">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2">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2">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2">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2">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2">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2">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2">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2">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0">
        <f ca="1">IF(OR($D17&lt;&gt;"Serviço",AND(AUTOEVENTO="Manual",$M17=$A$15)),0,
         IF(OFFSET(CRONOPLE!$F$15,$M17-$A$15,BC$13)=0,10^12,OFFSET(CRONOPLE!$F$15,$M17-$A$15,BC$13)))</f>
        <v>0</v>
      </c>
      <c r="BD17" s="170">
        <f ca="1">IF(OR($D17&lt;&gt;"Serviço",AND(AUTOEVENTO="Manual",$M17=$A$15)),0,
         IF(OFFSET(CRONOPLE!$F$15,$M17-$A$15,BD$13)=0,10^12,OFFSET(CRONOPLE!$F$15,$M17-$A$15,BD$13)))</f>
        <v>0</v>
      </c>
      <c r="BE17" s="170">
        <f ca="1">IF(OR($D17&lt;&gt;"Serviço",AND(AUTOEVENTO="Manual",$M17=$A$15)),0,
         IF(OFFSET(CRONOPLE!$F$15,$M17-$A$15,BE$13)=0,10^12,OFFSET(CRONOPLE!$F$15,$M17-$A$15,BE$13)))</f>
        <v>0</v>
      </c>
      <c r="BF17" s="170">
        <f ca="1">IF(OR($D17&lt;&gt;"Serviço",AND(AUTOEVENTO="Manual",$M17=$A$15)),0,
         IF(OFFSET(CRONOPLE!$F$15,$M17-$A$15,BF$13)=0,10^12,OFFSET(CRONOPLE!$F$15,$M17-$A$15,BF$13)))</f>
        <v>0</v>
      </c>
      <c r="BG17" s="170">
        <f ca="1">IF(OR($D17&lt;&gt;"Serviço",AND(AUTOEVENTO="Manual",$M17=$A$15)),0,
         IF(OFFSET(CRONOPLE!$F$15,$M17-$A$15,BG$13)=0,10^12,OFFSET(CRONOPLE!$F$15,$M17-$A$15,BG$13)))</f>
        <v>0</v>
      </c>
      <c r="BH17" s="170">
        <f ca="1">IF(OR($D17&lt;&gt;"Serviço",AND(AUTOEVENTO="Manual",$M17=$A$15)),0,
         IF(OFFSET(CRONOPLE!$F$15,$M17-$A$15,BH$13)=0,10^12,OFFSET(CRONOPLE!$F$15,$M17-$A$15,BH$13)))</f>
        <v>0</v>
      </c>
      <c r="BI17" s="170">
        <f ca="1">IF(OR($D17&lt;&gt;"Serviço",AND(AUTOEVENTO="Manual",$M17=$A$15)),0,
         IF(OFFSET(CRONOPLE!$F$15,$M17-$A$15,BI$13)=0,10^12,OFFSET(CRONOPLE!$F$15,$M17-$A$15,BI$13)))</f>
        <v>0</v>
      </c>
      <c r="BJ17" s="170">
        <f ca="1">IF(OR($D17&lt;&gt;"Serviço",AND(AUTOEVENTO="Manual",$M17=$A$15)),0,
         IF(OFFSET(CRONOPLE!$F$15,$M17-$A$15,BJ$13)=0,10^12,OFFSET(CRONOPLE!$F$15,$M17-$A$15,BJ$13)))</f>
        <v>0</v>
      </c>
      <c r="BK17" s="170">
        <f ca="1">IF(OR($D17&lt;&gt;"Serviço",AND(AUTOEVENTO="Manual",$M17=$A$15)),0,
         IF(OFFSET(CRONOPLE!$F$15,$M17-$A$15,BK$13)=0,10^12,OFFSET(CRONOPLE!$F$15,$M17-$A$15,BK$13)))</f>
        <v>0</v>
      </c>
      <c r="BL17" s="170">
        <f ca="1">IF(OR($D17&lt;&gt;"Serviço",AND(AUTOEVENTO="Manual",$M17=$A$15)),0,
         IF(OFFSET(CRONOPLE!$F$15,$M17-$A$15,BL$13)=0,10^12,OFFSET(CRONOPLE!$F$15,$M17-$A$15,BL$13)))</f>
        <v>0</v>
      </c>
      <c r="BM17" s="170">
        <f ca="1">IF(OR($D17&lt;&gt;"Serviço",AND(AUTOEVENTO="Manual",$M17=$A$15)),0,
         IF(OFFSET(CRONOPLE!$F$15,$M17-$A$15,BM$13)=0,10^12,OFFSET(CRONOPLE!$F$15,$M17-$A$15,BM$13)))</f>
        <v>0</v>
      </c>
      <c r="BN17" s="170">
        <f ca="1">IF(OR($D17&lt;&gt;"Serviço",AND(AUTOEVENTO="Manual",$M17=$A$15)),0,
         IF(OFFSET(CRONOPLE!$F$15,$M17-$A$15,BN$13)=0,10^12,OFFSET(CRONOPLE!$F$15,$M17-$A$15,BN$13)))</f>
        <v>0</v>
      </c>
      <c r="BO17" s="170">
        <f ca="1">IF(OR($D17&lt;&gt;"Serviço",AND(AUTOEVENTO="Manual",$M17=$A$15)),0,
         IF(OFFSET(CRONOPLE!$F$15,$M17-$A$15,BO$13)=0,10^12,OFFSET(CRONOPLE!$F$15,$M17-$A$15,BO$13)))</f>
        <v>0</v>
      </c>
      <c r="BP17" s="170">
        <f ca="1">IF(OR($D17&lt;&gt;"Serviço",AND(AUTOEVENTO="Manual",$M17=$A$15)),0,
         IF(OFFSET(CRONOPLE!$F$15,$M17-$A$15,BP$13)=0,10^12,OFFSET(CRONOPLE!$F$15,$M17-$A$15,BP$13)))</f>
        <v>0</v>
      </c>
      <c r="BQ17" s="170">
        <f ca="1">IF(OR($D17&lt;&gt;"Serviço",AND(AUTOEVENTO="Manual",$M17=$A$15)),0,
         IF(OFFSET(CRONOPLE!$F$15,$M17-$A$15,BQ$13)=0,10^12,OFFSET(CRONOPLE!$F$15,$M17-$A$15,BQ$13)))</f>
        <v>0</v>
      </c>
      <c r="BR17" s="170">
        <f ca="1">IF(OR($D17&lt;&gt;"Serviço",AND(AUTOEVENTO="Manual",$M17=$A$15)),0,
         IF(OFFSET(CRONOPLE!$F$15,$M17-$A$15,BR$13)=0,10^12,OFFSET(CRONOPLE!$F$15,$M17-$A$15,BR$13)))</f>
        <v>0</v>
      </c>
      <c r="BS17" s="170">
        <f ca="1">IF(OR($D17&lt;&gt;"Serviço",AND(AUTOEVENTO="Manual",$M17=$A$15)),0,
         IF(OFFSET(CRONOPLE!$F$15,$M17-$A$15,BS$13)=0,10^12,OFFSET(CRONOPLE!$F$15,$M17-$A$15,BS$13)))</f>
        <v>0</v>
      </c>
      <c r="BT17" s="170">
        <f ca="1">IF(OR($D17&lt;&gt;"Serviço",AND(AUTOEVENTO="Manual",$M17=$A$15)),0,
         IF(OFFSET(CRONOPLE!$F$15,$M17-$A$15,BT$13)=0,10^12,OFFSET(CRONOPLE!$F$15,$M17-$A$15,BT$13)))</f>
        <v>0</v>
      </c>
      <c r="BV17" s="171" cm="1">
        <f t="array" aca="1" ref="BV17" ca="1">IF(OR($D17&lt;&gt;"Serviço",AND(AUTOEVENTO="Manual",$M17=$A$15),$M17&gt;(ROW(PLE.lastrow)-ROW(PLE.firstrow))),0,
           IF(OFFSET(PLE!$G$15,$M17-$A$15,BV$13)="",10^12,OFFSET(PLE!$G$15,$M17-$A$15,BV$13)))</f>
        <v>0</v>
      </c>
      <c r="BW17" s="171" cm="1">
        <f t="array" aca="1" ref="BW17" ca="1">IF(OR($D17&lt;&gt;"Serviço",AND(AUTOEVENTO="Manual",$M17=$A$15),$M17&gt;(ROW(PLE.lastrow)-ROW(PLE.firstrow))),0,
           IF(OFFSET(PLE!$G$15,$M17-$A$15,BW$13)="",10^12,OFFSET(PLE!$G$15,$M17-$A$15,BW$13)))</f>
        <v>0</v>
      </c>
      <c r="BX17" s="171" cm="1">
        <f t="array" aca="1" ref="BX17" ca="1">IF(OR($D17&lt;&gt;"Serviço",AND(AUTOEVENTO="Manual",$M17=$A$15),$M17&gt;(ROW(PLE.lastrow)-ROW(PLE.firstrow))),0,
           IF(OFFSET(PLE!$G$15,$M17-$A$15,BX$13)="",10^12,OFFSET(PLE!$G$15,$M17-$A$15,BX$13)))</f>
        <v>0</v>
      </c>
      <c r="BY17" s="171" cm="1">
        <f t="array" aca="1" ref="BY17" ca="1">IF(OR($D17&lt;&gt;"Serviço",AND(AUTOEVENTO="Manual",$M17=$A$15),$M17&gt;(ROW(PLE.lastrow)-ROW(PLE.firstrow))),0,
           IF(OFFSET(PLE!$G$15,$M17-$A$15,BY$13)="",10^12,OFFSET(PLE!$G$15,$M17-$A$15,BY$13)))</f>
        <v>0</v>
      </c>
      <c r="BZ17" s="171" cm="1">
        <f t="array" aca="1" ref="BZ17" ca="1">IF(OR($D17&lt;&gt;"Serviço",AND(AUTOEVENTO="Manual",$M17=$A$15),$M17&gt;(ROW(PLE.lastrow)-ROW(PLE.firstrow))),0,
           IF(OFFSET(PLE!$G$15,$M17-$A$15,BZ$13)="",10^12,OFFSET(PLE!$G$15,$M17-$A$15,BZ$13)))</f>
        <v>0</v>
      </c>
      <c r="CA17" s="171" cm="1">
        <f t="array" aca="1" ref="CA17" ca="1">IF(OR($D17&lt;&gt;"Serviço",AND(AUTOEVENTO="Manual",$M17=$A$15),$M17&gt;(ROW(PLE.lastrow)-ROW(PLE.firstrow))),0,
           IF(OFFSET(PLE!$G$15,$M17-$A$15,CA$13)="",10^12,OFFSET(PLE!$G$15,$M17-$A$15,CA$13)))</f>
        <v>0</v>
      </c>
      <c r="CB17" s="171" cm="1">
        <f t="array" aca="1" ref="CB17" ca="1">IF(OR($D17&lt;&gt;"Serviço",AND(AUTOEVENTO="Manual",$M17=$A$15),$M17&gt;(ROW(PLE.lastrow)-ROW(PLE.firstrow))),0,
           IF(OFFSET(PLE!$G$15,$M17-$A$15,CB$13)="",10^12,OFFSET(PLE!$G$15,$M17-$A$15,CB$13)))</f>
        <v>0</v>
      </c>
      <c r="CC17" s="171" cm="1">
        <f t="array" aca="1" ref="CC17" ca="1">IF(OR($D17&lt;&gt;"Serviço",AND(AUTOEVENTO="Manual",$M17=$A$15),$M17&gt;(ROW(PLE.lastrow)-ROW(PLE.firstrow))),0,
           IF(OFFSET(PLE!$G$15,$M17-$A$15,CC$13)="",10^12,OFFSET(PLE!$G$15,$M17-$A$15,CC$13)))</f>
        <v>0</v>
      </c>
      <c r="CD17" s="171" cm="1">
        <f t="array" aca="1" ref="CD17" ca="1">IF(OR($D17&lt;&gt;"Serviço",AND(AUTOEVENTO="Manual",$M17=$A$15),$M17&gt;(ROW(PLE.lastrow)-ROW(PLE.firstrow))),0,
           IF(OFFSET(PLE!$G$15,$M17-$A$15,CD$13)="",10^12,OFFSET(PLE!$G$15,$M17-$A$15,CD$13)))</f>
        <v>0</v>
      </c>
      <c r="CE17" s="171" cm="1">
        <f t="array" aca="1" ref="CE17" ca="1">IF(OR($D17&lt;&gt;"Serviço",AND(AUTOEVENTO="Manual",$M17=$A$15),$M17&gt;(ROW(PLE.lastrow)-ROW(PLE.firstrow))),0,
           IF(OFFSET(PLE!$G$15,$M17-$A$15,CE$13)="",10^12,OFFSET(PLE!$G$15,$M17-$A$15,CE$13)))</f>
        <v>0</v>
      </c>
      <c r="CF17" s="171" cm="1">
        <f t="array" aca="1" ref="CF17" ca="1">IF(OR($D17&lt;&gt;"Serviço",AND(AUTOEVENTO="Manual",$M17=$A$15),$M17&gt;(ROW(PLE.lastrow)-ROW(PLE.firstrow))),0,
           IF(OFFSET(PLE!$G$15,$M17-$A$15,CF$13)="",10^12,OFFSET(PLE!$G$15,$M17-$A$15,CF$13)))</f>
        <v>0</v>
      </c>
      <c r="CG17" s="171" cm="1">
        <f t="array" aca="1" ref="CG17" ca="1">IF(OR($D17&lt;&gt;"Serviço",AND(AUTOEVENTO="Manual",$M17=$A$15),$M17&gt;(ROW(PLE.lastrow)-ROW(PLE.firstrow))),0,
           IF(OFFSET(PLE!$G$15,$M17-$A$15,CG$13)="",10^12,OFFSET(PLE!$G$15,$M17-$A$15,CG$13)))</f>
        <v>0</v>
      </c>
      <c r="CH17" s="171" cm="1">
        <f t="array" aca="1" ref="CH17" ca="1">IF(OR($D17&lt;&gt;"Serviço",AND(AUTOEVENTO="Manual",$M17=$A$15),$M17&gt;(ROW(PLE.lastrow)-ROW(PLE.firstrow))),0,
           IF(OFFSET(PLE!$G$15,$M17-$A$15,CH$13)="",10^12,OFFSET(PLE!$G$15,$M17-$A$15,CH$13)))</f>
        <v>0</v>
      </c>
      <c r="CI17" s="171" cm="1">
        <f t="array" aca="1" ref="CI17" ca="1">IF(OR($D17&lt;&gt;"Serviço",AND(AUTOEVENTO="Manual",$M17=$A$15),$M17&gt;(ROW(PLE.lastrow)-ROW(PLE.firstrow))),0,
           IF(OFFSET(PLE!$G$15,$M17-$A$15,CI$13)="",10^12,OFFSET(PLE!$G$15,$M17-$A$15,CI$13)))</f>
        <v>0</v>
      </c>
      <c r="CJ17" s="171" cm="1">
        <f t="array" aca="1" ref="CJ17" ca="1">IF(OR($D17&lt;&gt;"Serviço",AND(AUTOEVENTO="Manual",$M17=$A$15),$M17&gt;(ROW(PLE.lastrow)-ROW(PLE.firstrow))),0,
           IF(OFFSET(PLE!$G$15,$M17-$A$15,CJ$13)="",10^12,OFFSET(PLE!$G$15,$M17-$A$15,CJ$13)))</f>
        <v>0</v>
      </c>
      <c r="CK17" s="171" cm="1">
        <f t="array" aca="1" ref="CK17" ca="1">IF(OR($D17&lt;&gt;"Serviço",AND(AUTOEVENTO="Manual",$M17=$A$15),$M17&gt;(ROW(PLE.lastrow)-ROW(PLE.firstrow))),0,
           IF(OFFSET(PLE!$G$15,$M17-$A$15,CK$13)="",10^12,OFFSET(PLE!$G$15,$M17-$A$15,CK$13)))</f>
        <v>0</v>
      </c>
      <c r="CL17" s="171" cm="1">
        <f t="array" aca="1" ref="CL17" ca="1">IF(OR($D17&lt;&gt;"Serviço",AND(AUTOEVENTO="Manual",$M17=$A$15),$M17&gt;(ROW(PLE.lastrow)-ROW(PLE.firstrow))),0,
           IF(OFFSET(PLE!$G$15,$M17-$A$15,CL$13)="",10^12,OFFSET(PLE!$G$15,$M17-$A$15,CL$13)))</f>
        <v>0</v>
      </c>
      <c r="CM17" s="171" cm="1">
        <f t="array" aca="1" ref="CM17" ca="1">IF(OR($D17&lt;&gt;"Serviço",AND(AUTOEVENTO="Manual",$M17=$A$15),$M17&gt;(ROW(PLE.lastrow)-ROW(PLE.firstrow))),0,
           IF(OFFSET(PLE!$G$15,$M17-$A$15,CM$13)="",10^12,OFFSET(PLE!$G$15,$M17-$A$15,CM$13)))</f>
        <v>0</v>
      </c>
    </row>
    <row r="18" spans="1:91" ht="12.75" x14ac:dyDescent="0.2">
      <c r="A18" s="7" t="str">
        <f t="shared" ca="1" si="12"/>
        <v>2</v>
      </c>
      <c r="B18" s="7" t="str">
        <f ca="1">OFFSET(ORÇAMENTO!C$15,$L18,0)</f>
        <v>S</v>
      </c>
      <c r="C18" s="7" t="str">
        <f ca="1">OFFSET(ORÇAMENTO!L$15,$L18,0)</f>
        <v>F</v>
      </c>
      <c r="D18" s="115" t="str">
        <f ca="1">OFFSET(ORÇAMENTO!N$15,$L18,0)</f>
        <v>Serviço</v>
      </c>
      <c r="E18" s="116" t="str">
        <f ca="1">OFFSET(ORÇAMENTO!O$15,$L18,0)</f>
        <v>1.1.1.</v>
      </c>
      <c r="F18" s="162" t="str">
        <f ca="1">OFFSET(ORÇAMENTO!R$15,$L18,0)</f>
        <v>(Código não identificado nas referências)</v>
      </c>
      <c r="G18" s="163" t="str">
        <f ca="1">IF($D18&lt;&gt;"Serviço","",OFFSET(ORÇAMENTO!S$15,$L18,0))</f>
        <v>M2</v>
      </c>
      <c r="H18" s="121" cm="1">
        <f t="array" aca="1" ref="H18" ca="1">IF($D18&lt;&gt;"Serviço",0,IF(ACOMPANHAMENTO="BM",ROUND(OFFSET(ORÇAMENTO!AJ$15,$L18,0),15-13*ORÇAMENTO!$AF$7),IF(IFERROR(CÁLCULO.FrentesPreenchidas,0)=0,0,SUM(ROUND(OFFSET($P18,0,1,1,CÁLCULO.FrentesPreenchidas),15-13*ORÇAMENTO!$AF$7)))))</f>
        <v>6.48</v>
      </c>
      <c r="I18" s="467"/>
      <c r="J18" s="650" t="str" cm="1">
        <f t="array" aca="1" ref="J18" ca="1">IF(OR(B18&lt;&gt;"S",CÁLCULO.FrentesPreenchidas=0),"",IF(AND(ACOMPANHAMENTO="PLE",AUTOEVENTO="Manual",OR(H18&gt;0,ORÇAMENTO!AC18="QUANT."),OR(K18="",M18=0,N18="")),"►E",IF(AND(ACOMPANHAMENTO="PLE",ORÇAMENTO!AC18="QUANT."),"►Q",IF(AND(ACOMPANHAMENTO="PLE",H18&lt;&gt;SUMPRODUCT(($Q$1:$AI$1=1)*ROUND(Q18:AI18,15))),"►S",IF(AND(COUNTIF($P$11:$AI$11,"▼")=0,H18&gt;0,I18=""),"◄M","")))))</f>
        <v>◄M</v>
      </c>
      <c r="K18" s="651"/>
      <c r="L18" s="164">
        <f ca="1">OFFSET(L18,-1,0)+1</f>
        <v>3</v>
      </c>
      <c r="M18" s="165">
        <f ca="1">IF($D18&lt;&gt;"Serviço","",
          IF(AUTOEVENTO="manual",$A18,
                IF(ISERROR(MATCH($A18,$A$15:OFFSET($A18,-1,0),0)),MAX($M$15:OFFSET(M18,-1,0))+1,
                      INDEX($M$15:OFFSET(M18,-1,0),MATCH($A18,$A$15:OFFSET($A18,-1,0),0)))))</f>
        <v>1</v>
      </c>
      <c r="N18" s="166" t="str">
        <f ca="1">IF($D18&lt;&gt;"Serviço","",
         IF(AUTOEVENTO="Manual",
                IF($A18=0,"&lt;-- defina o número do agrupador",
                       OFFSET(EVENTOS!$D$15,$A18-$A$15,0)),
                OFFSET($F$15,$A18,0)))</f>
        <v>Serviços preliminares</v>
      </c>
      <c r="O18" s="167"/>
      <c r="Q18" s="167"/>
      <c r="R18" s="168"/>
      <c r="S18" s="168"/>
      <c r="T18" s="168"/>
      <c r="U18" s="168"/>
      <c r="V18" s="168"/>
      <c r="W18" s="168"/>
      <c r="X18" s="168">
        <v>6.48</v>
      </c>
      <c r="Y18" s="168"/>
      <c r="Z18" s="169"/>
      <c r="AA18" s="168"/>
      <c r="AB18" s="168"/>
      <c r="AC18" s="168"/>
      <c r="AD18" s="168"/>
      <c r="AE18" s="168"/>
      <c r="AF18" s="168"/>
      <c r="AG18" s="168"/>
      <c r="AH18" s="169"/>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52">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2">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2">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52">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2">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2">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4089.01</v>
      </c>
      <c r="AR18" s="452">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2">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2">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2">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2">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2">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2">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2">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2">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2">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0">
        <f ca="1">IF(OR($D18&lt;&gt;"Serviço",AND(AUTOEVENTO="Manual",$M18=$A$15)),0,
         IF(OFFSET(CRONOPLE!$F$15,$M18-$A$15,BC$13)=0,10^12,OFFSET(CRONOPLE!$F$15,$M18-$A$15,BC$13)))</f>
        <v>1</v>
      </c>
      <c r="BD18" s="170">
        <f ca="1">IF(OR($D18&lt;&gt;"Serviço",AND(AUTOEVENTO="Manual",$M18=$A$15)),0,
         IF(OFFSET(CRONOPLE!$F$15,$M18-$A$15,BD$13)=0,10^12,OFFSET(CRONOPLE!$F$15,$M18-$A$15,BD$13)))</f>
        <v>1</v>
      </c>
      <c r="BE18" s="170">
        <f ca="1">IF(OR($D18&lt;&gt;"Serviço",AND(AUTOEVENTO="Manual",$M18=$A$15)),0,
         IF(OFFSET(CRONOPLE!$F$15,$M18-$A$15,BE$13)=0,10^12,OFFSET(CRONOPLE!$F$15,$M18-$A$15,BE$13)))</f>
        <v>1000000000000</v>
      </c>
      <c r="BF18" s="170">
        <f ca="1">IF(OR($D18&lt;&gt;"Serviço",AND(AUTOEVENTO="Manual",$M18=$A$15)),0,
         IF(OFFSET(CRONOPLE!$F$15,$M18-$A$15,BF$13)=0,10^12,OFFSET(CRONOPLE!$F$15,$M18-$A$15,BF$13)))</f>
        <v>1000000000000</v>
      </c>
      <c r="BG18" s="170">
        <f ca="1">IF(OR($D18&lt;&gt;"Serviço",AND(AUTOEVENTO="Manual",$M18=$A$15)),0,
         IF(OFFSET(CRONOPLE!$F$15,$M18-$A$15,BG$13)=0,10^12,OFFSET(CRONOPLE!$F$15,$M18-$A$15,BG$13)))</f>
        <v>1000000000000</v>
      </c>
      <c r="BH18" s="170">
        <f ca="1">IF(OR($D18&lt;&gt;"Serviço",AND(AUTOEVENTO="Manual",$M18=$A$15)),0,
         IF(OFFSET(CRONOPLE!$F$15,$M18-$A$15,BH$13)=0,10^12,OFFSET(CRONOPLE!$F$15,$M18-$A$15,BH$13)))</f>
        <v>1000000000000</v>
      </c>
      <c r="BI18" s="170">
        <f ca="1">IF(OR($D18&lt;&gt;"Serviço",AND(AUTOEVENTO="Manual",$M18=$A$15)),0,
         IF(OFFSET(CRONOPLE!$F$15,$M18-$A$15,BI$13)=0,10^12,OFFSET(CRONOPLE!$F$15,$M18-$A$15,BI$13)))</f>
        <v>2</v>
      </c>
      <c r="BJ18" s="170">
        <f ca="1">IF(OR($D18&lt;&gt;"Serviço",AND(AUTOEVENTO="Manual",$M18=$A$15)),0,
         IF(OFFSET(CRONOPLE!$F$15,$M18-$A$15,BJ$13)=0,10^12,OFFSET(CRONOPLE!$F$15,$M18-$A$15,BJ$13)))</f>
        <v>1</v>
      </c>
      <c r="BK18" s="170">
        <f ca="1">IF(OR($D18&lt;&gt;"Serviço",AND(AUTOEVENTO="Manual",$M18=$A$15)),0,
         IF(OFFSET(CRONOPLE!$F$15,$M18-$A$15,BK$13)=0,10^12,OFFSET(CRONOPLE!$F$15,$M18-$A$15,BK$13)))</f>
        <v>1000000000000</v>
      </c>
      <c r="BL18" s="170">
        <f ca="1">IF(OR($D18&lt;&gt;"Serviço",AND(AUTOEVENTO="Manual",$M18=$A$15)),0,
         IF(OFFSET(CRONOPLE!$F$15,$M18-$A$15,BL$13)=0,10^12,OFFSET(CRONOPLE!$F$15,$M18-$A$15,BL$13)))</f>
        <v>1000000000000</v>
      </c>
      <c r="BM18" s="170">
        <f ca="1">IF(OR($D18&lt;&gt;"Serviço",AND(AUTOEVENTO="Manual",$M18=$A$15)),0,
         IF(OFFSET(CRONOPLE!$F$15,$M18-$A$15,BM$13)=0,10^12,OFFSET(CRONOPLE!$F$15,$M18-$A$15,BM$13)))</f>
        <v>4</v>
      </c>
      <c r="BN18" s="170">
        <f ca="1">IF(OR($D18&lt;&gt;"Serviço",AND(AUTOEVENTO="Manual",$M18=$A$15)),0,
         IF(OFFSET(CRONOPLE!$F$15,$M18-$A$15,BN$13)=0,10^12,OFFSET(CRONOPLE!$F$15,$M18-$A$15,BN$13)))</f>
        <v>1000000000000</v>
      </c>
      <c r="BO18" s="170">
        <f ca="1">IF(OR($D18&lt;&gt;"Serviço",AND(AUTOEVENTO="Manual",$M18=$A$15)),0,
         IF(OFFSET(CRONOPLE!$F$15,$M18-$A$15,BO$13)=0,10^12,OFFSET(CRONOPLE!$F$15,$M18-$A$15,BO$13)))</f>
        <v>1000000000000</v>
      </c>
      <c r="BP18" s="170">
        <f ca="1">IF(OR($D18&lt;&gt;"Serviço",AND(AUTOEVENTO="Manual",$M18=$A$15)),0,
         IF(OFFSET(CRONOPLE!$F$15,$M18-$A$15,BP$13)=0,10^12,OFFSET(CRONOPLE!$F$15,$M18-$A$15,BP$13)))</f>
        <v>1000000000000</v>
      </c>
      <c r="BQ18" s="170">
        <f ca="1">IF(OR($D18&lt;&gt;"Serviço",AND(AUTOEVENTO="Manual",$M18=$A$15)),0,
         IF(OFFSET(CRONOPLE!$F$15,$M18-$A$15,BQ$13)=0,10^12,OFFSET(CRONOPLE!$F$15,$M18-$A$15,BQ$13)))</f>
        <v>1000000000000</v>
      </c>
      <c r="BR18" s="170">
        <f ca="1">IF(OR($D18&lt;&gt;"Serviço",AND(AUTOEVENTO="Manual",$M18=$A$15)),0,
         IF(OFFSET(CRONOPLE!$F$15,$M18-$A$15,BR$13)=0,10^12,OFFSET(CRONOPLE!$F$15,$M18-$A$15,BR$13)))</f>
        <v>1000000000000</v>
      </c>
      <c r="BS18" s="170">
        <f ca="1">IF(OR($D18&lt;&gt;"Serviço",AND(AUTOEVENTO="Manual",$M18=$A$15)),0,
         IF(OFFSET(CRONOPLE!$F$15,$M18-$A$15,BS$13)=0,10^12,OFFSET(CRONOPLE!$F$15,$M18-$A$15,BS$13)))</f>
        <v>1000000000000</v>
      </c>
      <c r="BT18" s="170">
        <f ca="1">IF(OR($D18&lt;&gt;"Serviço",AND(AUTOEVENTO="Manual",$M18=$A$15)),0,
         IF(OFFSET(CRONOPLE!$F$15,$M18-$A$15,BT$13)=0,10^12,OFFSET(CRONOPLE!$F$15,$M18-$A$15,BT$13)))</f>
        <v>1000000000000</v>
      </c>
      <c r="BV18" s="171" cm="1">
        <f t="array" aca="1" ref="BV18" ca="1">IF(OR($D18&lt;&gt;"Serviço",AND(AUTOEVENTO="Manual",$M18=$A$15),$M18&gt;(ROW(PLE.lastrow)-ROW(PLE.firstrow))),0,
           IF(OFFSET(PLE!$G$15,$M18-$A$15,BV$13)="",10^12,OFFSET(PLE!$G$15,$M18-$A$15,BV$13)))</f>
        <v>1000000000000</v>
      </c>
      <c r="BW18" s="171" cm="1">
        <f t="array" aca="1" ref="BW18" ca="1">IF(OR($D18&lt;&gt;"Serviço",AND(AUTOEVENTO="Manual",$M18=$A$15),$M18&gt;(ROW(PLE.lastrow)-ROW(PLE.firstrow))),0,
           IF(OFFSET(PLE!$G$15,$M18-$A$15,BW$13)="",10^12,OFFSET(PLE!$G$15,$M18-$A$15,BW$13)))</f>
        <v>1000000000000</v>
      </c>
      <c r="BX18" s="171" cm="1">
        <f t="array" aca="1" ref="BX18" ca="1">IF(OR($D18&lt;&gt;"Serviço",AND(AUTOEVENTO="Manual",$M18=$A$15),$M18&gt;(ROW(PLE.lastrow)-ROW(PLE.firstrow))),0,
           IF(OFFSET(PLE!$G$15,$M18-$A$15,BX$13)="",10^12,OFFSET(PLE!$G$15,$M18-$A$15,BX$13)))</f>
        <v>1000000000000</v>
      </c>
      <c r="BY18" s="171" cm="1">
        <f t="array" aca="1" ref="BY18" ca="1">IF(OR($D18&lt;&gt;"Serviço",AND(AUTOEVENTO="Manual",$M18=$A$15),$M18&gt;(ROW(PLE.lastrow)-ROW(PLE.firstrow))),0,
           IF(OFFSET(PLE!$G$15,$M18-$A$15,BY$13)="",10^12,OFFSET(PLE!$G$15,$M18-$A$15,BY$13)))</f>
        <v>1000000000000</v>
      </c>
      <c r="BZ18" s="171" cm="1">
        <f t="array" aca="1" ref="BZ18" ca="1">IF(OR($D18&lt;&gt;"Serviço",AND(AUTOEVENTO="Manual",$M18=$A$15),$M18&gt;(ROW(PLE.lastrow)-ROW(PLE.firstrow))),0,
           IF(OFFSET(PLE!$G$15,$M18-$A$15,BZ$13)="",10^12,OFFSET(PLE!$G$15,$M18-$A$15,BZ$13)))</f>
        <v>1000000000000</v>
      </c>
      <c r="CA18" s="171" cm="1">
        <f t="array" aca="1" ref="CA18" ca="1">IF(OR($D18&lt;&gt;"Serviço",AND(AUTOEVENTO="Manual",$M18=$A$15),$M18&gt;(ROW(PLE.lastrow)-ROW(PLE.firstrow))),0,
           IF(OFFSET(PLE!$G$15,$M18-$A$15,CA$13)="",10^12,OFFSET(PLE!$G$15,$M18-$A$15,CA$13)))</f>
        <v>1000000000000</v>
      </c>
      <c r="CB18" s="171" cm="1">
        <f t="array" aca="1" ref="CB18" ca="1">IF(OR($D18&lt;&gt;"Serviço",AND(AUTOEVENTO="Manual",$M18=$A$15),$M18&gt;(ROW(PLE.lastrow)-ROW(PLE.firstrow))),0,
           IF(OFFSET(PLE!$G$15,$M18-$A$15,CB$13)="",10^12,OFFSET(PLE!$G$15,$M18-$A$15,CB$13)))</f>
        <v>1000000000000</v>
      </c>
      <c r="CC18" s="171" cm="1">
        <f t="array" aca="1" ref="CC18" ca="1">IF(OR($D18&lt;&gt;"Serviço",AND(AUTOEVENTO="Manual",$M18=$A$15),$M18&gt;(ROW(PLE.lastrow)-ROW(PLE.firstrow))),0,
           IF(OFFSET(PLE!$G$15,$M18-$A$15,CC$13)="",10^12,OFFSET(PLE!$G$15,$M18-$A$15,CC$13)))</f>
        <v>1000000000000</v>
      </c>
      <c r="CD18" s="171" cm="1">
        <f t="array" aca="1" ref="CD18" ca="1">IF(OR($D18&lt;&gt;"Serviço",AND(AUTOEVENTO="Manual",$M18=$A$15),$M18&gt;(ROW(PLE.lastrow)-ROW(PLE.firstrow))),0,
           IF(OFFSET(PLE!$G$15,$M18-$A$15,CD$13)="",10^12,OFFSET(PLE!$G$15,$M18-$A$15,CD$13)))</f>
        <v>1000000000000</v>
      </c>
      <c r="CE18" s="171" cm="1">
        <f t="array" aca="1" ref="CE18" ca="1">IF(OR($D18&lt;&gt;"Serviço",AND(AUTOEVENTO="Manual",$M18=$A$15),$M18&gt;(ROW(PLE.lastrow)-ROW(PLE.firstrow))),0,
           IF(OFFSET(PLE!$G$15,$M18-$A$15,CE$13)="",10^12,OFFSET(PLE!$G$15,$M18-$A$15,CE$13)))</f>
        <v>1000000000000</v>
      </c>
      <c r="CF18" s="171" cm="1">
        <f t="array" aca="1" ref="CF18" ca="1">IF(OR($D18&lt;&gt;"Serviço",AND(AUTOEVENTO="Manual",$M18=$A$15),$M18&gt;(ROW(PLE.lastrow)-ROW(PLE.firstrow))),0,
           IF(OFFSET(PLE!$G$15,$M18-$A$15,CF$13)="",10^12,OFFSET(PLE!$G$15,$M18-$A$15,CF$13)))</f>
        <v>1000000000000</v>
      </c>
      <c r="CG18" s="171" cm="1">
        <f t="array" aca="1" ref="CG18" ca="1">IF(OR($D18&lt;&gt;"Serviço",AND(AUTOEVENTO="Manual",$M18=$A$15),$M18&gt;(ROW(PLE.lastrow)-ROW(PLE.firstrow))),0,
           IF(OFFSET(PLE!$G$15,$M18-$A$15,CG$13)="",10^12,OFFSET(PLE!$G$15,$M18-$A$15,CG$13)))</f>
        <v>1000000000000</v>
      </c>
      <c r="CH18" s="171" cm="1">
        <f t="array" aca="1" ref="CH18" ca="1">IF(OR($D18&lt;&gt;"Serviço",AND(AUTOEVENTO="Manual",$M18=$A$15),$M18&gt;(ROW(PLE.lastrow)-ROW(PLE.firstrow))),0,
           IF(OFFSET(PLE!$G$15,$M18-$A$15,CH$13)="",10^12,OFFSET(PLE!$G$15,$M18-$A$15,CH$13)))</f>
        <v>1000000000000</v>
      </c>
      <c r="CI18" s="171" cm="1">
        <f t="array" aca="1" ref="CI18" ca="1">IF(OR($D18&lt;&gt;"Serviço",AND(AUTOEVENTO="Manual",$M18=$A$15),$M18&gt;(ROW(PLE.lastrow)-ROW(PLE.firstrow))),0,
           IF(OFFSET(PLE!$G$15,$M18-$A$15,CI$13)="",10^12,OFFSET(PLE!$G$15,$M18-$A$15,CI$13)))</f>
        <v>1000000000000</v>
      </c>
      <c r="CJ18" s="171" cm="1">
        <f t="array" aca="1" ref="CJ18" ca="1">IF(OR($D18&lt;&gt;"Serviço",AND(AUTOEVENTO="Manual",$M18=$A$15),$M18&gt;(ROW(PLE.lastrow)-ROW(PLE.firstrow))),0,
           IF(OFFSET(PLE!$G$15,$M18-$A$15,CJ$13)="",10^12,OFFSET(PLE!$G$15,$M18-$A$15,CJ$13)))</f>
        <v>1000000000000</v>
      </c>
      <c r="CK18" s="171" cm="1">
        <f t="array" aca="1" ref="CK18" ca="1">IF(OR($D18&lt;&gt;"Serviço",AND(AUTOEVENTO="Manual",$M18=$A$15),$M18&gt;(ROW(PLE.lastrow)-ROW(PLE.firstrow))),0,
           IF(OFFSET(PLE!$G$15,$M18-$A$15,CK$13)="",10^12,OFFSET(PLE!$G$15,$M18-$A$15,CK$13)))</f>
        <v>1000000000000</v>
      </c>
      <c r="CL18" s="171" cm="1">
        <f t="array" aca="1" ref="CL18" ca="1">IF(OR($D18&lt;&gt;"Serviço",AND(AUTOEVENTO="Manual",$M18=$A$15),$M18&gt;(ROW(PLE.lastrow)-ROW(PLE.firstrow))),0,
           IF(OFFSET(PLE!$G$15,$M18-$A$15,CL$13)="",10^12,OFFSET(PLE!$G$15,$M18-$A$15,CL$13)))</f>
        <v>1000000000000</v>
      </c>
      <c r="CM18" s="171" cm="1">
        <f t="array" aca="1" ref="CM18" ca="1">IF(OR($D18&lt;&gt;"Serviço",AND(AUTOEVENTO="Manual",$M18=$A$15),$M18&gt;(ROW(PLE.lastrow)-ROW(PLE.firstrow))),0,
           IF(OFFSET(PLE!$G$15,$M18-$A$15,CM$13)="",10^12,OFFSET(PLE!$G$15,$M18-$A$15,CM$13)))</f>
        <v>1000000000000</v>
      </c>
    </row>
    <row r="19" spans="1:91" ht="12.75" x14ac:dyDescent="0.2">
      <c r="A19" s="7" t="str">
        <f t="shared" ca="1" si="12"/>
        <v>2</v>
      </c>
      <c r="B19" s="7" t="str">
        <f ca="1">OFFSET(ORÇAMENTO!C$15,$L19,0)</f>
        <v>S</v>
      </c>
      <c r="C19" s="7" t="str">
        <f ca="1">OFFSET(ORÇAMENTO!L$15,$L19,0)</f>
        <v>F</v>
      </c>
      <c r="D19" s="115" t="str">
        <f ca="1">OFFSET(ORÇAMENTO!N$15,$L19,0)</f>
        <v>Serviço</v>
      </c>
      <c r="E19" s="116" t="str">
        <f ca="1">OFFSET(ORÇAMENTO!O$15,$L19,0)</f>
        <v>1.1.2.</v>
      </c>
      <c r="F19" s="162" t="str">
        <f ca="1">OFFSET(ORÇAMENTO!R$15,$L19,0)</f>
        <v>(Código não identificado nas referências)</v>
      </c>
      <c r="G19" s="163" t="str">
        <f ca="1">IF($D19&lt;&gt;"Serviço","",OFFSET(ORÇAMENTO!S$15,$L19,0))</f>
        <v>M2</v>
      </c>
      <c r="H19" s="121" cm="1">
        <f t="array" aca="1" ref="H19" ca="1">IF($D19&lt;&gt;"Serviço",0,IF(ACOMPANHAMENTO="BM",ROUND(OFFSET(ORÇAMENTO!AJ$15,$L19,0),15-13*ORÇAMENTO!$AF$7),IF(IFERROR(CÁLCULO.FrentesPreenchidas,0)=0,0,SUM(ROUND(OFFSET($P19,0,1,1,CÁLCULO.FrentesPreenchidas),15-13*ORÇAMENTO!$AF$7)))))</f>
        <v>3518.0199999999995</v>
      </c>
      <c r="I19" s="467"/>
      <c r="J19" s="650" t="str" cm="1">
        <f t="array" aca="1" ref="J19" ca="1">IF(OR(B19&lt;&gt;"S",CÁLCULO.FrentesPreenchidas=0),"",IF(AND(ACOMPANHAMENTO="PLE",AUTOEVENTO="Manual",OR(H19&gt;0,ORÇAMENTO!AC19="QUANT."),OR(K19="",M19=0,N19="")),"►E",IF(AND(ACOMPANHAMENTO="PLE",ORÇAMENTO!AC19="QUANT."),"►Q",IF(AND(ACOMPANHAMENTO="PLE",H19&lt;&gt;SUMPRODUCT(($Q$1:$AI$1=1)*ROUND(Q19:AI19,15))),"►S",IF(AND(COUNTIF($P$11:$AI$11,"▼")=0,H19&gt;0,I19=""),"◄M","")))))</f>
        <v>◄M</v>
      </c>
      <c r="K19" s="651"/>
      <c r="L19" s="164">
        <f ca="1">OFFSET(L19,-1,0)+1</f>
        <v>4</v>
      </c>
      <c r="M19" s="165">
        <f ca="1">IF($D19&lt;&gt;"Serviço","",
          IF(AUTOEVENTO="manual",$A19,
                IF(ISERROR(MATCH($A19,$A$15:OFFSET($A19,-1,0),0)),MAX($M$15:OFFSET(M19,-1,0))+1,
                      INDEX($M$15:OFFSET(M19,-1,0),MATCH($A19,$A$15:OFFSET($A19,-1,0),0)))))</f>
        <v>1</v>
      </c>
      <c r="N19" s="166" t="str">
        <f ca="1">IF($D19&lt;&gt;"Serviço","",
         IF(AUTOEVENTO="Manual",
                IF($A19=0,"&lt;-- defina o número do agrupador",
                       OFFSET(EVENTOS!$D$15,$A19-$A$15,0)),
                OFFSET($F$15,$A19,0)))</f>
        <v>Serviços preliminares</v>
      </c>
      <c r="O19" s="167"/>
      <c r="Q19" s="167">
        <v>185.48</v>
      </c>
      <c r="R19" s="168">
        <v>860.43</v>
      </c>
      <c r="S19" s="168"/>
      <c r="T19" s="168"/>
      <c r="U19" s="168"/>
      <c r="V19" s="168"/>
      <c r="W19" s="168">
        <v>1550.81</v>
      </c>
      <c r="X19" s="168"/>
      <c r="Y19" s="168"/>
      <c r="Z19" s="169"/>
      <c r="AA19" s="168">
        <v>921.3</v>
      </c>
      <c r="AB19" s="168"/>
      <c r="AC19" s="168"/>
      <c r="AD19" s="168"/>
      <c r="AE19" s="168"/>
      <c r="AF19" s="168"/>
      <c r="AG19" s="168"/>
      <c r="AH19" s="169"/>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6152.37</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28540.46</v>
      </c>
      <c r="AL19" s="452">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2">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2">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52">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2">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51440.37</v>
      </c>
      <c r="AQ19" s="452">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2">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2">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2">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30559.52</v>
      </c>
      <c r="AU19" s="452">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2">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2">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2">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2">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2">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2">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0">
        <f ca="1">IF(OR($D19&lt;&gt;"Serviço",AND(AUTOEVENTO="Manual",$M19=$A$15)),0,
         IF(OFFSET(CRONOPLE!$F$15,$M19-$A$15,BC$13)=0,10^12,OFFSET(CRONOPLE!$F$15,$M19-$A$15,BC$13)))</f>
        <v>1</v>
      </c>
      <c r="BD19" s="170">
        <f ca="1">IF(OR($D19&lt;&gt;"Serviço",AND(AUTOEVENTO="Manual",$M19=$A$15)),0,
         IF(OFFSET(CRONOPLE!$F$15,$M19-$A$15,BD$13)=0,10^12,OFFSET(CRONOPLE!$F$15,$M19-$A$15,BD$13)))</f>
        <v>1</v>
      </c>
      <c r="BE19" s="170">
        <f ca="1">IF(OR($D19&lt;&gt;"Serviço",AND(AUTOEVENTO="Manual",$M19=$A$15)),0,
         IF(OFFSET(CRONOPLE!$F$15,$M19-$A$15,BE$13)=0,10^12,OFFSET(CRONOPLE!$F$15,$M19-$A$15,BE$13)))</f>
        <v>1000000000000</v>
      </c>
      <c r="BF19" s="170">
        <f ca="1">IF(OR($D19&lt;&gt;"Serviço",AND(AUTOEVENTO="Manual",$M19=$A$15)),0,
         IF(OFFSET(CRONOPLE!$F$15,$M19-$A$15,BF$13)=0,10^12,OFFSET(CRONOPLE!$F$15,$M19-$A$15,BF$13)))</f>
        <v>1000000000000</v>
      </c>
      <c r="BG19" s="170">
        <f ca="1">IF(OR($D19&lt;&gt;"Serviço",AND(AUTOEVENTO="Manual",$M19=$A$15)),0,
         IF(OFFSET(CRONOPLE!$F$15,$M19-$A$15,BG$13)=0,10^12,OFFSET(CRONOPLE!$F$15,$M19-$A$15,BG$13)))</f>
        <v>1000000000000</v>
      </c>
      <c r="BH19" s="170">
        <f ca="1">IF(OR($D19&lt;&gt;"Serviço",AND(AUTOEVENTO="Manual",$M19=$A$15)),0,
         IF(OFFSET(CRONOPLE!$F$15,$M19-$A$15,BH$13)=0,10^12,OFFSET(CRONOPLE!$F$15,$M19-$A$15,BH$13)))</f>
        <v>1000000000000</v>
      </c>
      <c r="BI19" s="170">
        <f ca="1">IF(OR($D19&lt;&gt;"Serviço",AND(AUTOEVENTO="Manual",$M19=$A$15)),0,
         IF(OFFSET(CRONOPLE!$F$15,$M19-$A$15,BI$13)=0,10^12,OFFSET(CRONOPLE!$F$15,$M19-$A$15,BI$13)))</f>
        <v>2</v>
      </c>
      <c r="BJ19" s="170">
        <f ca="1">IF(OR($D19&lt;&gt;"Serviço",AND(AUTOEVENTO="Manual",$M19=$A$15)),0,
         IF(OFFSET(CRONOPLE!$F$15,$M19-$A$15,BJ$13)=0,10^12,OFFSET(CRONOPLE!$F$15,$M19-$A$15,BJ$13)))</f>
        <v>1</v>
      </c>
      <c r="BK19" s="170">
        <f ca="1">IF(OR($D19&lt;&gt;"Serviço",AND(AUTOEVENTO="Manual",$M19=$A$15)),0,
         IF(OFFSET(CRONOPLE!$F$15,$M19-$A$15,BK$13)=0,10^12,OFFSET(CRONOPLE!$F$15,$M19-$A$15,BK$13)))</f>
        <v>1000000000000</v>
      </c>
      <c r="BL19" s="170">
        <f ca="1">IF(OR($D19&lt;&gt;"Serviço",AND(AUTOEVENTO="Manual",$M19=$A$15)),0,
         IF(OFFSET(CRONOPLE!$F$15,$M19-$A$15,BL$13)=0,10^12,OFFSET(CRONOPLE!$F$15,$M19-$A$15,BL$13)))</f>
        <v>1000000000000</v>
      </c>
      <c r="BM19" s="170">
        <f ca="1">IF(OR($D19&lt;&gt;"Serviço",AND(AUTOEVENTO="Manual",$M19=$A$15)),0,
         IF(OFFSET(CRONOPLE!$F$15,$M19-$A$15,BM$13)=0,10^12,OFFSET(CRONOPLE!$F$15,$M19-$A$15,BM$13)))</f>
        <v>4</v>
      </c>
      <c r="BN19" s="170">
        <f ca="1">IF(OR($D19&lt;&gt;"Serviço",AND(AUTOEVENTO="Manual",$M19=$A$15)),0,
         IF(OFFSET(CRONOPLE!$F$15,$M19-$A$15,BN$13)=0,10^12,OFFSET(CRONOPLE!$F$15,$M19-$A$15,BN$13)))</f>
        <v>1000000000000</v>
      </c>
      <c r="BO19" s="170">
        <f ca="1">IF(OR($D19&lt;&gt;"Serviço",AND(AUTOEVENTO="Manual",$M19=$A$15)),0,
         IF(OFFSET(CRONOPLE!$F$15,$M19-$A$15,BO$13)=0,10^12,OFFSET(CRONOPLE!$F$15,$M19-$A$15,BO$13)))</f>
        <v>1000000000000</v>
      </c>
      <c r="BP19" s="170">
        <f ca="1">IF(OR($D19&lt;&gt;"Serviço",AND(AUTOEVENTO="Manual",$M19=$A$15)),0,
         IF(OFFSET(CRONOPLE!$F$15,$M19-$A$15,BP$13)=0,10^12,OFFSET(CRONOPLE!$F$15,$M19-$A$15,BP$13)))</f>
        <v>1000000000000</v>
      </c>
      <c r="BQ19" s="170">
        <f ca="1">IF(OR($D19&lt;&gt;"Serviço",AND(AUTOEVENTO="Manual",$M19=$A$15)),0,
         IF(OFFSET(CRONOPLE!$F$15,$M19-$A$15,BQ$13)=0,10^12,OFFSET(CRONOPLE!$F$15,$M19-$A$15,BQ$13)))</f>
        <v>1000000000000</v>
      </c>
      <c r="BR19" s="170">
        <f ca="1">IF(OR($D19&lt;&gt;"Serviço",AND(AUTOEVENTO="Manual",$M19=$A$15)),0,
         IF(OFFSET(CRONOPLE!$F$15,$M19-$A$15,BR$13)=0,10^12,OFFSET(CRONOPLE!$F$15,$M19-$A$15,BR$13)))</f>
        <v>1000000000000</v>
      </c>
      <c r="BS19" s="170">
        <f ca="1">IF(OR($D19&lt;&gt;"Serviço",AND(AUTOEVENTO="Manual",$M19=$A$15)),0,
         IF(OFFSET(CRONOPLE!$F$15,$M19-$A$15,BS$13)=0,10^12,OFFSET(CRONOPLE!$F$15,$M19-$A$15,BS$13)))</f>
        <v>1000000000000</v>
      </c>
      <c r="BT19" s="170">
        <f ca="1">IF(OR($D19&lt;&gt;"Serviço",AND(AUTOEVENTO="Manual",$M19=$A$15)),0,
         IF(OFFSET(CRONOPLE!$F$15,$M19-$A$15,BT$13)=0,10^12,OFFSET(CRONOPLE!$F$15,$M19-$A$15,BT$13)))</f>
        <v>1000000000000</v>
      </c>
      <c r="BV19" s="171" cm="1">
        <f t="array" aca="1" ref="BV19" ca="1">IF(OR($D19&lt;&gt;"Serviço",AND(AUTOEVENTO="Manual",$M19=$A$15),$M19&gt;(ROW(PLE.lastrow)-ROW(PLE.firstrow))),0,
           IF(OFFSET(PLE!$G$15,$M19-$A$15,BV$13)="",10^12,OFFSET(PLE!$G$15,$M19-$A$15,BV$13)))</f>
        <v>1000000000000</v>
      </c>
      <c r="BW19" s="171" cm="1">
        <f t="array" aca="1" ref="BW19" ca="1">IF(OR($D19&lt;&gt;"Serviço",AND(AUTOEVENTO="Manual",$M19=$A$15),$M19&gt;(ROW(PLE.lastrow)-ROW(PLE.firstrow))),0,
           IF(OFFSET(PLE!$G$15,$M19-$A$15,BW$13)="",10^12,OFFSET(PLE!$G$15,$M19-$A$15,BW$13)))</f>
        <v>1000000000000</v>
      </c>
      <c r="BX19" s="171" cm="1">
        <f t="array" aca="1" ref="BX19" ca="1">IF(OR($D19&lt;&gt;"Serviço",AND(AUTOEVENTO="Manual",$M19=$A$15),$M19&gt;(ROW(PLE.lastrow)-ROW(PLE.firstrow))),0,
           IF(OFFSET(PLE!$G$15,$M19-$A$15,BX$13)="",10^12,OFFSET(PLE!$G$15,$M19-$A$15,BX$13)))</f>
        <v>1000000000000</v>
      </c>
      <c r="BY19" s="171" cm="1">
        <f t="array" aca="1" ref="BY19" ca="1">IF(OR($D19&lt;&gt;"Serviço",AND(AUTOEVENTO="Manual",$M19=$A$15),$M19&gt;(ROW(PLE.lastrow)-ROW(PLE.firstrow))),0,
           IF(OFFSET(PLE!$G$15,$M19-$A$15,BY$13)="",10^12,OFFSET(PLE!$G$15,$M19-$A$15,BY$13)))</f>
        <v>1000000000000</v>
      </c>
      <c r="BZ19" s="171" cm="1">
        <f t="array" aca="1" ref="BZ19" ca="1">IF(OR($D19&lt;&gt;"Serviço",AND(AUTOEVENTO="Manual",$M19=$A$15),$M19&gt;(ROW(PLE.lastrow)-ROW(PLE.firstrow))),0,
           IF(OFFSET(PLE!$G$15,$M19-$A$15,BZ$13)="",10^12,OFFSET(PLE!$G$15,$M19-$A$15,BZ$13)))</f>
        <v>1000000000000</v>
      </c>
      <c r="CA19" s="171" cm="1">
        <f t="array" aca="1" ref="CA19" ca="1">IF(OR($D19&lt;&gt;"Serviço",AND(AUTOEVENTO="Manual",$M19=$A$15),$M19&gt;(ROW(PLE.lastrow)-ROW(PLE.firstrow))),0,
           IF(OFFSET(PLE!$G$15,$M19-$A$15,CA$13)="",10^12,OFFSET(PLE!$G$15,$M19-$A$15,CA$13)))</f>
        <v>1000000000000</v>
      </c>
      <c r="CB19" s="171" cm="1">
        <f t="array" aca="1" ref="CB19" ca="1">IF(OR($D19&lt;&gt;"Serviço",AND(AUTOEVENTO="Manual",$M19=$A$15),$M19&gt;(ROW(PLE.lastrow)-ROW(PLE.firstrow))),0,
           IF(OFFSET(PLE!$G$15,$M19-$A$15,CB$13)="",10^12,OFFSET(PLE!$G$15,$M19-$A$15,CB$13)))</f>
        <v>1000000000000</v>
      </c>
      <c r="CC19" s="171" cm="1">
        <f t="array" aca="1" ref="CC19" ca="1">IF(OR($D19&lt;&gt;"Serviço",AND(AUTOEVENTO="Manual",$M19=$A$15),$M19&gt;(ROW(PLE.lastrow)-ROW(PLE.firstrow))),0,
           IF(OFFSET(PLE!$G$15,$M19-$A$15,CC$13)="",10^12,OFFSET(PLE!$G$15,$M19-$A$15,CC$13)))</f>
        <v>1000000000000</v>
      </c>
      <c r="CD19" s="171" cm="1">
        <f t="array" aca="1" ref="CD19" ca="1">IF(OR($D19&lt;&gt;"Serviço",AND(AUTOEVENTO="Manual",$M19=$A$15),$M19&gt;(ROW(PLE.lastrow)-ROW(PLE.firstrow))),0,
           IF(OFFSET(PLE!$G$15,$M19-$A$15,CD$13)="",10^12,OFFSET(PLE!$G$15,$M19-$A$15,CD$13)))</f>
        <v>1000000000000</v>
      </c>
      <c r="CE19" s="171" cm="1">
        <f t="array" aca="1" ref="CE19" ca="1">IF(OR($D19&lt;&gt;"Serviço",AND(AUTOEVENTO="Manual",$M19=$A$15),$M19&gt;(ROW(PLE.lastrow)-ROW(PLE.firstrow))),0,
           IF(OFFSET(PLE!$G$15,$M19-$A$15,CE$13)="",10^12,OFFSET(PLE!$G$15,$M19-$A$15,CE$13)))</f>
        <v>1000000000000</v>
      </c>
      <c r="CF19" s="171" cm="1">
        <f t="array" aca="1" ref="CF19" ca="1">IF(OR($D19&lt;&gt;"Serviço",AND(AUTOEVENTO="Manual",$M19=$A$15),$M19&gt;(ROW(PLE.lastrow)-ROW(PLE.firstrow))),0,
           IF(OFFSET(PLE!$G$15,$M19-$A$15,CF$13)="",10^12,OFFSET(PLE!$G$15,$M19-$A$15,CF$13)))</f>
        <v>1000000000000</v>
      </c>
      <c r="CG19" s="171" cm="1">
        <f t="array" aca="1" ref="CG19" ca="1">IF(OR($D19&lt;&gt;"Serviço",AND(AUTOEVENTO="Manual",$M19=$A$15),$M19&gt;(ROW(PLE.lastrow)-ROW(PLE.firstrow))),0,
           IF(OFFSET(PLE!$G$15,$M19-$A$15,CG$13)="",10^12,OFFSET(PLE!$G$15,$M19-$A$15,CG$13)))</f>
        <v>1000000000000</v>
      </c>
      <c r="CH19" s="171" cm="1">
        <f t="array" aca="1" ref="CH19" ca="1">IF(OR($D19&lt;&gt;"Serviço",AND(AUTOEVENTO="Manual",$M19=$A$15),$M19&gt;(ROW(PLE.lastrow)-ROW(PLE.firstrow))),0,
           IF(OFFSET(PLE!$G$15,$M19-$A$15,CH$13)="",10^12,OFFSET(PLE!$G$15,$M19-$A$15,CH$13)))</f>
        <v>1000000000000</v>
      </c>
      <c r="CI19" s="171" cm="1">
        <f t="array" aca="1" ref="CI19" ca="1">IF(OR($D19&lt;&gt;"Serviço",AND(AUTOEVENTO="Manual",$M19=$A$15),$M19&gt;(ROW(PLE.lastrow)-ROW(PLE.firstrow))),0,
           IF(OFFSET(PLE!$G$15,$M19-$A$15,CI$13)="",10^12,OFFSET(PLE!$G$15,$M19-$A$15,CI$13)))</f>
        <v>1000000000000</v>
      </c>
      <c r="CJ19" s="171" cm="1">
        <f t="array" aca="1" ref="CJ19" ca="1">IF(OR($D19&lt;&gt;"Serviço",AND(AUTOEVENTO="Manual",$M19=$A$15),$M19&gt;(ROW(PLE.lastrow)-ROW(PLE.firstrow))),0,
           IF(OFFSET(PLE!$G$15,$M19-$A$15,CJ$13)="",10^12,OFFSET(PLE!$G$15,$M19-$A$15,CJ$13)))</f>
        <v>1000000000000</v>
      </c>
      <c r="CK19" s="171" cm="1">
        <f t="array" aca="1" ref="CK19" ca="1">IF(OR($D19&lt;&gt;"Serviço",AND(AUTOEVENTO="Manual",$M19=$A$15),$M19&gt;(ROW(PLE.lastrow)-ROW(PLE.firstrow))),0,
           IF(OFFSET(PLE!$G$15,$M19-$A$15,CK$13)="",10^12,OFFSET(PLE!$G$15,$M19-$A$15,CK$13)))</f>
        <v>1000000000000</v>
      </c>
      <c r="CL19" s="171" cm="1">
        <f t="array" aca="1" ref="CL19" ca="1">IF(OR($D19&lt;&gt;"Serviço",AND(AUTOEVENTO="Manual",$M19=$A$15),$M19&gt;(ROW(PLE.lastrow)-ROW(PLE.firstrow))),0,
           IF(OFFSET(PLE!$G$15,$M19-$A$15,CL$13)="",10^12,OFFSET(PLE!$G$15,$M19-$A$15,CL$13)))</f>
        <v>1000000000000</v>
      </c>
      <c r="CM19" s="171" cm="1">
        <f t="array" aca="1" ref="CM19" ca="1">IF(OR($D19&lt;&gt;"Serviço",AND(AUTOEVENTO="Manual",$M19=$A$15),$M19&gt;(ROW(PLE.lastrow)-ROW(PLE.firstrow))),0,
           IF(OFFSET(PLE!$G$15,$M19-$A$15,CM$13)="",10^12,OFFSET(PLE!$G$15,$M19-$A$15,CM$13)))</f>
        <v>1000000000000</v>
      </c>
    </row>
    <row r="20" spans="1:91" ht="12.75" x14ac:dyDescent="0.2">
      <c r="A20" s="7" t="str">
        <f t="shared" ca="1" si="12"/>
        <v>2</v>
      </c>
      <c r="B20" s="7" t="str">
        <f ca="1">OFFSET(ORÇAMENTO!C$15,$L20,0)</f>
        <v>S</v>
      </c>
      <c r="C20" s="7" t="str">
        <f ca="1">OFFSET(ORÇAMENTO!L$15,$L20,0)</f>
        <v>F</v>
      </c>
      <c r="D20" s="115" t="str">
        <f ca="1">OFFSET(ORÇAMENTO!N$15,$L20,0)</f>
        <v>Serviço</v>
      </c>
      <c r="E20" s="116" t="str">
        <f ca="1">OFFSET(ORÇAMENTO!O$15,$L20,0)</f>
        <v>1.1.3.</v>
      </c>
      <c r="F20" s="162" t="str">
        <f ca="1">OFFSET(ORÇAMENTO!R$15,$L20,0)</f>
        <v>(Código não identificado nas referências)</v>
      </c>
      <c r="G20" s="163" t="str">
        <f ca="1">IF($D20&lt;&gt;"Serviço","",OFFSET(ORÇAMENTO!S$15,$L20,0))</f>
        <v>M3</v>
      </c>
      <c r="H20" s="121" cm="1">
        <f t="array" aca="1" ref="H20" ca="1">IF($D20&lt;&gt;"Serviço",0,IF(ACOMPANHAMENTO="BM",ROUND(OFFSET(ORÇAMENTO!AJ$15,$L20,0),15-13*ORÇAMENTO!$AF$7),IF(IFERROR(CÁLCULO.FrentesPreenchidas,0)=0,0,SUM(ROUND(OFFSET($P20,0,1,1,CÁLCULO.FrentesPreenchidas),15-13*ORÇAMENTO!$AF$7)))))</f>
        <v>1231.31</v>
      </c>
      <c r="I20" s="467"/>
      <c r="J20" s="650" t="str" cm="1">
        <f t="array" aca="1" ref="J20" ca="1">IF(OR(B20&lt;&gt;"S",CÁLCULO.FrentesPreenchidas=0),"",IF(AND(ACOMPANHAMENTO="PLE",AUTOEVENTO="Manual",OR(H20&gt;0,ORÇAMENTO!AC20="QUANT."),OR(K20="",M20=0,N20="")),"►E",IF(AND(ACOMPANHAMENTO="PLE",ORÇAMENTO!AC20="QUANT."),"►Q",IF(AND(ACOMPANHAMENTO="PLE",H20&lt;&gt;SUMPRODUCT(($Q$1:$AI$1=1)*ROUND(Q20:AI20,15))),"►S",IF(AND(COUNTIF($P$11:$AI$11,"▼")=0,H20&gt;0,I20=""),"◄M","")))))</f>
        <v>◄M</v>
      </c>
      <c r="K20" s="651"/>
      <c r="L20" s="164">
        <f t="shared" ref="L20:L23" ca="1" si="13">OFFSET(L20,-1,0)+1</f>
        <v>5</v>
      </c>
      <c r="M20" s="165">
        <f ca="1">IF($D20&lt;&gt;"Serviço","",
          IF(AUTOEVENTO="manual",$A20,
                IF(ISERROR(MATCH($A20,$A$15:OFFSET($A20,-1,0),0)),MAX($M$15:OFFSET(M20,-1,0))+1,
                      INDEX($M$15:OFFSET(M20,-1,0),MATCH($A20,$A$15:OFFSET($A20,-1,0),0)))))</f>
        <v>1</v>
      </c>
      <c r="N20" s="166" t="str">
        <f ca="1">IF($D20&lt;&gt;"Serviço","",
         IF(AUTOEVENTO="Manual",
                IF($A20=0,"&lt;-- defina o número do agrupador",
                       OFFSET(EVENTOS!$D$15,$A20-$A$15,0)),
                OFFSET($F$15,$A20,0)))</f>
        <v>Serviços preliminares</v>
      </c>
      <c r="O20" s="167"/>
      <c r="Q20" s="167">
        <v>64.92</v>
      </c>
      <c r="R20" s="168">
        <v>301.14999999999998</v>
      </c>
      <c r="S20" s="168"/>
      <c r="T20" s="168"/>
      <c r="U20" s="168"/>
      <c r="V20" s="168"/>
      <c r="W20" s="168">
        <v>542.78</v>
      </c>
      <c r="X20" s="168"/>
      <c r="Y20" s="168"/>
      <c r="Z20" s="169"/>
      <c r="AA20" s="168">
        <v>322.45999999999998</v>
      </c>
      <c r="AB20" s="168"/>
      <c r="AC20" s="168"/>
      <c r="AD20" s="168"/>
      <c r="AE20" s="168"/>
      <c r="AF20" s="168"/>
      <c r="AG20" s="168"/>
      <c r="AH20" s="169"/>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1596.38</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7405.28</v>
      </c>
      <c r="AL20" s="452">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2">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2">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52">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2">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13346.96</v>
      </c>
      <c r="AQ20" s="452">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2">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2">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2">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7929.29</v>
      </c>
      <c r="AU20" s="452">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2">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2">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2">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2">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2">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2">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0">
        <f ca="1">IF(OR($D20&lt;&gt;"Serviço",AND(AUTOEVENTO="Manual",$M20=$A$15)),0,
         IF(OFFSET(CRONOPLE!$F$15,$M20-$A$15,BC$13)=0,10^12,OFFSET(CRONOPLE!$F$15,$M20-$A$15,BC$13)))</f>
        <v>1</v>
      </c>
      <c r="BD20" s="170">
        <f ca="1">IF(OR($D20&lt;&gt;"Serviço",AND(AUTOEVENTO="Manual",$M20=$A$15)),0,
         IF(OFFSET(CRONOPLE!$F$15,$M20-$A$15,BD$13)=0,10^12,OFFSET(CRONOPLE!$F$15,$M20-$A$15,BD$13)))</f>
        <v>1</v>
      </c>
      <c r="BE20" s="170">
        <f ca="1">IF(OR($D20&lt;&gt;"Serviço",AND(AUTOEVENTO="Manual",$M20=$A$15)),0,
         IF(OFFSET(CRONOPLE!$F$15,$M20-$A$15,BE$13)=0,10^12,OFFSET(CRONOPLE!$F$15,$M20-$A$15,BE$13)))</f>
        <v>1000000000000</v>
      </c>
      <c r="BF20" s="170">
        <f ca="1">IF(OR($D20&lt;&gt;"Serviço",AND(AUTOEVENTO="Manual",$M20=$A$15)),0,
         IF(OFFSET(CRONOPLE!$F$15,$M20-$A$15,BF$13)=0,10^12,OFFSET(CRONOPLE!$F$15,$M20-$A$15,BF$13)))</f>
        <v>1000000000000</v>
      </c>
      <c r="BG20" s="170">
        <f ca="1">IF(OR($D20&lt;&gt;"Serviço",AND(AUTOEVENTO="Manual",$M20=$A$15)),0,
         IF(OFFSET(CRONOPLE!$F$15,$M20-$A$15,BG$13)=0,10^12,OFFSET(CRONOPLE!$F$15,$M20-$A$15,BG$13)))</f>
        <v>1000000000000</v>
      </c>
      <c r="BH20" s="170">
        <f ca="1">IF(OR($D20&lt;&gt;"Serviço",AND(AUTOEVENTO="Manual",$M20=$A$15)),0,
         IF(OFFSET(CRONOPLE!$F$15,$M20-$A$15,BH$13)=0,10^12,OFFSET(CRONOPLE!$F$15,$M20-$A$15,BH$13)))</f>
        <v>1000000000000</v>
      </c>
      <c r="BI20" s="170">
        <f ca="1">IF(OR($D20&lt;&gt;"Serviço",AND(AUTOEVENTO="Manual",$M20=$A$15)),0,
         IF(OFFSET(CRONOPLE!$F$15,$M20-$A$15,BI$13)=0,10^12,OFFSET(CRONOPLE!$F$15,$M20-$A$15,BI$13)))</f>
        <v>2</v>
      </c>
      <c r="BJ20" s="170">
        <f ca="1">IF(OR($D20&lt;&gt;"Serviço",AND(AUTOEVENTO="Manual",$M20=$A$15)),0,
         IF(OFFSET(CRONOPLE!$F$15,$M20-$A$15,BJ$13)=0,10^12,OFFSET(CRONOPLE!$F$15,$M20-$A$15,BJ$13)))</f>
        <v>1</v>
      </c>
      <c r="BK20" s="170">
        <f ca="1">IF(OR($D20&lt;&gt;"Serviço",AND(AUTOEVENTO="Manual",$M20=$A$15)),0,
         IF(OFFSET(CRONOPLE!$F$15,$M20-$A$15,BK$13)=0,10^12,OFFSET(CRONOPLE!$F$15,$M20-$A$15,BK$13)))</f>
        <v>1000000000000</v>
      </c>
      <c r="BL20" s="170">
        <f ca="1">IF(OR($D20&lt;&gt;"Serviço",AND(AUTOEVENTO="Manual",$M20=$A$15)),0,
         IF(OFFSET(CRONOPLE!$F$15,$M20-$A$15,BL$13)=0,10^12,OFFSET(CRONOPLE!$F$15,$M20-$A$15,BL$13)))</f>
        <v>1000000000000</v>
      </c>
      <c r="BM20" s="170">
        <f ca="1">IF(OR($D20&lt;&gt;"Serviço",AND(AUTOEVENTO="Manual",$M20=$A$15)),0,
         IF(OFFSET(CRONOPLE!$F$15,$M20-$A$15,BM$13)=0,10^12,OFFSET(CRONOPLE!$F$15,$M20-$A$15,BM$13)))</f>
        <v>4</v>
      </c>
      <c r="BN20" s="170">
        <f ca="1">IF(OR($D20&lt;&gt;"Serviço",AND(AUTOEVENTO="Manual",$M20=$A$15)),0,
         IF(OFFSET(CRONOPLE!$F$15,$M20-$A$15,BN$13)=0,10^12,OFFSET(CRONOPLE!$F$15,$M20-$A$15,BN$13)))</f>
        <v>1000000000000</v>
      </c>
      <c r="BO20" s="170">
        <f ca="1">IF(OR($D20&lt;&gt;"Serviço",AND(AUTOEVENTO="Manual",$M20=$A$15)),0,
         IF(OFFSET(CRONOPLE!$F$15,$M20-$A$15,BO$13)=0,10^12,OFFSET(CRONOPLE!$F$15,$M20-$A$15,BO$13)))</f>
        <v>1000000000000</v>
      </c>
      <c r="BP20" s="170">
        <f ca="1">IF(OR($D20&lt;&gt;"Serviço",AND(AUTOEVENTO="Manual",$M20=$A$15)),0,
         IF(OFFSET(CRONOPLE!$F$15,$M20-$A$15,BP$13)=0,10^12,OFFSET(CRONOPLE!$F$15,$M20-$A$15,BP$13)))</f>
        <v>1000000000000</v>
      </c>
      <c r="BQ20" s="170">
        <f ca="1">IF(OR($D20&lt;&gt;"Serviço",AND(AUTOEVENTO="Manual",$M20=$A$15)),0,
         IF(OFFSET(CRONOPLE!$F$15,$M20-$A$15,BQ$13)=0,10^12,OFFSET(CRONOPLE!$F$15,$M20-$A$15,BQ$13)))</f>
        <v>1000000000000</v>
      </c>
      <c r="BR20" s="170">
        <f ca="1">IF(OR($D20&lt;&gt;"Serviço",AND(AUTOEVENTO="Manual",$M20=$A$15)),0,
         IF(OFFSET(CRONOPLE!$F$15,$M20-$A$15,BR$13)=0,10^12,OFFSET(CRONOPLE!$F$15,$M20-$A$15,BR$13)))</f>
        <v>1000000000000</v>
      </c>
      <c r="BS20" s="170">
        <f ca="1">IF(OR($D20&lt;&gt;"Serviço",AND(AUTOEVENTO="Manual",$M20=$A$15)),0,
         IF(OFFSET(CRONOPLE!$F$15,$M20-$A$15,BS$13)=0,10^12,OFFSET(CRONOPLE!$F$15,$M20-$A$15,BS$13)))</f>
        <v>1000000000000</v>
      </c>
      <c r="BT20" s="170">
        <f ca="1">IF(OR($D20&lt;&gt;"Serviço",AND(AUTOEVENTO="Manual",$M20=$A$15)),0,
         IF(OFFSET(CRONOPLE!$F$15,$M20-$A$15,BT$13)=0,10^12,OFFSET(CRONOPLE!$F$15,$M20-$A$15,BT$13)))</f>
        <v>1000000000000</v>
      </c>
      <c r="BV20" s="171" cm="1">
        <f t="array" aca="1" ref="BV20" ca="1">IF(OR($D20&lt;&gt;"Serviço",AND(AUTOEVENTO="Manual",$M20=$A$15),$M20&gt;(ROW(PLE.lastrow)-ROW(PLE.firstrow))),0,
           IF(OFFSET(PLE!$G$15,$M20-$A$15,BV$13)="",10^12,OFFSET(PLE!$G$15,$M20-$A$15,BV$13)))</f>
        <v>1000000000000</v>
      </c>
      <c r="BW20" s="171" cm="1">
        <f t="array" aca="1" ref="BW20" ca="1">IF(OR($D20&lt;&gt;"Serviço",AND(AUTOEVENTO="Manual",$M20=$A$15),$M20&gt;(ROW(PLE.lastrow)-ROW(PLE.firstrow))),0,
           IF(OFFSET(PLE!$G$15,$M20-$A$15,BW$13)="",10^12,OFFSET(PLE!$G$15,$M20-$A$15,BW$13)))</f>
        <v>1000000000000</v>
      </c>
      <c r="BX20" s="171" cm="1">
        <f t="array" aca="1" ref="BX20" ca="1">IF(OR($D20&lt;&gt;"Serviço",AND(AUTOEVENTO="Manual",$M20=$A$15),$M20&gt;(ROW(PLE.lastrow)-ROW(PLE.firstrow))),0,
           IF(OFFSET(PLE!$G$15,$M20-$A$15,BX$13)="",10^12,OFFSET(PLE!$G$15,$M20-$A$15,BX$13)))</f>
        <v>1000000000000</v>
      </c>
      <c r="BY20" s="171" cm="1">
        <f t="array" aca="1" ref="BY20" ca="1">IF(OR($D20&lt;&gt;"Serviço",AND(AUTOEVENTO="Manual",$M20=$A$15),$M20&gt;(ROW(PLE.lastrow)-ROW(PLE.firstrow))),0,
           IF(OFFSET(PLE!$G$15,$M20-$A$15,BY$13)="",10^12,OFFSET(PLE!$G$15,$M20-$A$15,BY$13)))</f>
        <v>1000000000000</v>
      </c>
      <c r="BZ20" s="171" cm="1">
        <f t="array" aca="1" ref="BZ20" ca="1">IF(OR($D20&lt;&gt;"Serviço",AND(AUTOEVENTO="Manual",$M20=$A$15),$M20&gt;(ROW(PLE.lastrow)-ROW(PLE.firstrow))),0,
           IF(OFFSET(PLE!$G$15,$M20-$A$15,BZ$13)="",10^12,OFFSET(PLE!$G$15,$M20-$A$15,BZ$13)))</f>
        <v>1000000000000</v>
      </c>
      <c r="CA20" s="171" cm="1">
        <f t="array" aca="1" ref="CA20" ca="1">IF(OR($D20&lt;&gt;"Serviço",AND(AUTOEVENTO="Manual",$M20=$A$15),$M20&gt;(ROW(PLE.lastrow)-ROW(PLE.firstrow))),0,
           IF(OFFSET(PLE!$G$15,$M20-$A$15,CA$13)="",10^12,OFFSET(PLE!$G$15,$M20-$A$15,CA$13)))</f>
        <v>1000000000000</v>
      </c>
      <c r="CB20" s="171" cm="1">
        <f t="array" aca="1" ref="CB20" ca="1">IF(OR($D20&lt;&gt;"Serviço",AND(AUTOEVENTO="Manual",$M20=$A$15),$M20&gt;(ROW(PLE.lastrow)-ROW(PLE.firstrow))),0,
           IF(OFFSET(PLE!$G$15,$M20-$A$15,CB$13)="",10^12,OFFSET(PLE!$G$15,$M20-$A$15,CB$13)))</f>
        <v>1000000000000</v>
      </c>
      <c r="CC20" s="171" cm="1">
        <f t="array" aca="1" ref="CC20" ca="1">IF(OR($D20&lt;&gt;"Serviço",AND(AUTOEVENTO="Manual",$M20=$A$15),$M20&gt;(ROW(PLE.lastrow)-ROW(PLE.firstrow))),0,
           IF(OFFSET(PLE!$G$15,$M20-$A$15,CC$13)="",10^12,OFFSET(PLE!$G$15,$M20-$A$15,CC$13)))</f>
        <v>1000000000000</v>
      </c>
      <c r="CD20" s="171" cm="1">
        <f t="array" aca="1" ref="CD20" ca="1">IF(OR($D20&lt;&gt;"Serviço",AND(AUTOEVENTO="Manual",$M20=$A$15),$M20&gt;(ROW(PLE.lastrow)-ROW(PLE.firstrow))),0,
           IF(OFFSET(PLE!$G$15,$M20-$A$15,CD$13)="",10^12,OFFSET(PLE!$G$15,$M20-$A$15,CD$13)))</f>
        <v>1000000000000</v>
      </c>
      <c r="CE20" s="171" cm="1">
        <f t="array" aca="1" ref="CE20" ca="1">IF(OR($D20&lt;&gt;"Serviço",AND(AUTOEVENTO="Manual",$M20=$A$15),$M20&gt;(ROW(PLE.lastrow)-ROW(PLE.firstrow))),0,
           IF(OFFSET(PLE!$G$15,$M20-$A$15,CE$13)="",10^12,OFFSET(PLE!$G$15,$M20-$A$15,CE$13)))</f>
        <v>1000000000000</v>
      </c>
      <c r="CF20" s="171" cm="1">
        <f t="array" aca="1" ref="CF20" ca="1">IF(OR($D20&lt;&gt;"Serviço",AND(AUTOEVENTO="Manual",$M20=$A$15),$M20&gt;(ROW(PLE.lastrow)-ROW(PLE.firstrow))),0,
           IF(OFFSET(PLE!$G$15,$M20-$A$15,CF$13)="",10^12,OFFSET(PLE!$G$15,$M20-$A$15,CF$13)))</f>
        <v>1000000000000</v>
      </c>
      <c r="CG20" s="171" cm="1">
        <f t="array" aca="1" ref="CG20" ca="1">IF(OR($D20&lt;&gt;"Serviço",AND(AUTOEVENTO="Manual",$M20=$A$15),$M20&gt;(ROW(PLE.lastrow)-ROW(PLE.firstrow))),0,
           IF(OFFSET(PLE!$G$15,$M20-$A$15,CG$13)="",10^12,OFFSET(PLE!$G$15,$M20-$A$15,CG$13)))</f>
        <v>1000000000000</v>
      </c>
      <c r="CH20" s="171" cm="1">
        <f t="array" aca="1" ref="CH20" ca="1">IF(OR($D20&lt;&gt;"Serviço",AND(AUTOEVENTO="Manual",$M20=$A$15),$M20&gt;(ROW(PLE.lastrow)-ROW(PLE.firstrow))),0,
           IF(OFFSET(PLE!$G$15,$M20-$A$15,CH$13)="",10^12,OFFSET(PLE!$G$15,$M20-$A$15,CH$13)))</f>
        <v>1000000000000</v>
      </c>
      <c r="CI20" s="171" cm="1">
        <f t="array" aca="1" ref="CI20" ca="1">IF(OR($D20&lt;&gt;"Serviço",AND(AUTOEVENTO="Manual",$M20=$A$15),$M20&gt;(ROW(PLE.lastrow)-ROW(PLE.firstrow))),0,
           IF(OFFSET(PLE!$G$15,$M20-$A$15,CI$13)="",10^12,OFFSET(PLE!$G$15,$M20-$A$15,CI$13)))</f>
        <v>1000000000000</v>
      </c>
      <c r="CJ20" s="171" cm="1">
        <f t="array" aca="1" ref="CJ20" ca="1">IF(OR($D20&lt;&gt;"Serviço",AND(AUTOEVENTO="Manual",$M20=$A$15),$M20&gt;(ROW(PLE.lastrow)-ROW(PLE.firstrow))),0,
           IF(OFFSET(PLE!$G$15,$M20-$A$15,CJ$13)="",10^12,OFFSET(PLE!$G$15,$M20-$A$15,CJ$13)))</f>
        <v>1000000000000</v>
      </c>
      <c r="CK20" s="171" cm="1">
        <f t="array" aca="1" ref="CK20" ca="1">IF(OR($D20&lt;&gt;"Serviço",AND(AUTOEVENTO="Manual",$M20=$A$15),$M20&gt;(ROW(PLE.lastrow)-ROW(PLE.firstrow))),0,
           IF(OFFSET(PLE!$G$15,$M20-$A$15,CK$13)="",10^12,OFFSET(PLE!$G$15,$M20-$A$15,CK$13)))</f>
        <v>1000000000000</v>
      </c>
      <c r="CL20" s="171" cm="1">
        <f t="array" aca="1" ref="CL20" ca="1">IF(OR($D20&lt;&gt;"Serviço",AND(AUTOEVENTO="Manual",$M20=$A$15),$M20&gt;(ROW(PLE.lastrow)-ROW(PLE.firstrow))),0,
           IF(OFFSET(PLE!$G$15,$M20-$A$15,CL$13)="",10^12,OFFSET(PLE!$G$15,$M20-$A$15,CL$13)))</f>
        <v>1000000000000</v>
      </c>
      <c r="CM20" s="171" cm="1">
        <f t="array" aca="1" ref="CM20" ca="1">IF(OR($D20&lt;&gt;"Serviço",AND(AUTOEVENTO="Manual",$M20=$A$15),$M20&gt;(ROW(PLE.lastrow)-ROW(PLE.firstrow))),0,
           IF(OFFSET(PLE!$G$15,$M20-$A$15,CM$13)="",10^12,OFFSET(PLE!$G$15,$M20-$A$15,CM$13)))</f>
        <v>1000000000000</v>
      </c>
    </row>
    <row r="21" spans="1:91" ht="12.75" x14ac:dyDescent="0.2">
      <c r="A21" s="7" t="str">
        <f t="shared" ca="1" si="12"/>
        <v>6.</v>
      </c>
      <c r="B21" s="7">
        <f ca="1">OFFSET(ORÇAMENTO!C$15,$L21,0)</f>
        <v>2</v>
      </c>
      <c r="C21" s="7" t="str">
        <f ca="1">OFFSET(ORÇAMENTO!L$15,$L21,0)</f>
        <v>F</v>
      </c>
      <c r="D21" s="115" t="str">
        <f ca="1">OFFSET(ORÇAMENTO!N$15,$L21,0)</f>
        <v>Nível 2</v>
      </c>
      <c r="E21" s="116" t="str">
        <f ca="1">OFFSET(ORÇAMENTO!O$15,$L21,0)</f>
        <v>1.2.</v>
      </c>
      <c r="F21" s="162" t="str">
        <f ca="1">OFFSET(ORÇAMENTO!R$15,$L21,0)</f>
        <v>Base/Sub Base</v>
      </c>
      <c r="G21" s="163" t="str">
        <f ca="1">IF($D21&lt;&gt;"Serviço","",OFFSET(ORÇAMENTO!S$15,$L21,0))</f>
        <v/>
      </c>
      <c r="H21" s="121" cm="1">
        <f t="array" aca="1" ref="H21" ca="1">IF($D21&lt;&gt;"Serviço",0,IF(ACOMPANHAMENTO="BM",ROUND(OFFSET(ORÇAMENTO!AJ$15,$L21,0),15-13*ORÇAMENTO!$AF$7),IF(IFERROR(CÁLCULO.FrentesPreenchidas,0)=0,0,SUM(ROUND(OFFSET($P21,0,1,1,CÁLCULO.FrentesPreenchidas),15-13*ORÇAMENTO!$AF$7)))))</f>
        <v>0</v>
      </c>
      <c r="I21" s="467"/>
      <c r="J21" s="650" t="str" cm="1">
        <f t="array" aca="1" ref="J21" ca="1">IF(OR(B21&lt;&gt;"S",CÁLCULO.FrentesPreenchidas=0),"",IF(AND(ACOMPANHAMENTO="PLE",AUTOEVENTO="Manual",OR(H21&gt;0,ORÇAMENTO!AC21="QUANT."),OR(K21="",M21=0,N21="")),"►E",IF(AND(ACOMPANHAMENTO="PLE",ORÇAMENTO!AC21="QUANT."),"►Q",IF(AND(ACOMPANHAMENTO="PLE",H21&lt;&gt;SUMPRODUCT(($Q$1:$AI$1=1)*ROUND(Q21:AI21,15))),"►S",IF(AND(COUNTIF($P$11:$AI$11,"▼")=0,H21&gt;0,I21=""),"◄M","")))))</f>
        <v/>
      </c>
      <c r="K21" s="651"/>
      <c r="L21" s="164">
        <f ca="1">OFFSET(L21,-1,0)+1</f>
        <v>6</v>
      </c>
      <c r="M21" s="165" t="str">
        <f ca="1">IF($D21&lt;&gt;"Serviço","",
          IF(AUTOEVENTO="manual",$A21,
                IF(ISERROR(MATCH($A21,$A$15:OFFSET($A21,-1,0),0)),MAX($M$15:OFFSET(M21,-1,0))+1,
                      INDEX($M$15:OFFSET(M21,-1,0),MATCH($A21,$A$15:OFFSET($A21,-1,0),0)))))</f>
        <v/>
      </c>
      <c r="N21" s="166" t="str">
        <f ca="1">IF($D21&lt;&gt;"Serviço","",
         IF(AUTOEVENTO="Manual",
                IF($A21=0,"&lt;-- defina o número do agrupador",
                       OFFSET(EVENTOS!$D$15,$A21-$A$15,0)),
                OFFSET($F$15,$A21,0)))</f>
        <v/>
      </c>
      <c r="O21" s="167"/>
      <c r="Q21" s="167"/>
      <c r="R21" s="168"/>
      <c r="S21" s="168"/>
      <c r="T21" s="168"/>
      <c r="U21" s="168"/>
      <c r="V21" s="168"/>
      <c r="W21" s="168"/>
      <c r="X21" s="168"/>
      <c r="Y21" s="168"/>
      <c r="Z21" s="169"/>
      <c r="AA21" s="168"/>
      <c r="AB21" s="168"/>
      <c r="AC21" s="168"/>
      <c r="AD21" s="168"/>
      <c r="AE21" s="168"/>
      <c r="AF21" s="168"/>
      <c r="AG21" s="168"/>
      <c r="AH21" s="169"/>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52">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2">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2">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52">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2">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2">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2">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2">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2">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2">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2">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2">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2">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2">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2">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2">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0">
        <f ca="1">IF(OR($D21&lt;&gt;"Serviço",AND(AUTOEVENTO="Manual",$M21=$A$15)),0,
         IF(OFFSET(CRONOPLE!$F$15,$M21-$A$15,BC$13)=0,10^12,OFFSET(CRONOPLE!$F$15,$M21-$A$15,BC$13)))</f>
        <v>0</v>
      </c>
      <c r="BD21" s="170">
        <f ca="1">IF(OR($D21&lt;&gt;"Serviço",AND(AUTOEVENTO="Manual",$M21=$A$15)),0,
         IF(OFFSET(CRONOPLE!$F$15,$M21-$A$15,BD$13)=0,10^12,OFFSET(CRONOPLE!$F$15,$M21-$A$15,BD$13)))</f>
        <v>0</v>
      </c>
      <c r="BE21" s="170">
        <f ca="1">IF(OR($D21&lt;&gt;"Serviço",AND(AUTOEVENTO="Manual",$M21=$A$15)),0,
         IF(OFFSET(CRONOPLE!$F$15,$M21-$A$15,BE$13)=0,10^12,OFFSET(CRONOPLE!$F$15,$M21-$A$15,BE$13)))</f>
        <v>0</v>
      </c>
      <c r="BF21" s="170">
        <f ca="1">IF(OR($D21&lt;&gt;"Serviço",AND(AUTOEVENTO="Manual",$M21=$A$15)),0,
         IF(OFFSET(CRONOPLE!$F$15,$M21-$A$15,BF$13)=0,10^12,OFFSET(CRONOPLE!$F$15,$M21-$A$15,BF$13)))</f>
        <v>0</v>
      </c>
      <c r="BG21" s="170">
        <f ca="1">IF(OR($D21&lt;&gt;"Serviço",AND(AUTOEVENTO="Manual",$M21=$A$15)),0,
         IF(OFFSET(CRONOPLE!$F$15,$M21-$A$15,BG$13)=0,10^12,OFFSET(CRONOPLE!$F$15,$M21-$A$15,BG$13)))</f>
        <v>0</v>
      </c>
      <c r="BH21" s="170">
        <f ca="1">IF(OR($D21&lt;&gt;"Serviço",AND(AUTOEVENTO="Manual",$M21=$A$15)),0,
         IF(OFFSET(CRONOPLE!$F$15,$M21-$A$15,BH$13)=0,10^12,OFFSET(CRONOPLE!$F$15,$M21-$A$15,BH$13)))</f>
        <v>0</v>
      </c>
      <c r="BI21" s="170">
        <f ca="1">IF(OR($D21&lt;&gt;"Serviço",AND(AUTOEVENTO="Manual",$M21=$A$15)),0,
         IF(OFFSET(CRONOPLE!$F$15,$M21-$A$15,BI$13)=0,10^12,OFFSET(CRONOPLE!$F$15,$M21-$A$15,BI$13)))</f>
        <v>0</v>
      </c>
      <c r="BJ21" s="170">
        <f ca="1">IF(OR($D21&lt;&gt;"Serviço",AND(AUTOEVENTO="Manual",$M21=$A$15)),0,
         IF(OFFSET(CRONOPLE!$F$15,$M21-$A$15,BJ$13)=0,10^12,OFFSET(CRONOPLE!$F$15,$M21-$A$15,BJ$13)))</f>
        <v>0</v>
      </c>
      <c r="BK21" s="170">
        <f ca="1">IF(OR($D21&lt;&gt;"Serviço",AND(AUTOEVENTO="Manual",$M21=$A$15)),0,
         IF(OFFSET(CRONOPLE!$F$15,$M21-$A$15,BK$13)=0,10^12,OFFSET(CRONOPLE!$F$15,$M21-$A$15,BK$13)))</f>
        <v>0</v>
      </c>
      <c r="BL21" s="170">
        <f ca="1">IF(OR($D21&lt;&gt;"Serviço",AND(AUTOEVENTO="Manual",$M21=$A$15)),0,
         IF(OFFSET(CRONOPLE!$F$15,$M21-$A$15,BL$13)=0,10^12,OFFSET(CRONOPLE!$F$15,$M21-$A$15,BL$13)))</f>
        <v>0</v>
      </c>
      <c r="BM21" s="170">
        <f ca="1">IF(OR($D21&lt;&gt;"Serviço",AND(AUTOEVENTO="Manual",$M21=$A$15)),0,
         IF(OFFSET(CRONOPLE!$F$15,$M21-$A$15,BM$13)=0,10^12,OFFSET(CRONOPLE!$F$15,$M21-$A$15,BM$13)))</f>
        <v>0</v>
      </c>
      <c r="BN21" s="170">
        <f ca="1">IF(OR($D21&lt;&gt;"Serviço",AND(AUTOEVENTO="Manual",$M21=$A$15)),0,
         IF(OFFSET(CRONOPLE!$F$15,$M21-$A$15,BN$13)=0,10^12,OFFSET(CRONOPLE!$F$15,$M21-$A$15,BN$13)))</f>
        <v>0</v>
      </c>
      <c r="BO21" s="170">
        <f ca="1">IF(OR($D21&lt;&gt;"Serviço",AND(AUTOEVENTO="Manual",$M21=$A$15)),0,
         IF(OFFSET(CRONOPLE!$F$15,$M21-$A$15,BO$13)=0,10^12,OFFSET(CRONOPLE!$F$15,$M21-$A$15,BO$13)))</f>
        <v>0</v>
      </c>
      <c r="BP21" s="170">
        <f ca="1">IF(OR($D21&lt;&gt;"Serviço",AND(AUTOEVENTO="Manual",$M21=$A$15)),0,
         IF(OFFSET(CRONOPLE!$F$15,$M21-$A$15,BP$13)=0,10^12,OFFSET(CRONOPLE!$F$15,$M21-$A$15,BP$13)))</f>
        <v>0</v>
      </c>
      <c r="BQ21" s="170">
        <f ca="1">IF(OR($D21&lt;&gt;"Serviço",AND(AUTOEVENTO="Manual",$M21=$A$15)),0,
         IF(OFFSET(CRONOPLE!$F$15,$M21-$A$15,BQ$13)=0,10^12,OFFSET(CRONOPLE!$F$15,$M21-$A$15,BQ$13)))</f>
        <v>0</v>
      </c>
      <c r="BR21" s="170">
        <f ca="1">IF(OR($D21&lt;&gt;"Serviço",AND(AUTOEVENTO="Manual",$M21=$A$15)),0,
         IF(OFFSET(CRONOPLE!$F$15,$M21-$A$15,BR$13)=0,10^12,OFFSET(CRONOPLE!$F$15,$M21-$A$15,BR$13)))</f>
        <v>0</v>
      </c>
      <c r="BS21" s="170">
        <f ca="1">IF(OR($D21&lt;&gt;"Serviço",AND(AUTOEVENTO="Manual",$M21=$A$15)),0,
         IF(OFFSET(CRONOPLE!$F$15,$M21-$A$15,BS$13)=0,10^12,OFFSET(CRONOPLE!$F$15,$M21-$A$15,BS$13)))</f>
        <v>0</v>
      </c>
      <c r="BT21" s="170">
        <f ca="1">IF(OR($D21&lt;&gt;"Serviço",AND(AUTOEVENTO="Manual",$M21=$A$15)),0,
         IF(OFFSET(CRONOPLE!$F$15,$M21-$A$15,BT$13)=0,10^12,OFFSET(CRONOPLE!$F$15,$M21-$A$15,BT$13)))</f>
        <v>0</v>
      </c>
      <c r="BV21" s="171" cm="1">
        <f t="array" aca="1" ref="BV21" ca="1">IF(OR($D21&lt;&gt;"Serviço",AND(AUTOEVENTO="Manual",$M21=$A$15),$M21&gt;(ROW(PLE.lastrow)-ROW(PLE.firstrow))),0,
           IF(OFFSET(PLE!$G$15,$M21-$A$15,BV$13)="",10^12,OFFSET(PLE!$G$15,$M21-$A$15,BV$13)))</f>
        <v>0</v>
      </c>
      <c r="BW21" s="171" cm="1">
        <f t="array" aca="1" ref="BW21" ca="1">IF(OR($D21&lt;&gt;"Serviço",AND(AUTOEVENTO="Manual",$M21=$A$15),$M21&gt;(ROW(PLE.lastrow)-ROW(PLE.firstrow))),0,
           IF(OFFSET(PLE!$G$15,$M21-$A$15,BW$13)="",10^12,OFFSET(PLE!$G$15,$M21-$A$15,BW$13)))</f>
        <v>0</v>
      </c>
      <c r="BX21" s="171" cm="1">
        <f t="array" aca="1" ref="BX21" ca="1">IF(OR($D21&lt;&gt;"Serviço",AND(AUTOEVENTO="Manual",$M21=$A$15),$M21&gt;(ROW(PLE.lastrow)-ROW(PLE.firstrow))),0,
           IF(OFFSET(PLE!$G$15,$M21-$A$15,BX$13)="",10^12,OFFSET(PLE!$G$15,$M21-$A$15,BX$13)))</f>
        <v>0</v>
      </c>
      <c r="BY21" s="171" cm="1">
        <f t="array" aca="1" ref="BY21" ca="1">IF(OR($D21&lt;&gt;"Serviço",AND(AUTOEVENTO="Manual",$M21=$A$15),$M21&gt;(ROW(PLE.lastrow)-ROW(PLE.firstrow))),0,
           IF(OFFSET(PLE!$G$15,$M21-$A$15,BY$13)="",10^12,OFFSET(PLE!$G$15,$M21-$A$15,BY$13)))</f>
        <v>0</v>
      </c>
      <c r="BZ21" s="171" cm="1">
        <f t="array" aca="1" ref="BZ21" ca="1">IF(OR($D21&lt;&gt;"Serviço",AND(AUTOEVENTO="Manual",$M21=$A$15),$M21&gt;(ROW(PLE.lastrow)-ROW(PLE.firstrow))),0,
           IF(OFFSET(PLE!$G$15,$M21-$A$15,BZ$13)="",10^12,OFFSET(PLE!$G$15,$M21-$A$15,BZ$13)))</f>
        <v>0</v>
      </c>
      <c r="CA21" s="171" cm="1">
        <f t="array" aca="1" ref="CA21" ca="1">IF(OR($D21&lt;&gt;"Serviço",AND(AUTOEVENTO="Manual",$M21=$A$15),$M21&gt;(ROW(PLE.lastrow)-ROW(PLE.firstrow))),0,
           IF(OFFSET(PLE!$G$15,$M21-$A$15,CA$13)="",10^12,OFFSET(PLE!$G$15,$M21-$A$15,CA$13)))</f>
        <v>0</v>
      </c>
      <c r="CB21" s="171" cm="1">
        <f t="array" aca="1" ref="CB21" ca="1">IF(OR($D21&lt;&gt;"Serviço",AND(AUTOEVENTO="Manual",$M21=$A$15),$M21&gt;(ROW(PLE.lastrow)-ROW(PLE.firstrow))),0,
           IF(OFFSET(PLE!$G$15,$M21-$A$15,CB$13)="",10^12,OFFSET(PLE!$G$15,$M21-$A$15,CB$13)))</f>
        <v>0</v>
      </c>
      <c r="CC21" s="171" cm="1">
        <f t="array" aca="1" ref="CC21" ca="1">IF(OR($D21&lt;&gt;"Serviço",AND(AUTOEVENTO="Manual",$M21=$A$15),$M21&gt;(ROW(PLE.lastrow)-ROW(PLE.firstrow))),0,
           IF(OFFSET(PLE!$G$15,$M21-$A$15,CC$13)="",10^12,OFFSET(PLE!$G$15,$M21-$A$15,CC$13)))</f>
        <v>0</v>
      </c>
      <c r="CD21" s="171" cm="1">
        <f t="array" aca="1" ref="CD21" ca="1">IF(OR($D21&lt;&gt;"Serviço",AND(AUTOEVENTO="Manual",$M21=$A$15),$M21&gt;(ROW(PLE.lastrow)-ROW(PLE.firstrow))),0,
           IF(OFFSET(PLE!$G$15,$M21-$A$15,CD$13)="",10^12,OFFSET(PLE!$G$15,$M21-$A$15,CD$13)))</f>
        <v>0</v>
      </c>
      <c r="CE21" s="171" cm="1">
        <f t="array" aca="1" ref="CE21" ca="1">IF(OR($D21&lt;&gt;"Serviço",AND(AUTOEVENTO="Manual",$M21=$A$15),$M21&gt;(ROW(PLE.lastrow)-ROW(PLE.firstrow))),0,
           IF(OFFSET(PLE!$G$15,$M21-$A$15,CE$13)="",10^12,OFFSET(PLE!$G$15,$M21-$A$15,CE$13)))</f>
        <v>0</v>
      </c>
      <c r="CF21" s="171" cm="1">
        <f t="array" aca="1" ref="CF21" ca="1">IF(OR($D21&lt;&gt;"Serviço",AND(AUTOEVENTO="Manual",$M21=$A$15),$M21&gt;(ROW(PLE.lastrow)-ROW(PLE.firstrow))),0,
           IF(OFFSET(PLE!$G$15,$M21-$A$15,CF$13)="",10^12,OFFSET(PLE!$G$15,$M21-$A$15,CF$13)))</f>
        <v>0</v>
      </c>
      <c r="CG21" s="171" cm="1">
        <f t="array" aca="1" ref="CG21" ca="1">IF(OR($D21&lt;&gt;"Serviço",AND(AUTOEVENTO="Manual",$M21=$A$15),$M21&gt;(ROW(PLE.lastrow)-ROW(PLE.firstrow))),0,
           IF(OFFSET(PLE!$G$15,$M21-$A$15,CG$13)="",10^12,OFFSET(PLE!$G$15,$M21-$A$15,CG$13)))</f>
        <v>0</v>
      </c>
      <c r="CH21" s="171" cm="1">
        <f t="array" aca="1" ref="CH21" ca="1">IF(OR($D21&lt;&gt;"Serviço",AND(AUTOEVENTO="Manual",$M21=$A$15),$M21&gt;(ROW(PLE.lastrow)-ROW(PLE.firstrow))),0,
           IF(OFFSET(PLE!$G$15,$M21-$A$15,CH$13)="",10^12,OFFSET(PLE!$G$15,$M21-$A$15,CH$13)))</f>
        <v>0</v>
      </c>
      <c r="CI21" s="171" cm="1">
        <f t="array" aca="1" ref="CI21" ca="1">IF(OR($D21&lt;&gt;"Serviço",AND(AUTOEVENTO="Manual",$M21=$A$15),$M21&gt;(ROW(PLE.lastrow)-ROW(PLE.firstrow))),0,
           IF(OFFSET(PLE!$G$15,$M21-$A$15,CI$13)="",10^12,OFFSET(PLE!$G$15,$M21-$A$15,CI$13)))</f>
        <v>0</v>
      </c>
      <c r="CJ21" s="171" cm="1">
        <f t="array" aca="1" ref="CJ21" ca="1">IF(OR($D21&lt;&gt;"Serviço",AND(AUTOEVENTO="Manual",$M21=$A$15),$M21&gt;(ROW(PLE.lastrow)-ROW(PLE.firstrow))),0,
           IF(OFFSET(PLE!$G$15,$M21-$A$15,CJ$13)="",10^12,OFFSET(PLE!$G$15,$M21-$A$15,CJ$13)))</f>
        <v>0</v>
      </c>
      <c r="CK21" s="171" cm="1">
        <f t="array" aca="1" ref="CK21" ca="1">IF(OR($D21&lt;&gt;"Serviço",AND(AUTOEVENTO="Manual",$M21=$A$15),$M21&gt;(ROW(PLE.lastrow)-ROW(PLE.firstrow))),0,
           IF(OFFSET(PLE!$G$15,$M21-$A$15,CK$13)="",10^12,OFFSET(PLE!$G$15,$M21-$A$15,CK$13)))</f>
        <v>0</v>
      </c>
      <c r="CL21" s="171" cm="1">
        <f t="array" aca="1" ref="CL21" ca="1">IF(OR($D21&lt;&gt;"Serviço",AND(AUTOEVENTO="Manual",$M21=$A$15),$M21&gt;(ROW(PLE.lastrow)-ROW(PLE.firstrow))),0,
           IF(OFFSET(PLE!$G$15,$M21-$A$15,CL$13)="",10^12,OFFSET(PLE!$G$15,$M21-$A$15,CL$13)))</f>
        <v>0</v>
      </c>
      <c r="CM21" s="171" cm="1">
        <f t="array" aca="1" ref="CM21" ca="1">IF(OR($D21&lt;&gt;"Serviço",AND(AUTOEVENTO="Manual",$M21=$A$15),$M21&gt;(ROW(PLE.lastrow)-ROW(PLE.firstrow))),0,
           IF(OFFSET(PLE!$G$15,$M21-$A$15,CM$13)="",10^12,OFFSET(PLE!$G$15,$M21-$A$15,CM$13)))</f>
        <v>0</v>
      </c>
    </row>
    <row r="22" spans="1:91" ht="12.75" x14ac:dyDescent="0.2">
      <c r="A22" s="7" t="str">
        <f t="shared" ca="1" si="12"/>
        <v>6</v>
      </c>
      <c r="B22" s="7" t="str">
        <f ca="1">OFFSET(ORÇAMENTO!C$15,$L22,0)</f>
        <v>S</v>
      </c>
      <c r="C22" s="7" t="str">
        <f ca="1">OFFSET(ORÇAMENTO!L$15,$L22,0)</f>
        <v>F</v>
      </c>
      <c r="D22" s="115" t="str">
        <f ca="1">OFFSET(ORÇAMENTO!N$15,$L22,0)</f>
        <v>Serviço</v>
      </c>
      <c r="E22" s="116" t="str">
        <f ca="1">OFFSET(ORÇAMENTO!O$15,$L22,0)</f>
        <v>1.2.1.</v>
      </c>
      <c r="F22" s="162" t="str">
        <f ca="1">OFFSET(ORÇAMENTO!R$15,$L22,0)</f>
        <v>(Código não identificado nas referências)</v>
      </c>
      <c r="G22" s="163" t="str">
        <f ca="1">IF($D22&lt;&gt;"Serviço","",OFFSET(ORÇAMENTO!S$15,$L22,0))</f>
        <v>M3</v>
      </c>
      <c r="H22" s="121" cm="1">
        <f t="array" aca="1" ref="H22" ca="1">IF($D22&lt;&gt;"Serviço",0,IF(ACOMPANHAMENTO="BM",ROUND(OFFSET(ORÇAMENTO!AJ$15,$L22,0),15-13*ORÇAMENTO!$AF$7),IF(IFERROR(CÁLCULO.FrentesPreenchidas,0)=0,0,SUM(ROUND(OFFSET($P22,0,1,1,CÁLCULO.FrentesPreenchidas),15-13*ORÇAMENTO!$AF$7)))))</f>
        <v>703.61</v>
      </c>
      <c r="I22" s="467"/>
      <c r="J22" s="650" t="str" cm="1">
        <f t="array" aca="1" ref="J22" ca="1">IF(OR(B22&lt;&gt;"S",CÁLCULO.FrentesPreenchidas=0),"",IF(AND(ACOMPANHAMENTO="PLE",AUTOEVENTO="Manual",OR(H22&gt;0,ORÇAMENTO!AC22="QUANT."),OR(K22="",M22=0,N22="")),"►E",IF(AND(ACOMPANHAMENTO="PLE",ORÇAMENTO!AC22="QUANT."),"►Q",IF(AND(ACOMPANHAMENTO="PLE",H22&lt;&gt;SUMPRODUCT(($Q$1:$AI$1=1)*ROUND(Q22:AI22,15))),"►S",IF(AND(COUNTIF($P$11:$AI$11,"▼")=0,H22&gt;0,I22=""),"◄M","")))))</f>
        <v>◄M</v>
      </c>
      <c r="K22" s="651"/>
      <c r="L22" s="164">
        <f t="shared" ca="1" si="13"/>
        <v>7</v>
      </c>
      <c r="M22" s="165">
        <f ca="1">IF($D22&lt;&gt;"Serviço","",
          IF(AUTOEVENTO="manual",$A22,
                IF(ISERROR(MATCH($A22,$A$15:OFFSET($A22,-1,0),0)),MAX($M$15:OFFSET(M22,-1,0))+1,
                      INDEX($M$15:OFFSET(M22,-1,0),MATCH($A22,$A$15:OFFSET($A22,-1,0),0)))))</f>
        <v>2</v>
      </c>
      <c r="N22" s="166" t="str">
        <f ca="1">IF($D22&lt;&gt;"Serviço","",
         IF(AUTOEVENTO="Manual",
                IF($A22=0,"&lt;-- defina o número do agrupador",
                       OFFSET(EVENTOS!$D$15,$A22-$A$15,0)),
                OFFSET($F$15,$A22,0)))</f>
        <v>Base/Sub Base</v>
      </c>
      <c r="O22" s="167"/>
      <c r="Q22" s="167">
        <v>37.1</v>
      </c>
      <c r="R22" s="168">
        <v>172.09</v>
      </c>
      <c r="S22" s="168"/>
      <c r="T22" s="168"/>
      <c r="U22" s="168"/>
      <c r="V22" s="168"/>
      <c r="W22" s="168">
        <v>310.16000000000003</v>
      </c>
      <c r="X22" s="168"/>
      <c r="Y22" s="168"/>
      <c r="Z22" s="169"/>
      <c r="AA22" s="168">
        <v>184.26</v>
      </c>
      <c r="AB22" s="168"/>
      <c r="AC22" s="168"/>
      <c r="AD22" s="168"/>
      <c r="AE22" s="168"/>
      <c r="AF22" s="168"/>
      <c r="AG22" s="168"/>
      <c r="AH22" s="169"/>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1069.22</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4959.63</v>
      </c>
      <c r="AL22" s="452">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52">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52">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0</v>
      </c>
      <c r="AO22" s="452">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52">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8938.81</v>
      </c>
      <c r="AQ22" s="452">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2">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2">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2">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5310.37</v>
      </c>
      <c r="AU22" s="452">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2">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2">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2">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2">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2">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2">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0">
        <f ca="1">IF(OR($D22&lt;&gt;"Serviço",AND(AUTOEVENTO="Manual",$M22=$A$15)),0,
         IF(OFFSET(CRONOPLE!$F$15,$M22-$A$15,BC$13)=0,10^12,OFFSET(CRONOPLE!$F$15,$M22-$A$15,BC$13)))</f>
        <v>1</v>
      </c>
      <c r="BD22" s="170">
        <f ca="1">IF(OR($D22&lt;&gt;"Serviço",AND(AUTOEVENTO="Manual",$M22=$A$15)),0,
         IF(OFFSET(CRONOPLE!$F$15,$M22-$A$15,BD$13)=0,10^12,OFFSET(CRONOPLE!$F$15,$M22-$A$15,BD$13)))</f>
        <v>1</v>
      </c>
      <c r="BE22" s="170">
        <f ca="1">IF(OR($D22&lt;&gt;"Serviço",AND(AUTOEVENTO="Manual",$M22=$A$15)),0,
         IF(OFFSET(CRONOPLE!$F$15,$M22-$A$15,BE$13)=0,10^12,OFFSET(CRONOPLE!$F$15,$M22-$A$15,BE$13)))</f>
        <v>1000000000000</v>
      </c>
      <c r="BF22" s="170">
        <f ca="1">IF(OR($D22&lt;&gt;"Serviço",AND(AUTOEVENTO="Manual",$M22=$A$15)),0,
         IF(OFFSET(CRONOPLE!$F$15,$M22-$A$15,BF$13)=0,10^12,OFFSET(CRONOPLE!$F$15,$M22-$A$15,BF$13)))</f>
        <v>1000000000000</v>
      </c>
      <c r="BG22" s="170">
        <f ca="1">IF(OR($D22&lt;&gt;"Serviço",AND(AUTOEVENTO="Manual",$M22=$A$15)),0,
         IF(OFFSET(CRONOPLE!$F$15,$M22-$A$15,BG$13)=0,10^12,OFFSET(CRONOPLE!$F$15,$M22-$A$15,BG$13)))</f>
        <v>1000000000000</v>
      </c>
      <c r="BH22" s="170">
        <f ca="1">IF(OR($D22&lt;&gt;"Serviço",AND(AUTOEVENTO="Manual",$M22=$A$15)),0,
         IF(OFFSET(CRONOPLE!$F$15,$M22-$A$15,BH$13)=0,10^12,OFFSET(CRONOPLE!$F$15,$M22-$A$15,BH$13)))</f>
        <v>1000000000000</v>
      </c>
      <c r="BI22" s="170">
        <f ca="1">IF(OR($D22&lt;&gt;"Serviço",AND(AUTOEVENTO="Manual",$M22=$A$15)),0,
         IF(OFFSET(CRONOPLE!$F$15,$M22-$A$15,BI$13)=0,10^12,OFFSET(CRONOPLE!$F$15,$M22-$A$15,BI$13)))</f>
        <v>2</v>
      </c>
      <c r="BJ22" s="170">
        <f ca="1">IF(OR($D22&lt;&gt;"Serviço",AND(AUTOEVENTO="Manual",$M22=$A$15)),0,
         IF(OFFSET(CRONOPLE!$F$15,$M22-$A$15,BJ$13)=0,10^12,OFFSET(CRONOPLE!$F$15,$M22-$A$15,BJ$13)))</f>
        <v>1000000000000</v>
      </c>
      <c r="BK22" s="170">
        <f ca="1">IF(OR($D22&lt;&gt;"Serviço",AND(AUTOEVENTO="Manual",$M22=$A$15)),0,
         IF(OFFSET(CRONOPLE!$F$15,$M22-$A$15,BK$13)=0,10^12,OFFSET(CRONOPLE!$F$15,$M22-$A$15,BK$13)))</f>
        <v>1000000000000</v>
      </c>
      <c r="BL22" s="170">
        <f ca="1">IF(OR($D22&lt;&gt;"Serviço",AND(AUTOEVENTO="Manual",$M22=$A$15)),0,
         IF(OFFSET(CRONOPLE!$F$15,$M22-$A$15,BL$13)=0,10^12,OFFSET(CRONOPLE!$F$15,$M22-$A$15,BL$13)))</f>
        <v>1000000000000</v>
      </c>
      <c r="BM22" s="170">
        <f ca="1">IF(OR($D22&lt;&gt;"Serviço",AND(AUTOEVENTO="Manual",$M22=$A$15)),0,
         IF(OFFSET(CRONOPLE!$F$15,$M22-$A$15,BM$13)=0,10^12,OFFSET(CRONOPLE!$F$15,$M22-$A$15,BM$13)))</f>
        <v>4</v>
      </c>
      <c r="BN22" s="170">
        <f ca="1">IF(OR($D22&lt;&gt;"Serviço",AND(AUTOEVENTO="Manual",$M22=$A$15)),0,
         IF(OFFSET(CRONOPLE!$F$15,$M22-$A$15,BN$13)=0,10^12,OFFSET(CRONOPLE!$F$15,$M22-$A$15,BN$13)))</f>
        <v>1000000000000</v>
      </c>
      <c r="BO22" s="170">
        <f ca="1">IF(OR($D22&lt;&gt;"Serviço",AND(AUTOEVENTO="Manual",$M22=$A$15)),0,
         IF(OFFSET(CRONOPLE!$F$15,$M22-$A$15,BO$13)=0,10^12,OFFSET(CRONOPLE!$F$15,$M22-$A$15,BO$13)))</f>
        <v>1000000000000</v>
      </c>
      <c r="BP22" s="170">
        <f ca="1">IF(OR($D22&lt;&gt;"Serviço",AND(AUTOEVENTO="Manual",$M22=$A$15)),0,
         IF(OFFSET(CRONOPLE!$F$15,$M22-$A$15,BP$13)=0,10^12,OFFSET(CRONOPLE!$F$15,$M22-$A$15,BP$13)))</f>
        <v>1000000000000</v>
      </c>
      <c r="BQ22" s="170">
        <f ca="1">IF(OR($D22&lt;&gt;"Serviço",AND(AUTOEVENTO="Manual",$M22=$A$15)),0,
         IF(OFFSET(CRONOPLE!$F$15,$M22-$A$15,BQ$13)=0,10^12,OFFSET(CRONOPLE!$F$15,$M22-$A$15,BQ$13)))</f>
        <v>1000000000000</v>
      </c>
      <c r="BR22" s="170">
        <f ca="1">IF(OR($D22&lt;&gt;"Serviço",AND(AUTOEVENTO="Manual",$M22=$A$15)),0,
         IF(OFFSET(CRONOPLE!$F$15,$M22-$A$15,BR$13)=0,10^12,OFFSET(CRONOPLE!$F$15,$M22-$A$15,BR$13)))</f>
        <v>1000000000000</v>
      </c>
      <c r="BS22" s="170">
        <f ca="1">IF(OR($D22&lt;&gt;"Serviço",AND(AUTOEVENTO="Manual",$M22=$A$15)),0,
         IF(OFFSET(CRONOPLE!$F$15,$M22-$A$15,BS$13)=0,10^12,OFFSET(CRONOPLE!$F$15,$M22-$A$15,BS$13)))</f>
        <v>1000000000000</v>
      </c>
      <c r="BT22" s="170">
        <f ca="1">IF(OR($D22&lt;&gt;"Serviço",AND(AUTOEVENTO="Manual",$M22=$A$15)),0,
         IF(OFFSET(CRONOPLE!$F$15,$M22-$A$15,BT$13)=0,10^12,OFFSET(CRONOPLE!$F$15,$M22-$A$15,BT$13)))</f>
        <v>1000000000000</v>
      </c>
      <c r="BV22" s="171" cm="1">
        <f t="array" aca="1" ref="BV22" ca="1">IF(OR($D22&lt;&gt;"Serviço",AND(AUTOEVENTO="Manual",$M22=$A$15),$M22&gt;(ROW(PLE.lastrow)-ROW(PLE.firstrow))),0,
           IF(OFFSET(PLE!$G$15,$M22-$A$15,BV$13)="",10^12,OFFSET(PLE!$G$15,$M22-$A$15,BV$13)))</f>
        <v>1000000000000</v>
      </c>
      <c r="BW22" s="171" cm="1">
        <f t="array" aca="1" ref="BW22" ca="1">IF(OR($D22&lt;&gt;"Serviço",AND(AUTOEVENTO="Manual",$M22=$A$15),$M22&gt;(ROW(PLE.lastrow)-ROW(PLE.firstrow))),0,
           IF(OFFSET(PLE!$G$15,$M22-$A$15,BW$13)="",10^12,OFFSET(PLE!$G$15,$M22-$A$15,BW$13)))</f>
        <v>1000000000000</v>
      </c>
      <c r="BX22" s="171" cm="1">
        <f t="array" aca="1" ref="BX22" ca="1">IF(OR($D22&lt;&gt;"Serviço",AND(AUTOEVENTO="Manual",$M22=$A$15),$M22&gt;(ROW(PLE.lastrow)-ROW(PLE.firstrow))),0,
           IF(OFFSET(PLE!$G$15,$M22-$A$15,BX$13)="",10^12,OFFSET(PLE!$G$15,$M22-$A$15,BX$13)))</f>
        <v>1000000000000</v>
      </c>
      <c r="BY22" s="171" cm="1">
        <f t="array" aca="1" ref="BY22" ca="1">IF(OR($D22&lt;&gt;"Serviço",AND(AUTOEVENTO="Manual",$M22=$A$15),$M22&gt;(ROW(PLE.lastrow)-ROW(PLE.firstrow))),0,
           IF(OFFSET(PLE!$G$15,$M22-$A$15,BY$13)="",10^12,OFFSET(PLE!$G$15,$M22-$A$15,BY$13)))</f>
        <v>1000000000000</v>
      </c>
      <c r="BZ22" s="171" cm="1">
        <f t="array" aca="1" ref="BZ22" ca="1">IF(OR($D22&lt;&gt;"Serviço",AND(AUTOEVENTO="Manual",$M22=$A$15),$M22&gt;(ROW(PLE.lastrow)-ROW(PLE.firstrow))),0,
           IF(OFFSET(PLE!$G$15,$M22-$A$15,BZ$13)="",10^12,OFFSET(PLE!$G$15,$M22-$A$15,BZ$13)))</f>
        <v>1000000000000</v>
      </c>
      <c r="CA22" s="171" cm="1">
        <f t="array" aca="1" ref="CA22" ca="1">IF(OR($D22&lt;&gt;"Serviço",AND(AUTOEVENTO="Manual",$M22=$A$15),$M22&gt;(ROW(PLE.lastrow)-ROW(PLE.firstrow))),0,
           IF(OFFSET(PLE!$G$15,$M22-$A$15,CA$13)="",10^12,OFFSET(PLE!$G$15,$M22-$A$15,CA$13)))</f>
        <v>1000000000000</v>
      </c>
      <c r="CB22" s="171" cm="1">
        <f t="array" aca="1" ref="CB22" ca="1">IF(OR($D22&lt;&gt;"Serviço",AND(AUTOEVENTO="Manual",$M22=$A$15),$M22&gt;(ROW(PLE.lastrow)-ROW(PLE.firstrow))),0,
           IF(OFFSET(PLE!$G$15,$M22-$A$15,CB$13)="",10^12,OFFSET(PLE!$G$15,$M22-$A$15,CB$13)))</f>
        <v>1000000000000</v>
      </c>
      <c r="CC22" s="171" cm="1">
        <f t="array" aca="1" ref="CC22" ca="1">IF(OR($D22&lt;&gt;"Serviço",AND(AUTOEVENTO="Manual",$M22=$A$15),$M22&gt;(ROW(PLE.lastrow)-ROW(PLE.firstrow))),0,
           IF(OFFSET(PLE!$G$15,$M22-$A$15,CC$13)="",10^12,OFFSET(PLE!$G$15,$M22-$A$15,CC$13)))</f>
        <v>1000000000000</v>
      </c>
      <c r="CD22" s="171" cm="1">
        <f t="array" aca="1" ref="CD22" ca="1">IF(OR($D22&lt;&gt;"Serviço",AND(AUTOEVENTO="Manual",$M22=$A$15),$M22&gt;(ROW(PLE.lastrow)-ROW(PLE.firstrow))),0,
           IF(OFFSET(PLE!$G$15,$M22-$A$15,CD$13)="",10^12,OFFSET(PLE!$G$15,$M22-$A$15,CD$13)))</f>
        <v>1000000000000</v>
      </c>
      <c r="CE22" s="171" cm="1">
        <f t="array" aca="1" ref="CE22" ca="1">IF(OR($D22&lt;&gt;"Serviço",AND(AUTOEVENTO="Manual",$M22=$A$15),$M22&gt;(ROW(PLE.lastrow)-ROW(PLE.firstrow))),0,
           IF(OFFSET(PLE!$G$15,$M22-$A$15,CE$13)="",10^12,OFFSET(PLE!$G$15,$M22-$A$15,CE$13)))</f>
        <v>1000000000000</v>
      </c>
      <c r="CF22" s="171" cm="1">
        <f t="array" aca="1" ref="CF22" ca="1">IF(OR($D22&lt;&gt;"Serviço",AND(AUTOEVENTO="Manual",$M22=$A$15),$M22&gt;(ROW(PLE.lastrow)-ROW(PLE.firstrow))),0,
           IF(OFFSET(PLE!$G$15,$M22-$A$15,CF$13)="",10^12,OFFSET(PLE!$G$15,$M22-$A$15,CF$13)))</f>
        <v>1000000000000</v>
      </c>
      <c r="CG22" s="171" cm="1">
        <f t="array" aca="1" ref="CG22" ca="1">IF(OR($D22&lt;&gt;"Serviço",AND(AUTOEVENTO="Manual",$M22=$A$15),$M22&gt;(ROW(PLE.lastrow)-ROW(PLE.firstrow))),0,
           IF(OFFSET(PLE!$G$15,$M22-$A$15,CG$13)="",10^12,OFFSET(PLE!$G$15,$M22-$A$15,CG$13)))</f>
        <v>1000000000000</v>
      </c>
      <c r="CH22" s="171" cm="1">
        <f t="array" aca="1" ref="CH22" ca="1">IF(OR($D22&lt;&gt;"Serviço",AND(AUTOEVENTO="Manual",$M22=$A$15),$M22&gt;(ROW(PLE.lastrow)-ROW(PLE.firstrow))),0,
           IF(OFFSET(PLE!$G$15,$M22-$A$15,CH$13)="",10^12,OFFSET(PLE!$G$15,$M22-$A$15,CH$13)))</f>
        <v>1000000000000</v>
      </c>
      <c r="CI22" s="171" cm="1">
        <f t="array" aca="1" ref="CI22" ca="1">IF(OR($D22&lt;&gt;"Serviço",AND(AUTOEVENTO="Manual",$M22=$A$15),$M22&gt;(ROW(PLE.lastrow)-ROW(PLE.firstrow))),0,
           IF(OFFSET(PLE!$G$15,$M22-$A$15,CI$13)="",10^12,OFFSET(PLE!$G$15,$M22-$A$15,CI$13)))</f>
        <v>1000000000000</v>
      </c>
      <c r="CJ22" s="171" cm="1">
        <f t="array" aca="1" ref="CJ22" ca="1">IF(OR($D22&lt;&gt;"Serviço",AND(AUTOEVENTO="Manual",$M22=$A$15),$M22&gt;(ROW(PLE.lastrow)-ROW(PLE.firstrow))),0,
           IF(OFFSET(PLE!$G$15,$M22-$A$15,CJ$13)="",10^12,OFFSET(PLE!$G$15,$M22-$A$15,CJ$13)))</f>
        <v>1000000000000</v>
      </c>
      <c r="CK22" s="171" cm="1">
        <f t="array" aca="1" ref="CK22" ca="1">IF(OR($D22&lt;&gt;"Serviço",AND(AUTOEVENTO="Manual",$M22=$A$15),$M22&gt;(ROW(PLE.lastrow)-ROW(PLE.firstrow))),0,
           IF(OFFSET(PLE!$G$15,$M22-$A$15,CK$13)="",10^12,OFFSET(PLE!$G$15,$M22-$A$15,CK$13)))</f>
        <v>1000000000000</v>
      </c>
      <c r="CL22" s="171" cm="1">
        <f t="array" aca="1" ref="CL22" ca="1">IF(OR($D22&lt;&gt;"Serviço",AND(AUTOEVENTO="Manual",$M22=$A$15),$M22&gt;(ROW(PLE.lastrow)-ROW(PLE.firstrow))),0,
           IF(OFFSET(PLE!$G$15,$M22-$A$15,CL$13)="",10^12,OFFSET(PLE!$G$15,$M22-$A$15,CL$13)))</f>
        <v>1000000000000</v>
      </c>
      <c r="CM22" s="171" cm="1">
        <f t="array" aca="1" ref="CM22" ca="1">IF(OR($D22&lt;&gt;"Serviço",AND(AUTOEVENTO="Manual",$M22=$A$15),$M22&gt;(ROW(PLE.lastrow)-ROW(PLE.firstrow))),0,
           IF(OFFSET(PLE!$G$15,$M22-$A$15,CM$13)="",10^12,OFFSET(PLE!$G$15,$M22-$A$15,CM$13)))</f>
        <v>1000000000000</v>
      </c>
    </row>
    <row r="23" spans="1:91" ht="12.75" x14ac:dyDescent="0.2">
      <c r="A23" s="7" t="str">
        <f t="shared" ca="1" si="12"/>
        <v>6</v>
      </c>
      <c r="B23" s="7" t="str">
        <f ca="1">OFFSET(ORÇAMENTO!C$15,$L23,0)</f>
        <v>S</v>
      </c>
      <c r="C23" s="7" t="str">
        <f ca="1">OFFSET(ORÇAMENTO!L$15,$L23,0)</f>
        <v>F</v>
      </c>
      <c r="D23" s="115" t="str">
        <f ca="1">OFFSET(ORÇAMENTO!N$15,$L23,0)</f>
        <v>Serviço</v>
      </c>
      <c r="E23" s="116" t="str">
        <f ca="1">OFFSET(ORÇAMENTO!O$15,$L23,0)</f>
        <v>1.2.2.</v>
      </c>
      <c r="F23" s="162" t="str">
        <f ca="1">OFFSET(ORÇAMENTO!R$15,$L23,0)</f>
        <v>(Código não identificado nas referências)</v>
      </c>
      <c r="G23" s="163" t="str">
        <f ca="1">IF($D23&lt;&gt;"Serviço","",OFFSET(ORÇAMENTO!S$15,$L23,0))</f>
        <v>M3</v>
      </c>
      <c r="H23" s="121" cm="1">
        <f t="array" aca="1" ref="H23" ca="1">IF($D23&lt;&gt;"Serviço",0,IF(ACOMPANHAMENTO="BM",ROUND(OFFSET(ORÇAMENTO!AJ$15,$L23,0),15-13*ORÇAMENTO!$AF$7),IF(IFERROR(CÁLCULO.FrentesPreenchidas,0)=0,0,SUM(ROUND(OFFSET($P23,0,1,1,CÁLCULO.FrentesPreenchidas),15-13*ORÇAMENTO!$AF$7)))))</f>
        <v>527.70000000000005</v>
      </c>
      <c r="I23" s="467"/>
      <c r="J23" s="650" t="str" cm="1">
        <f t="array" aca="1" ref="J23" ca="1">IF(OR(B23&lt;&gt;"S",CÁLCULO.FrentesPreenchidas=0),"",IF(AND(ACOMPANHAMENTO="PLE",AUTOEVENTO="Manual",OR(H23&gt;0,ORÇAMENTO!AC23="QUANT."),OR(K23="",M23=0,N23="")),"►E",IF(AND(ACOMPANHAMENTO="PLE",ORÇAMENTO!AC23="QUANT."),"►Q",IF(AND(ACOMPANHAMENTO="PLE",H23&lt;&gt;SUMPRODUCT(($Q$1:$AI$1=1)*ROUND(Q23:AI23,15))),"►S",IF(AND(COUNTIF($P$11:$AI$11,"▼")=0,H23&gt;0,I23=""),"◄M","")))))</f>
        <v>◄M</v>
      </c>
      <c r="K23" s="651"/>
      <c r="L23" s="164">
        <f t="shared" ca="1" si="13"/>
        <v>8</v>
      </c>
      <c r="M23" s="165">
        <f ca="1">IF($D23&lt;&gt;"Serviço","",
          IF(AUTOEVENTO="manual",$A23,
                IF(ISERROR(MATCH($A23,$A$15:OFFSET($A23,-1,0),0)),MAX($M$15:OFFSET(M23,-1,0))+1,
                      INDEX($M$15:OFFSET(M23,-1,0),MATCH($A23,$A$15:OFFSET($A23,-1,0),0)))))</f>
        <v>2</v>
      </c>
      <c r="N23" s="166" t="str">
        <f ca="1">IF($D23&lt;&gt;"Serviço","",
         IF(AUTOEVENTO="Manual",
                IF($A23=0,"&lt;-- defina o número do agrupador",
                       OFFSET(EVENTOS!$D$15,$A23-$A$15,0)),
                OFFSET($F$15,$A23,0)))</f>
        <v>Base/Sub Base</v>
      </c>
      <c r="O23" s="167"/>
      <c r="Q23" s="167">
        <v>27.82</v>
      </c>
      <c r="R23" s="168">
        <v>129.06</v>
      </c>
      <c r="S23" s="168"/>
      <c r="T23" s="168"/>
      <c r="U23" s="168"/>
      <c r="V23" s="168"/>
      <c r="W23" s="168">
        <v>232.62</v>
      </c>
      <c r="X23" s="168"/>
      <c r="Y23" s="168"/>
      <c r="Z23" s="169"/>
      <c r="AA23" s="168">
        <v>138.19999999999999</v>
      </c>
      <c r="AB23" s="168"/>
      <c r="AC23" s="168"/>
      <c r="AD23" s="168"/>
      <c r="AE23" s="168"/>
      <c r="AF23" s="168"/>
      <c r="AG23" s="168"/>
      <c r="AH23" s="169"/>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4903.83</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22749.41</v>
      </c>
      <c r="AL23" s="452">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2">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2">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2">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2">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41003.93</v>
      </c>
      <c r="AQ23" s="452">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2">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2">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2">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24360.51</v>
      </c>
      <c r="AU23" s="452">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2">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2">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2">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2">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2">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2">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0">
        <f ca="1">IF(OR($D23&lt;&gt;"Serviço",AND(AUTOEVENTO="Manual",$M23=$A$15)),0,
         IF(OFFSET(CRONOPLE!$F$15,$M23-$A$15,BC$13)=0,10^12,OFFSET(CRONOPLE!$F$15,$M23-$A$15,BC$13)))</f>
        <v>1</v>
      </c>
      <c r="BD23" s="170">
        <f ca="1">IF(OR($D23&lt;&gt;"Serviço",AND(AUTOEVENTO="Manual",$M23=$A$15)),0,
         IF(OFFSET(CRONOPLE!$F$15,$M23-$A$15,BD$13)=0,10^12,OFFSET(CRONOPLE!$F$15,$M23-$A$15,BD$13)))</f>
        <v>1</v>
      </c>
      <c r="BE23" s="170">
        <f ca="1">IF(OR($D23&lt;&gt;"Serviço",AND(AUTOEVENTO="Manual",$M23=$A$15)),0,
         IF(OFFSET(CRONOPLE!$F$15,$M23-$A$15,BE$13)=0,10^12,OFFSET(CRONOPLE!$F$15,$M23-$A$15,BE$13)))</f>
        <v>1000000000000</v>
      </c>
      <c r="BF23" s="170">
        <f ca="1">IF(OR($D23&lt;&gt;"Serviço",AND(AUTOEVENTO="Manual",$M23=$A$15)),0,
         IF(OFFSET(CRONOPLE!$F$15,$M23-$A$15,BF$13)=0,10^12,OFFSET(CRONOPLE!$F$15,$M23-$A$15,BF$13)))</f>
        <v>1000000000000</v>
      </c>
      <c r="BG23" s="170">
        <f ca="1">IF(OR($D23&lt;&gt;"Serviço",AND(AUTOEVENTO="Manual",$M23=$A$15)),0,
         IF(OFFSET(CRONOPLE!$F$15,$M23-$A$15,BG$13)=0,10^12,OFFSET(CRONOPLE!$F$15,$M23-$A$15,BG$13)))</f>
        <v>1000000000000</v>
      </c>
      <c r="BH23" s="170">
        <f ca="1">IF(OR($D23&lt;&gt;"Serviço",AND(AUTOEVENTO="Manual",$M23=$A$15)),0,
         IF(OFFSET(CRONOPLE!$F$15,$M23-$A$15,BH$13)=0,10^12,OFFSET(CRONOPLE!$F$15,$M23-$A$15,BH$13)))</f>
        <v>1000000000000</v>
      </c>
      <c r="BI23" s="170">
        <f ca="1">IF(OR($D23&lt;&gt;"Serviço",AND(AUTOEVENTO="Manual",$M23=$A$15)),0,
         IF(OFFSET(CRONOPLE!$F$15,$M23-$A$15,BI$13)=0,10^12,OFFSET(CRONOPLE!$F$15,$M23-$A$15,BI$13)))</f>
        <v>2</v>
      </c>
      <c r="BJ23" s="170">
        <f ca="1">IF(OR($D23&lt;&gt;"Serviço",AND(AUTOEVENTO="Manual",$M23=$A$15)),0,
         IF(OFFSET(CRONOPLE!$F$15,$M23-$A$15,BJ$13)=0,10^12,OFFSET(CRONOPLE!$F$15,$M23-$A$15,BJ$13)))</f>
        <v>1000000000000</v>
      </c>
      <c r="BK23" s="170">
        <f ca="1">IF(OR($D23&lt;&gt;"Serviço",AND(AUTOEVENTO="Manual",$M23=$A$15)),0,
         IF(OFFSET(CRONOPLE!$F$15,$M23-$A$15,BK$13)=0,10^12,OFFSET(CRONOPLE!$F$15,$M23-$A$15,BK$13)))</f>
        <v>1000000000000</v>
      </c>
      <c r="BL23" s="170">
        <f ca="1">IF(OR($D23&lt;&gt;"Serviço",AND(AUTOEVENTO="Manual",$M23=$A$15)),0,
         IF(OFFSET(CRONOPLE!$F$15,$M23-$A$15,BL$13)=0,10^12,OFFSET(CRONOPLE!$F$15,$M23-$A$15,BL$13)))</f>
        <v>1000000000000</v>
      </c>
      <c r="BM23" s="170">
        <f ca="1">IF(OR($D23&lt;&gt;"Serviço",AND(AUTOEVENTO="Manual",$M23=$A$15)),0,
         IF(OFFSET(CRONOPLE!$F$15,$M23-$A$15,BM$13)=0,10^12,OFFSET(CRONOPLE!$F$15,$M23-$A$15,BM$13)))</f>
        <v>4</v>
      </c>
      <c r="BN23" s="170">
        <f ca="1">IF(OR($D23&lt;&gt;"Serviço",AND(AUTOEVENTO="Manual",$M23=$A$15)),0,
         IF(OFFSET(CRONOPLE!$F$15,$M23-$A$15,BN$13)=0,10^12,OFFSET(CRONOPLE!$F$15,$M23-$A$15,BN$13)))</f>
        <v>1000000000000</v>
      </c>
      <c r="BO23" s="170">
        <f ca="1">IF(OR($D23&lt;&gt;"Serviço",AND(AUTOEVENTO="Manual",$M23=$A$15)),0,
         IF(OFFSET(CRONOPLE!$F$15,$M23-$A$15,BO$13)=0,10^12,OFFSET(CRONOPLE!$F$15,$M23-$A$15,BO$13)))</f>
        <v>1000000000000</v>
      </c>
      <c r="BP23" s="170">
        <f ca="1">IF(OR($D23&lt;&gt;"Serviço",AND(AUTOEVENTO="Manual",$M23=$A$15)),0,
         IF(OFFSET(CRONOPLE!$F$15,$M23-$A$15,BP$13)=0,10^12,OFFSET(CRONOPLE!$F$15,$M23-$A$15,BP$13)))</f>
        <v>1000000000000</v>
      </c>
      <c r="BQ23" s="170">
        <f ca="1">IF(OR($D23&lt;&gt;"Serviço",AND(AUTOEVENTO="Manual",$M23=$A$15)),0,
         IF(OFFSET(CRONOPLE!$F$15,$M23-$A$15,BQ$13)=0,10^12,OFFSET(CRONOPLE!$F$15,$M23-$A$15,BQ$13)))</f>
        <v>1000000000000</v>
      </c>
      <c r="BR23" s="170">
        <f ca="1">IF(OR($D23&lt;&gt;"Serviço",AND(AUTOEVENTO="Manual",$M23=$A$15)),0,
         IF(OFFSET(CRONOPLE!$F$15,$M23-$A$15,BR$13)=0,10^12,OFFSET(CRONOPLE!$F$15,$M23-$A$15,BR$13)))</f>
        <v>1000000000000</v>
      </c>
      <c r="BS23" s="170">
        <f ca="1">IF(OR($D23&lt;&gt;"Serviço",AND(AUTOEVENTO="Manual",$M23=$A$15)),0,
         IF(OFFSET(CRONOPLE!$F$15,$M23-$A$15,BS$13)=0,10^12,OFFSET(CRONOPLE!$F$15,$M23-$A$15,BS$13)))</f>
        <v>1000000000000</v>
      </c>
      <c r="BT23" s="170">
        <f ca="1">IF(OR($D23&lt;&gt;"Serviço",AND(AUTOEVENTO="Manual",$M23=$A$15)),0,
         IF(OFFSET(CRONOPLE!$F$15,$M23-$A$15,BT$13)=0,10^12,OFFSET(CRONOPLE!$F$15,$M23-$A$15,BT$13)))</f>
        <v>1000000000000</v>
      </c>
      <c r="BV23" s="171" cm="1">
        <f t="array" aca="1" ref="BV23" ca="1">IF(OR($D23&lt;&gt;"Serviço",AND(AUTOEVENTO="Manual",$M23=$A$15),$M23&gt;(ROW(PLE.lastrow)-ROW(PLE.firstrow))),0,
           IF(OFFSET(PLE!$G$15,$M23-$A$15,BV$13)="",10^12,OFFSET(PLE!$G$15,$M23-$A$15,BV$13)))</f>
        <v>1000000000000</v>
      </c>
      <c r="BW23" s="171" cm="1">
        <f t="array" aca="1" ref="BW23" ca="1">IF(OR($D23&lt;&gt;"Serviço",AND(AUTOEVENTO="Manual",$M23=$A$15),$M23&gt;(ROW(PLE.lastrow)-ROW(PLE.firstrow))),0,
           IF(OFFSET(PLE!$G$15,$M23-$A$15,BW$13)="",10^12,OFFSET(PLE!$G$15,$M23-$A$15,BW$13)))</f>
        <v>1000000000000</v>
      </c>
      <c r="BX23" s="171" cm="1">
        <f t="array" aca="1" ref="BX23" ca="1">IF(OR($D23&lt;&gt;"Serviço",AND(AUTOEVENTO="Manual",$M23=$A$15),$M23&gt;(ROW(PLE.lastrow)-ROW(PLE.firstrow))),0,
           IF(OFFSET(PLE!$G$15,$M23-$A$15,BX$13)="",10^12,OFFSET(PLE!$G$15,$M23-$A$15,BX$13)))</f>
        <v>1000000000000</v>
      </c>
      <c r="BY23" s="171" cm="1">
        <f t="array" aca="1" ref="BY23" ca="1">IF(OR($D23&lt;&gt;"Serviço",AND(AUTOEVENTO="Manual",$M23=$A$15),$M23&gt;(ROW(PLE.lastrow)-ROW(PLE.firstrow))),0,
           IF(OFFSET(PLE!$G$15,$M23-$A$15,BY$13)="",10^12,OFFSET(PLE!$G$15,$M23-$A$15,BY$13)))</f>
        <v>1000000000000</v>
      </c>
      <c r="BZ23" s="171" cm="1">
        <f t="array" aca="1" ref="BZ23" ca="1">IF(OR($D23&lt;&gt;"Serviço",AND(AUTOEVENTO="Manual",$M23=$A$15),$M23&gt;(ROW(PLE.lastrow)-ROW(PLE.firstrow))),0,
           IF(OFFSET(PLE!$G$15,$M23-$A$15,BZ$13)="",10^12,OFFSET(PLE!$G$15,$M23-$A$15,BZ$13)))</f>
        <v>1000000000000</v>
      </c>
      <c r="CA23" s="171" cm="1">
        <f t="array" aca="1" ref="CA23" ca="1">IF(OR($D23&lt;&gt;"Serviço",AND(AUTOEVENTO="Manual",$M23=$A$15),$M23&gt;(ROW(PLE.lastrow)-ROW(PLE.firstrow))),0,
           IF(OFFSET(PLE!$G$15,$M23-$A$15,CA$13)="",10^12,OFFSET(PLE!$G$15,$M23-$A$15,CA$13)))</f>
        <v>1000000000000</v>
      </c>
      <c r="CB23" s="171" cm="1">
        <f t="array" aca="1" ref="CB23" ca="1">IF(OR($D23&lt;&gt;"Serviço",AND(AUTOEVENTO="Manual",$M23=$A$15),$M23&gt;(ROW(PLE.lastrow)-ROW(PLE.firstrow))),0,
           IF(OFFSET(PLE!$G$15,$M23-$A$15,CB$13)="",10^12,OFFSET(PLE!$G$15,$M23-$A$15,CB$13)))</f>
        <v>1000000000000</v>
      </c>
      <c r="CC23" s="171" cm="1">
        <f t="array" aca="1" ref="CC23" ca="1">IF(OR($D23&lt;&gt;"Serviço",AND(AUTOEVENTO="Manual",$M23=$A$15),$M23&gt;(ROW(PLE.lastrow)-ROW(PLE.firstrow))),0,
           IF(OFFSET(PLE!$G$15,$M23-$A$15,CC$13)="",10^12,OFFSET(PLE!$G$15,$M23-$A$15,CC$13)))</f>
        <v>1000000000000</v>
      </c>
      <c r="CD23" s="171" cm="1">
        <f t="array" aca="1" ref="CD23" ca="1">IF(OR($D23&lt;&gt;"Serviço",AND(AUTOEVENTO="Manual",$M23=$A$15),$M23&gt;(ROW(PLE.lastrow)-ROW(PLE.firstrow))),0,
           IF(OFFSET(PLE!$G$15,$M23-$A$15,CD$13)="",10^12,OFFSET(PLE!$G$15,$M23-$A$15,CD$13)))</f>
        <v>1000000000000</v>
      </c>
      <c r="CE23" s="171" cm="1">
        <f t="array" aca="1" ref="CE23" ca="1">IF(OR($D23&lt;&gt;"Serviço",AND(AUTOEVENTO="Manual",$M23=$A$15),$M23&gt;(ROW(PLE.lastrow)-ROW(PLE.firstrow))),0,
           IF(OFFSET(PLE!$G$15,$M23-$A$15,CE$13)="",10^12,OFFSET(PLE!$G$15,$M23-$A$15,CE$13)))</f>
        <v>1000000000000</v>
      </c>
      <c r="CF23" s="171" cm="1">
        <f t="array" aca="1" ref="CF23" ca="1">IF(OR($D23&lt;&gt;"Serviço",AND(AUTOEVENTO="Manual",$M23=$A$15),$M23&gt;(ROW(PLE.lastrow)-ROW(PLE.firstrow))),0,
           IF(OFFSET(PLE!$G$15,$M23-$A$15,CF$13)="",10^12,OFFSET(PLE!$G$15,$M23-$A$15,CF$13)))</f>
        <v>1000000000000</v>
      </c>
      <c r="CG23" s="171" cm="1">
        <f t="array" aca="1" ref="CG23" ca="1">IF(OR($D23&lt;&gt;"Serviço",AND(AUTOEVENTO="Manual",$M23=$A$15),$M23&gt;(ROW(PLE.lastrow)-ROW(PLE.firstrow))),0,
           IF(OFFSET(PLE!$G$15,$M23-$A$15,CG$13)="",10^12,OFFSET(PLE!$G$15,$M23-$A$15,CG$13)))</f>
        <v>1000000000000</v>
      </c>
      <c r="CH23" s="171" cm="1">
        <f t="array" aca="1" ref="CH23" ca="1">IF(OR($D23&lt;&gt;"Serviço",AND(AUTOEVENTO="Manual",$M23=$A$15),$M23&gt;(ROW(PLE.lastrow)-ROW(PLE.firstrow))),0,
           IF(OFFSET(PLE!$G$15,$M23-$A$15,CH$13)="",10^12,OFFSET(PLE!$G$15,$M23-$A$15,CH$13)))</f>
        <v>1000000000000</v>
      </c>
      <c r="CI23" s="171" cm="1">
        <f t="array" aca="1" ref="CI23" ca="1">IF(OR($D23&lt;&gt;"Serviço",AND(AUTOEVENTO="Manual",$M23=$A$15),$M23&gt;(ROW(PLE.lastrow)-ROW(PLE.firstrow))),0,
           IF(OFFSET(PLE!$G$15,$M23-$A$15,CI$13)="",10^12,OFFSET(PLE!$G$15,$M23-$A$15,CI$13)))</f>
        <v>1000000000000</v>
      </c>
      <c r="CJ23" s="171" cm="1">
        <f t="array" aca="1" ref="CJ23" ca="1">IF(OR($D23&lt;&gt;"Serviço",AND(AUTOEVENTO="Manual",$M23=$A$15),$M23&gt;(ROW(PLE.lastrow)-ROW(PLE.firstrow))),0,
           IF(OFFSET(PLE!$G$15,$M23-$A$15,CJ$13)="",10^12,OFFSET(PLE!$G$15,$M23-$A$15,CJ$13)))</f>
        <v>1000000000000</v>
      </c>
      <c r="CK23" s="171" cm="1">
        <f t="array" aca="1" ref="CK23" ca="1">IF(OR($D23&lt;&gt;"Serviço",AND(AUTOEVENTO="Manual",$M23=$A$15),$M23&gt;(ROW(PLE.lastrow)-ROW(PLE.firstrow))),0,
           IF(OFFSET(PLE!$G$15,$M23-$A$15,CK$13)="",10^12,OFFSET(PLE!$G$15,$M23-$A$15,CK$13)))</f>
        <v>1000000000000</v>
      </c>
      <c r="CL23" s="171" cm="1">
        <f t="array" aca="1" ref="CL23" ca="1">IF(OR($D23&lt;&gt;"Serviço",AND(AUTOEVENTO="Manual",$M23=$A$15),$M23&gt;(ROW(PLE.lastrow)-ROW(PLE.firstrow))),0,
           IF(OFFSET(PLE!$G$15,$M23-$A$15,CL$13)="",10^12,OFFSET(PLE!$G$15,$M23-$A$15,CL$13)))</f>
        <v>1000000000000</v>
      </c>
      <c r="CM23" s="171" cm="1">
        <f t="array" aca="1" ref="CM23" ca="1">IF(OR($D23&lt;&gt;"Serviço",AND(AUTOEVENTO="Manual",$M23=$A$15),$M23&gt;(ROW(PLE.lastrow)-ROW(PLE.firstrow))),0,
           IF(OFFSET(PLE!$G$15,$M23-$A$15,CM$13)="",10^12,OFFSET(PLE!$G$15,$M23-$A$15,CM$13)))</f>
        <v>1000000000000</v>
      </c>
    </row>
    <row r="24" spans="1:91" ht="12.75" x14ac:dyDescent="0.2">
      <c r="A24" s="7" t="str">
        <f ca="1">IFERROR(IF(AUTOEVENTO="Manual",IF(K24&lt;&gt;"",MIN(VALUE(LEFT(K24,FIND(".",K24)-1)),COUNTA(EVENTOS.Lista)),0),IF(OR($B24&gt;AUTOEVENTO,$B24="S",$B24=0),SUBSTITUTE(OFFSET($A24,-1,0),IF($D24="Serviço",".",""),""),$L24&amp;".")),0)</f>
        <v>6</v>
      </c>
      <c r="B24" s="7" t="str">
        <f ca="1">OFFSET(ORÇAMENTO!C$15,$L24,0)</f>
        <v>S</v>
      </c>
      <c r="C24" s="7" t="str">
        <f ca="1">OFFSET(ORÇAMENTO!L$15,$L24,0)</f>
        <v>F</v>
      </c>
      <c r="D24" s="115" t="str">
        <f ca="1">OFFSET(ORÇAMENTO!N$15,$L24,0)</f>
        <v>Serviço</v>
      </c>
      <c r="E24" s="116" t="str">
        <f ca="1">OFFSET(ORÇAMENTO!O$15,$L24,0)</f>
        <v>1.2.3.</v>
      </c>
      <c r="F24" s="162" t="str">
        <f ca="1">OFFSET(ORÇAMENTO!R$15,$L24,0)</f>
        <v>(Código não identificado nas referências)</v>
      </c>
      <c r="G24" s="163" t="str">
        <f ca="1">IF($D24&lt;&gt;"Serviço","",OFFSET(ORÇAMENTO!S$15,$L24,0))</f>
        <v>-</v>
      </c>
      <c r="H24" s="121" cm="1">
        <f t="array" aca="1" ref="H24" ca="1">IF($D24&lt;&gt;"Serviço",0,IF(ACOMPANHAMENTO="BM",ROUND(OFFSET(ORÇAMENTO!AJ$15,$L24,0),15-13*ORÇAMENTO!$AF$7),IF(IFERROR(CÁLCULO.FrentesPreenchidas,0)=0,0,SUM(ROUND(OFFSET($P24,0,1,1,CÁLCULO.FrentesPreenchidas),15-13*ORÇAMENTO!$AF$7)))))</f>
        <v>1231.31</v>
      </c>
      <c r="I24" s="467"/>
      <c r="J24" s="650" t="str" cm="1">
        <f t="array" aca="1" ref="J24" ca="1">IF(OR(B24&lt;&gt;"S",CÁLCULO.FrentesPreenchidas=0),"",IF(AND(ACOMPANHAMENTO="PLE",AUTOEVENTO="Manual",OR(H24&gt;0,ORÇAMENTO!AC24="QUANT."),OR(K24="",M24=0,N24="")),"►E",IF(AND(ACOMPANHAMENTO="PLE",ORÇAMENTO!AC24="QUANT."),"►Q",IF(AND(ACOMPANHAMENTO="PLE",H24&lt;&gt;SUMPRODUCT(($Q$1:$AI$1=1)*ROUND(Q24:AI24,15))),"►S",IF(AND(COUNTIF($P$11:$AI$11,"▼")=0,H24&gt;0,I24=""),"◄M","")))))</f>
        <v>◄M</v>
      </c>
      <c r="K24" s="651"/>
      <c r="L24" s="164">
        <f ca="1">OFFSET(L24,-1,0)+1</f>
        <v>9</v>
      </c>
      <c r="M24" s="165">
        <f ca="1">IF($D24&lt;&gt;"Serviço","",
          IF(AUTOEVENTO="manual",$A24,
                IF(ISERROR(MATCH($A24,$A$15:OFFSET($A24,-1,0),0)),MAX($M$15:OFFSET(M24,-1,0))+1,
                      INDEX($M$15:OFFSET(M24,-1,0),MATCH($A24,$A$15:OFFSET($A24,-1,0),0)))))</f>
        <v>2</v>
      </c>
      <c r="N24" s="166" t="str">
        <f ca="1">IF($D24&lt;&gt;"Serviço","",
         IF(AUTOEVENTO="Manual",
                IF($A24=0,"&lt;-- defina o número do agrupador",
                       OFFSET(EVENTOS!$D$15,$A24-$A$15,0)),
                OFFSET($F$15,$A24,0)))</f>
        <v>Base/Sub Base</v>
      </c>
      <c r="O24" s="167"/>
      <c r="Q24" s="167">
        <v>64.92</v>
      </c>
      <c r="R24" s="168">
        <v>301.14999999999998</v>
      </c>
      <c r="S24" s="168"/>
      <c r="T24" s="168"/>
      <c r="U24" s="168"/>
      <c r="V24" s="168"/>
      <c r="W24" s="168">
        <v>542.78</v>
      </c>
      <c r="X24" s="168"/>
      <c r="Y24" s="168"/>
      <c r="Z24" s="169"/>
      <c r="AA24" s="168">
        <v>322.45999999999998</v>
      </c>
      <c r="AB24" s="168"/>
      <c r="AC24" s="168"/>
      <c r="AD24" s="168"/>
      <c r="AE24" s="168"/>
      <c r="AF24" s="168"/>
      <c r="AG24" s="168"/>
      <c r="AH24" s="169"/>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692.7</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3213.27</v>
      </c>
      <c r="AL24" s="452">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0</v>
      </c>
      <c r="AM24" s="452">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2">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2">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52">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5791.46</v>
      </c>
      <c r="AQ24" s="452">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2">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2">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2">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3440.65</v>
      </c>
      <c r="AU24" s="452">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2">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2">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2">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2">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2">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2">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0">
        <f ca="1">IF(OR($D24&lt;&gt;"Serviço",AND(AUTOEVENTO="Manual",$M24=$A$15)),0,
         IF(OFFSET(CRONOPLE!$F$15,$M24-$A$15,BC$13)=0,10^12,OFFSET(CRONOPLE!$F$15,$M24-$A$15,BC$13)))</f>
        <v>1</v>
      </c>
      <c r="BD24" s="170">
        <f ca="1">IF(OR($D24&lt;&gt;"Serviço",AND(AUTOEVENTO="Manual",$M24=$A$15)),0,
         IF(OFFSET(CRONOPLE!$F$15,$M24-$A$15,BD$13)=0,10^12,OFFSET(CRONOPLE!$F$15,$M24-$A$15,BD$13)))</f>
        <v>1</v>
      </c>
      <c r="BE24" s="170">
        <f ca="1">IF(OR($D24&lt;&gt;"Serviço",AND(AUTOEVENTO="Manual",$M24=$A$15)),0,
         IF(OFFSET(CRONOPLE!$F$15,$M24-$A$15,BE$13)=0,10^12,OFFSET(CRONOPLE!$F$15,$M24-$A$15,BE$13)))</f>
        <v>1000000000000</v>
      </c>
      <c r="BF24" s="170">
        <f ca="1">IF(OR($D24&lt;&gt;"Serviço",AND(AUTOEVENTO="Manual",$M24=$A$15)),0,
         IF(OFFSET(CRONOPLE!$F$15,$M24-$A$15,BF$13)=0,10^12,OFFSET(CRONOPLE!$F$15,$M24-$A$15,BF$13)))</f>
        <v>1000000000000</v>
      </c>
      <c r="BG24" s="170">
        <f ca="1">IF(OR($D24&lt;&gt;"Serviço",AND(AUTOEVENTO="Manual",$M24=$A$15)),0,
         IF(OFFSET(CRONOPLE!$F$15,$M24-$A$15,BG$13)=0,10^12,OFFSET(CRONOPLE!$F$15,$M24-$A$15,BG$13)))</f>
        <v>1000000000000</v>
      </c>
      <c r="BH24" s="170">
        <f ca="1">IF(OR($D24&lt;&gt;"Serviço",AND(AUTOEVENTO="Manual",$M24=$A$15)),0,
         IF(OFFSET(CRONOPLE!$F$15,$M24-$A$15,BH$13)=0,10^12,OFFSET(CRONOPLE!$F$15,$M24-$A$15,BH$13)))</f>
        <v>1000000000000</v>
      </c>
      <c r="BI24" s="170">
        <f ca="1">IF(OR($D24&lt;&gt;"Serviço",AND(AUTOEVENTO="Manual",$M24=$A$15)),0,
         IF(OFFSET(CRONOPLE!$F$15,$M24-$A$15,BI$13)=0,10^12,OFFSET(CRONOPLE!$F$15,$M24-$A$15,BI$13)))</f>
        <v>2</v>
      </c>
      <c r="BJ24" s="170">
        <f ca="1">IF(OR($D24&lt;&gt;"Serviço",AND(AUTOEVENTO="Manual",$M24=$A$15)),0,
         IF(OFFSET(CRONOPLE!$F$15,$M24-$A$15,BJ$13)=0,10^12,OFFSET(CRONOPLE!$F$15,$M24-$A$15,BJ$13)))</f>
        <v>1000000000000</v>
      </c>
      <c r="BK24" s="170">
        <f ca="1">IF(OR($D24&lt;&gt;"Serviço",AND(AUTOEVENTO="Manual",$M24=$A$15)),0,
         IF(OFFSET(CRONOPLE!$F$15,$M24-$A$15,BK$13)=0,10^12,OFFSET(CRONOPLE!$F$15,$M24-$A$15,BK$13)))</f>
        <v>1000000000000</v>
      </c>
      <c r="BL24" s="170">
        <f ca="1">IF(OR($D24&lt;&gt;"Serviço",AND(AUTOEVENTO="Manual",$M24=$A$15)),0,
         IF(OFFSET(CRONOPLE!$F$15,$M24-$A$15,BL$13)=0,10^12,OFFSET(CRONOPLE!$F$15,$M24-$A$15,BL$13)))</f>
        <v>1000000000000</v>
      </c>
      <c r="BM24" s="170">
        <f ca="1">IF(OR($D24&lt;&gt;"Serviço",AND(AUTOEVENTO="Manual",$M24=$A$15)),0,
         IF(OFFSET(CRONOPLE!$F$15,$M24-$A$15,BM$13)=0,10^12,OFFSET(CRONOPLE!$F$15,$M24-$A$15,BM$13)))</f>
        <v>4</v>
      </c>
      <c r="BN24" s="170">
        <f ca="1">IF(OR($D24&lt;&gt;"Serviço",AND(AUTOEVENTO="Manual",$M24=$A$15)),0,
         IF(OFFSET(CRONOPLE!$F$15,$M24-$A$15,BN$13)=0,10^12,OFFSET(CRONOPLE!$F$15,$M24-$A$15,BN$13)))</f>
        <v>1000000000000</v>
      </c>
      <c r="BO24" s="170">
        <f ca="1">IF(OR($D24&lt;&gt;"Serviço",AND(AUTOEVENTO="Manual",$M24=$A$15)),0,
         IF(OFFSET(CRONOPLE!$F$15,$M24-$A$15,BO$13)=0,10^12,OFFSET(CRONOPLE!$F$15,$M24-$A$15,BO$13)))</f>
        <v>1000000000000</v>
      </c>
      <c r="BP24" s="170">
        <f ca="1">IF(OR($D24&lt;&gt;"Serviço",AND(AUTOEVENTO="Manual",$M24=$A$15)),0,
         IF(OFFSET(CRONOPLE!$F$15,$M24-$A$15,BP$13)=0,10^12,OFFSET(CRONOPLE!$F$15,$M24-$A$15,BP$13)))</f>
        <v>1000000000000</v>
      </c>
      <c r="BQ24" s="170">
        <f ca="1">IF(OR($D24&lt;&gt;"Serviço",AND(AUTOEVENTO="Manual",$M24=$A$15)),0,
         IF(OFFSET(CRONOPLE!$F$15,$M24-$A$15,BQ$13)=0,10^12,OFFSET(CRONOPLE!$F$15,$M24-$A$15,BQ$13)))</f>
        <v>1000000000000</v>
      </c>
      <c r="BR24" s="170">
        <f ca="1">IF(OR($D24&lt;&gt;"Serviço",AND(AUTOEVENTO="Manual",$M24=$A$15)),0,
         IF(OFFSET(CRONOPLE!$F$15,$M24-$A$15,BR$13)=0,10^12,OFFSET(CRONOPLE!$F$15,$M24-$A$15,BR$13)))</f>
        <v>1000000000000</v>
      </c>
      <c r="BS24" s="170">
        <f ca="1">IF(OR($D24&lt;&gt;"Serviço",AND(AUTOEVENTO="Manual",$M24=$A$15)),0,
         IF(OFFSET(CRONOPLE!$F$15,$M24-$A$15,BS$13)=0,10^12,OFFSET(CRONOPLE!$F$15,$M24-$A$15,BS$13)))</f>
        <v>1000000000000</v>
      </c>
      <c r="BT24" s="170">
        <f ca="1">IF(OR($D24&lt;&gt;"Serviço",AND(AUTOEVENTO="Manual",$M24=$A$15)),0,
         IF(OFFSET(CRONOPLE!$F$15,$M24-$A$15,BT$13)=0,10^12,OFFSET(CRONOPLE!$F$15,$M24-$A$15,BT$13)))</f>
        <v>1000000000000</v>
      </c>
      <c r="BV24" s="171" cm="1">
        <f t="array" aca="1" ref="BV24" ca="1">IF(OR($D24&lt;&gt;"Serviço",AND(AUTOEVENTO="Manual",$M24=$A$15),$M24&gt;(ROW(PLE.lastrow)-ROW(PLE.firstrow))),0,
           IF(OFFSET(PLE!$G$15,$M24-$A$15,BV$13)="",10^12,OFFSET(PLE!$G$15,$M24-$A$15,BV$13)))</f>
        <v>1000000000000</v>
      </c>
      <c r="BW24" s="171" cm="1">
        <f t="array" aca="1" ref="BW24" ca="1">IF(OR($D24&lt;&gt;"Serviço",AND(AUTOEVENTO="Manual",$M24=$A$15),$M24&gt;(ROW(PLE.lastrow)-ROW(PLE.firstrow))),0,
           IF(OFFSET(PLE!$G$15,$M24-$A$15,BW$13)="",10^12,OFFSET(PLE!$G$15,$M24-$A$15,BW$13)))</f>
        <v>1000000000000</v>
      </c>
      <c r="BX24" s="171" cm="1">
        <f t="array" aca="1" ref="BX24" ca="1">IF(OR($D24&lt;&gt;"Serviço",AND(AUTOEVENTO="Manual",$M24=$A$15),$M24&gt;(ROW(PLE.lastrow)-ROW(PLE.firstrow))),0,
           IF(OFFSET(PLE!$G$15,$M24-$A$15,BX$13)="",10^12,OFFSET(PLE!$G$15,$M24-$A$15,BX$13)))</f>
        <v>1000000000000</v>
      </c>
      <c r="BY24" s="171" cm="1">
        <f t="array" aca="1" ref="BY24" ca="1">IF(OR($D24&lt;&gt;"Serviço",AND(AUTOEVENTO="Manual",$M24=$A$15),$M24&gt;(ROW(PLE.lastrow)-ROW(PLE.firstrow))),0,
           IF(OFFSET(PLE!$G$15,$M24-$A$15,BY$13)="",10^12,OFFSET(PLE!$G$15,$M24-$A$15,BY$13)))</f>
        <v>1000000000000</v>
      </c>
      <c r="BZ24" s="171" cm="1">
        <f t="array" aca="1" ref="BZ24" ca="1">IF(OR($D24&lt;&gt;"Serviço",AND(AUTOEVENTO="Manual",$M24=$A$15),$M24&gt;(ROW(PLE.lastrow)-ROW(PLE.firstrow))),0,
           IF(OFFSET(PLE!$G$15,$M24-$A$15,BZ$13)="",10^12,OFFSET(PLE!$G$15,$M24-$A$15,BZ$13)))</f>
        <v>1000000000000</v>
      </c>
      <c r="CA24" s="171" cm="1">
        <f t="array" aca="1" ref="CA24" ca="1">IF(OR($D24&lt;&gt;"Serviço",AND(AUTOEVENTO="Manual",$M24=$A$15),$M24&gt;(ROW(PLE.lastrow)-ROW(PLE.firstrow))),0,
           IF(OFFSET(PLE!$G$15,$M24-$A$15,CA$13)="",10^12,OFFSET(PLE!$G$15,$M24-$A$15,CA$13)))</f>
        <v>1000000000000</v>
      </c>
      <c r="CB24" s="171" cm="1">
        <f t="array" aca="1" ref="CB24" ca="1">IF(OR($D24&lt;&gt;"Serviço",AND(AUTOEVENTO="Manual",$M24=$A$15),$M24&gt;(ROW(PLE.lastrow)-ROW(PLE.firstrow))),0,
           IF(OFFSET(PLE!$G$15,$M24-$A$15,CB$13)="",10^12,OFFSET(PLE!$G$15,$M24-$A$15,CB$13)))</f>
        <v>1000000000000</v>
      </c>
      <c r="CC24" s="171" cm="1">
        <f t="array" aca="1" ref="CC24" ca="1">IF(OR($D24&lt;&gt;"Serviço",AND(AUTOEVENTO="Manual",$M24=$A$15),$M24&gt;(ROW(PLE.lastrow)-ROW(PLE.firstrow))),0,
           IF(OFFSET(PLE!$G$15,$M24-$A$15,CC$13)="",10^12,OFFSET(PLE!$G$15,$M24-$A$15,CC$13)))</f>
        <v>1000000000000</v>
      </c>
      <c r="CD24" s="171" cm="1">
        <f t="array" aca="1" ref="CD24" ca="1">IF(OR($D24&lt;&gt;"Serviço",AND(AUTOEVENTO="Manual",$M24=$A$15),$M24&gt;(ROW(PLE.lastrow)-ROW(PLE.firstrow))),0,
           IF(OFFSET(PLE!$G$15,$M24-$A$15,CD$13)="",10^12,OFFSET(PLE!$G$15,$M24-$A$15,CD$13)))</f>
        <v>1000000000000</v>
      </c>
      <c r="CE24" s="171" cm="1">
        <f t="array" aca="1" ref="CE24" ca="1">IF(OR($D24&lt;&gt;"Serviço",AND(AUTOEVENTO="Manual",$M24=$A$15),$M24&gt;(ROW(PLE.lastrow)-ROW(PLE.firstrow))),0,
           IF(OFFSET(PLE!$G$15,$M24-$A$15,CE$13)="",10^12,OFFSET(PLE!$G$15,$M24-$A$15,CE$13)))</f>
        <v>1000000000000</v>
      </c>
      <c r="CF24" s="171" cm="1">
        <f t="array" aca="1" ref="CF24" ca="1">IF(OR($D24&lt;&gt;"Serviço",AND(AUTOEVENTO="Manual",$M24=$A$15),$M24&gt;(ROW(PLE.lastrow)-ROW(PLE.firstrow))),0,
           IF(OFFSET(PLE!$G$15,$M24-$A$15,CF$13)="",10^12,OFFSET(PLE!$G$15,$M24-$A$15,CF$13)))</f>
        <v>1000000000000</v>
      </c>
      <c r="CG24" s="171" cm="1">
        <f t="array" aca="1" ref="CG24" ca="1">IF(OR($D24&lt;&gt;"Serviço",AND(AUTOEVENTO="Manual",$M24=$A$15),$M24&gt;(ROW(PLE.lastrow)-ROW(PLE.firstrow))),0,
           IF(OFFSET(PLE!$G$15,$M24-$A$15,CG$13)="",10^12,OFFSET(PLE!$G$15,$M24-$A$15,CG$13)))</f>
        <v>1000000000000</v>
      </c>
      <c r="CH24" s="171" cm="1">
        <f t="array" aca="1" ref="CH24" ca="1">IF(OR($D24&lt;&gt;"Serviço",AND(AUTOEVENTO="Manual",$M24=$A$15),$M24&gt;(ROW(PLE.lastrow)-ROW(PLE.firstrow))),0,
           IF(OFFSET(PLE!$G$15,$M24-$A$15,CH$13)="",10^12,OFFSET(PLE!$G$15,$M24-$A$15,CH$13)))</f>
        <v>1000000000000</v>
      </c>
      <c r="CI24" s="171" cm="1">
        <f t="array" aca="1" ref="CI24" ca="1">IF(OR($D24&lt;&gt;"Serviço",AND(AUTOEVENTO="Manual",$M24=$A$15),$M24&gt;(ROW(PLE.lastrow)-ROW(PLE.firstrow))),0,
           IF(OFFSET(PLE!$G$15,$M24-$A$15,CI$13)="",10^12,OFFSET(PLE!$G$15,$M24-$A$15,CI$13)))</f>
        <v>1000000000000</v>
      </c>
      <c r="CJ24" s="171" cm="1">
        <f t="array" aca="1" ref="CJ24" ca="1">IF(OR($D24&lt;&gt;"Serviço",AND(AUTOEVENTO="Manual",$M24=$A$15),$M24&gt;(ROW(PLE.lastrow)-ROW(PLE.firstrow))),0,
           IF(OFFSET(PLE!$G$15,$M24-$A$15,CJ$13)="",10^12,OFFSET(PLE!$G$15,$M24-$A$15,CJ$13)))</f>
        <v>1000000000000</v>
      </c>
      <c r="CK24" s="171" cm="1">
        <f t="array" aca="1" ref="CK24" ca="1">IF(OR($D24&lt;&gt;"Serviço",AND(AUTOEVENTO="Manual",$M24=$A$15),$M24&gt;(ROW(PLE.lastrow)-ROW(PLE.firstrow))),0,
           IF(OFFSET(PLE!$G$15,$M24-$A$15,CK$13)="",10^12,OFFSET(PLE!$G$15,$M24-$A$15,CK$13)))</f>
        <v>1000000000000</v>
      </c>
      <c r="CL24" s="171" cm="1">
        <f t="array" aca="1" ref="CL24" ca="1">IF(OR($D24&lt;&gt;"Serviço",AND(AUTOEVENTO="Manual",$M24=$A$15),$M24&gt;(ROW(PLE.lastrow)-ROW(PLE.firstrow))),0,
           IF(OFFSET(PLE!$G$15,$M24-$A$15,CL$13)="",10^12,OFFSET(PLE!$G$15,$M24-$A$15,CL$13)))</f>
        <v>1000000000000</v>
      </c>
      <c r="CM24" s="171" cm="1">
        <f t="array" aca="1" ref="CM24" ca="1">IF(OR($D24&lt;&gt;"Serviço",AND(AUTOEVENTO="Manual",$M24=$A$15),$M24&gt;(ROW(PLE.lastrow)-ROW(PLE.firstrow))),0,
           IF(OFFSET(PLE!$G$15,$M24-$A$15,CM$13)="",10^12,OFFSET(PLE!$G$15,$M24-$A$15,CM$13)))</f>
        <v>1000000000000</v>
      </c>
    </row>
    <row r="25" spans="1:91" ht="12.75" x14ac:dyDescent="0.2">
      <c r="A25" s="7" t="str">
        <f ca="1">IFERROR(IF(AUTOEVENTO="Manual",IF(K25&lt;&gt;"",MIN(VALUE(LEFT(K25,FIND(".",K25)-1)),COUNTA(EVENTOS.Lista)),0),IF(OR($B25&gt;AUTOEVENTO,$B25="S",$B25=0),SUBSTITUTE(OFFSET($A25,-1,0),IF($D25="Serviço",".",""),""),$L25&amp;".")),0)</f>
        <v>6</v>
      </c>
      <c r="B25" s="7" t="str">
        <f ca="1">OFFSET(ORÇAMENTO!C$15,$L25,0)</f>
        <v>S</v>
      </c>
      <c r="C25" s="7" t="str">
        <f ca="1">OFFSET(ORÇAMENTO!L$15,$L25,0)</f>
        <v>F</v>
      </c>
      <c r="D25" s="115" t="str">
        <f ca="1">OFFSET(ORÇAMENTO!N$15,$L25,0)</f>
        <v>Serviço</v>
      </c>
      <c r="E25" s="116" t="str">
        <f ca="1">OFFSET(ORÇAMENTO!O$15,$L25,0)</f>
        <v>1.2.4.</v>
      </c>
      <c r="F25" s="162" t="str">
        <f ca="1">OFFSET(ORÇAMENTO!R$15,$L25,0)</f>
        <v>(Código não identificado nas referências)</v>
      </c>
      <c r="G25" s="163" t="str">
        <f ca="1">IF($D25&lt;&gt;"Serviço","",OFFSET(ORÇAMENTO!S$15,$L25,0))</f>
        <v>-</v>
      </c>
      <c r="H25" s="121" cm="1">
        <f t="array" aca="1" ref="H25" ca="1">IF($D25&lt;&gt;"Serviço",0,IF(ACOMPANHAMENTO="BM",ROUND(OFFSET(ORÇAMENTO!AJ$15,$L25,0),15-13*ORÇAMENTO!$AF$7),IF(IFERROR(CÁLCULO.FrentesPreenchidas,0)=0,0,SUM(ROUND(OFFSET($P25,0,1,1,CÁLCULO.FrentesPreenchidas),15-13*ORÇAMENTO!$AF$7)))))</f>
        <v>6156.54</v>
      </c>
      <c r="I25" s="467"/>
      <c r="J25" s="650" t="str" cm="1">
        <f t="array" aca="1" ref="J25" ca="1">IF(OR(B25&lt;&gt;"S",CÁLCULO.FrentesPreenchidas=0),"",IF(AND(ACOMPANHAMENTO="PLE",AUTOEVENTO="Manual",OR(H25&gt;0,ORÇAMENTO!AC25="QUANT."),OR(K25="",M25=0,N25="")),"►E",IF(AND(ACOMPANHAMENTO="PLE",ORÇAMENTO!AC25="QUANT."),"►Q",IF(AND(ACOMPANHAMENTO="PLE",H25&lt;&gt;SUMPRODUCT(($Q$1:$AI$1=1)*ROUND(Q25:AI25,15))),"►S",IF(AND(COUNTIF($P$11:$AI$11,"▼")=0,H25&gt;0,I25=""),"◄M","")))))</f>
        <v>◄M</v>
      </c>
      <c r="K25" s="651"/>
      <c r="L25" s="164">
        <f ca="1">OFFSET(L25,-1,0)+1</f>
        <v>10</v>
      </c>
      <c r="M25" s="165">
        <f ca="1">IF($D25&lt;&gt;"Serviço","",
          IF(AUTOEVENTO="manual",$A25,
                IF(ISERROR(MATCH($A25,$A$15:OFFSET($A25,-1,0),0)),MAX($M$15:OFFSET(M25,-1,0))+1,
                      INDEX($M$15:OFFSET(M25,-1,0),MATCH($A25,$A$15:OFFSET($A25,-1,0),0)))))</f>
        <v>2</v>
      </c>
      <c r="N25" s="166" t="str">
        <f ca="1">IF($D25&lt;&gt;"Serviço","",
         IF(AUTOEVENTO="Manual",
                IF($A25=0,"&lt;-- defina o número do agrupador",
                       OFFSET(EVENTOS!$D$15,$A25-$A$15,0)),
                OFFSET($F$15,$A25,0)))</f>
        <v>Base/Sub Base</v>
      </c>
      <c r="O25" s="167"/>
      <c r="Q25" s="167">
        <v>324.58999999999997</v>
      </c>
      <c r="R25" s="168">
        <v>1505.75</v>
      </c>
      <c r="S25" s="168"/>
      <c r="T25" s="168"/>
      <c r="U25" s="168"/>
      <c r="V25" s="168"/>
      <c r="W25" s="168">
        <v>2713.92</v>
      </c>
      <c r="X25" s="168"/>
      <c r="Y25" s="168"/>
      <c r="Z25" s="169"/>
      <c r="AA25" s="168">
        <v>1612.28</v>
      </c>
      <c r="AB25" s="168"/>
      <c r="AC25" s="168"/>
      <c r="AD25" s="168"/>
      <c r="AE25" s="168"/>
      <c r="AF25" s="168"/>
      <c r="AG25" s="168"/>
      <c r="AH25" s="169"/>
      <c r="AJ25" s="452">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853.67</v>
      </c>
      <c r="AK25" s="452">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3960.12</v>
      </c>
      <c r="AL25" s="452">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0</v>
      </c>
      <c r="AM25" s="452">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2">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0</v>
      </c>
      <c r="AO25" s="452">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52">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7137.61</v>
      </c>
      <c r="AQ25" s="452">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2">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2">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2">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4240.3</v>
      </c>
      <c r="AU25" s="452">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2">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2">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2">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2">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2">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2">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0">
        <f ca="1">IF(OR($D25&lt;&gt;"Serviço",AND(AUTOEVENTO="Manual",$M25=$A$15)),0,
         IF(OFFSET(CRONOPLE!$F$15,$M25-$A$15,BC$13)=0,10^12,OFFSET(CRONOPLE!$F$15,$M25-$A$15,BC$13)))</f>
        <v>1</v>
      </c>
      <c r="BD25" s="170">
        <f ca="1">IF(OR($D25&lt;&gt;"Serviço",AND(AUTOEVENTO="Manual",$M25=$A$15)),0,
         IF(OFFSET(CRONOPLE!$F$15,$M25-$A$15,BD$13)=0,10^12,OFFSET(CRONOPLE!$F$15,$M25-$A$15,BD$13)))</f>
        <v>1</v>
      </c>
      <c r="BE25" s="170">
        <f ca="1">IF(OR($D25&lt;&gt;"Serviço",AND(AUTOEVENTO="Manual",$M25=$A$15)),0,
         IF(OFFSET(CRONOPLE!$F$15,$M25-$A$15,BE$13)=0,10^12,OFFSET(CRONOPLE!$F$15,$M25-$A$15,BE$13)))</f>
        <v>1000000000000</v>
      </c>
      <c r="BF25" s="170">
        <f ca="1">IF(OR($D25&lt;&gt;"Serviço",AND(AUTOEVENTO="Manual",$M25=$A$15)),0,
         IF(OFFSET(CRONOPLE!$F$15,$M25-$A$15,BF$13)=0,10^12,OFFSET(CRONOPLE!$F$15,$M25-$A$15,BF$13)))</f>
        <v>1000000000000</v>
      </c>
      <c r="BG25" s="170">
        <f ca="1">IF(OR($D25&lt;&gt;"Serviço",AND(AUTOEVENTO="Manual",$M25=$A$15)),0,
         IF(OFFSET(CRONOPLE!$F$15,$M25-$A$15,BG$13)=0,10^12,OFFSET(CRONOPLE!$F$15,$M25-$A$15,BG$13)))</f>
        <v>1000000000000</v>
      </c>
      <c r="BH25" s="170">
        <f ca="1">IF(OR($D25&lt;&gt;"Serviço",AND(AUTOEVENTO="Manual",$M25=$A$15)),0,
         IF(OFFSET(CRONOPLE!$F$15,$M25-$A$15,BH$13)=0,10^12,OFFSET(CRONOPLE!$F$15,$M25-$A$15,BH$13)))</f>
        <v>1000000000000</v>
      </c>
      <c r="BI25" s="170">
        <f ca="1">IF(OR($D25&lt;&gt;"Serviço",AND(AUTOEVENTO="Manual",$M25=$A$15)),0,
         IF(OFFSET(CRONOPLE!$F$15,$M25-$A$15,BI$13)=0,10^12,OFFSET(CRONOPLE!$F$15,$M25-$A$15,BI$13)))</f>
        <v>2</v>
      </c>
      <c r="BJ25" s="170">
        <f ca="1">IF(OR($D25&lt;&gt;"Serviço",AND(AUTOEVENTO="Manual",$M25=$A$15)),0,
         IF(OFFSET(CRONOPLE!$F$15,$M25-$A$15,BJ$13)=0,10^12,OFFSET(CRONOPLE!$F$15,$M25-$A$15,BJ$13)))</f>
        <v>1000000000000</v>
      </c>
      <c r="BK25" s="170">
        <f ca="1">IF(OR($D25&lt;&gt;"Serviço",AND(AUTOEVENTO="Manual",$M25=$A$15)),0,
         IF(OFFSET(CRONOPLE!$F$15,$M25-$A$15,BK$13)=0,10^12,OFFSET(CRONOPLE!$F$15,$M25-$A$15,BK$13)))</f>
        <v>1000000000000</v>
      </c>
      <c r="BL25" s="170">
        <f ca="1">IF(OR($D25&lt;&gt;"Serviço",AND(AUTOEVENTO="Manual",$M25=$A$15)),0,
         IF(OFFSET(CRONOPLE!$F$15,$M25-$A$15,BL$13)=0,10^12,OFFSET(CRONOPLE!$F$15,$M25-$A$15,BL$13)))</f>
        <v>1000000000000</v>
      </c>
      <c r="BM25" s="170">
        <f ca="1">IF(OR($D25&lt;&gt;"Serviço",AND(AUTOEVENTO="Manual",$M25=$A$15)),0,
         IF(OFFSET(CRONOPLE!$F$15,$M25-$A$15,BM$13)=0,10^12,OFFSET(CRONOPLE!$F$15,$M25-$A$15,BM$13)))</f>
        <v>4</v>
      </c>
      <c r="BN25" s="170">
        <f ca="1">IF(OR($D25&lt;&gt;"Serviço",AND(AUTOEVENTO="Manual",$M25=$A$15)),0,
         IF(OFFSET(CRONOPLE!$F$15,$M25-$A$15,BN$13)=0,10^12,OFFSET(CRONOPLE!$F$15,$M25-$A$15,BN$13)))</f>
        <v>1000000000000</v>
      </c>
      <c r="BO25" s="170">
        <f ca="1">IF(OR($D25&lt;&gt;"Serviço",AND(AUTOEVENTO="Manual",$M25=$A$15)),0,
         IF(OFFSET(CRONOPLE!$F$15,$M25-$A$15,BO$13)=0,10^12,OFFSET(CRONOPLE!$F$15,$M25-$A$15,BO$13)))</f>
        <v>1000000000000</v>
      </c>
      <c r="BP25" s="170">
        <f ca="1">IF(OR($D25&lt;&gt;"Serviço",AND(AUTOEVENTO="Manual",$M25=$A$15)),0,
         IF(OFFSET(CRONOPLE!$F$15,$M25-$A$15,BP$13)=0,10^12,OFFSET(CRONOPLE!$F$15,$M25-$A$15,BP$13)))</f>
        <v>1000000000000</v>
      </c>
      <c r="BQ25" s="170">
        <f ca="1">IF(OR($D25&lt;&gt;"Serviço",AND(AUTOEVENTO="Manual",$M25=$A$15)),0,
         IF(OFFSET(CRONOPLE!$F$15,$M25-$A$15,BQ$13)=0,10^12,OFFSET(CRONOPLE!$F$15,$M25-$A$15,BQ$13)))</f>
        <v>1000000000000</v>
      </c>
      <c r="BR25" s="170">
        <f ca="1">IF(OR($D25&lt;&gt;"Serviço",AND(AUTOEVENTO="Manual",$M25=$A$15)),0,
         IF(OFFSET(CRONOPLE!$F$15,$M25-$A$15,BR$13)=0,10^12,OFFSET(CRONOPLE!$F$15,$M25-$A$15,BR$13)))</f>
        <v>1000000000000</v>
      </c>
      <c r="BS25" s="170">
        <f ca="1">IF(OR($D25&lt;&gt;"Serviço",AND(AUTOEVENTO="Manual",$M25=$A$15)),0,
         IF(OFFSET(CRONOPLE!$F$15,$M25-$A$15,BS$13)=0,10^12,OFFSET(CRONOPLE!$F$15,$M25-$A$15,BS$13)))</f>
        <v>1000000000000</v>
      </c>
      <c r="BT25" s="170">
        <f ca="1">IF(OR($D25&lt;&gt;"Serviço",AND(AUTOEVENTO="Manual",$M25=$A$15)),0,
         IF(OFFSET(CRONOPLE!$F$15,$M25-$A$15,BT$13)=0,10^12,OFFSET(CRONOPLE!$F$15,$M25-$A$15,BT$13)))</f>
        <v>1000000000000</v>
      </c>
      <c r="BV25" s="171" cm="1">
        <f t="array" aca="1" ref="BV25" ca="1">IF(OR($D25&lt;&gt;"Serviço",AND(AUTOEVENTO="Manual",$M25=$A$15),$M25&gt;(ROW(PLE.lastrow)-ROW(PLE.firstrow))),0,
           IF(OFFSET(PLE!$G$15,$M25-$A$15,BV$13)="",10^12,OFFSET(PLE!$G$15,$M25-$A$15,BV$13)))</f>
        <v>1000000000000</v>
      </c>
      <c r="BW25" s="171" cm="1">
        <f t="array" aca="1" ref="BW25" ca="1">IF(OR($D25&lt;&gt;"Serviço",AND(AUTOEVENTO="Manual",$M25=$A$15),$M25&gt;(ROW(PLE.lastrow)-ROW(PLE.firstrow))),0,
           IF(OFFSET(PLE!$G$15,$M25-$A$15,BW$13)="",10^12,OFFSET(PLE!$G$15,$M25-$A$15,BW$13)))</f>
        <v>1000000000000</v>
      </c>
      <c r="BX25" s="171" cm="1">
        <f t="array" aca="1" ref="BX25" ca="1">IF(OR($D25&lt;&gt;"Serviço",AND(AUTOEVENTO="Manual",$M25=$A$15),$M25&gt;(ROW(PLE.lastrow)-ROW(PLE.firstrow))),0,
           IF(OFFSET(PLE!$G$15,$M25-$A$15,BX$13)="",10^12,OFFSET(PLE!$G$15,$M25-$A$15,BX$13)))</f>
        <v>1000000000000</v>
      </c>
      <c r="BY25" s="171" cm="1">
        <f t="array" aca="1" ref="BY25" ca="1">IF(OR($D25&lt;&gt;"Serviço",AND(AUTOEVENTO="Manual",$M25=$A$15),$M25&gt;(ROW(PLE.lastrow)-ROW(PLE.firstrow))),0,
           IF(OFFSET(PLE!$G$15,$M25-$A$15,BY$13)="",10^12,OFFSET(PLE!$G$15,$M25-$A$15,BY$13)))</f>
        <v>1000000000000</v>
      </c>
      <c r="BZ25" s="171" cm="1">
        <f t="array" aca="1" ref="BZ25" ca="1">IF(OR($D25&lt;&gt;"Serviço",AND(AUTOEVENTO="Manual",$M25=$A$15),$M25&gt;(ROW(PLE.lastrow)-ROW(PLE.firstrow))),0,
           IF(OFFSET(PLE!$G$15,$M25-$A$15,BZ$13)="",10^12,OFFSET(PLE!$G$15,$M25-$A$15,BZ$13)))</f>
        <v>1000000000000</v>
      </c>
      <c r="CA25" s="171" cm="1">
        <f t="array" aca="1" ref="CA25" ca="1">IF(OR($D25&lt;&gt;"Serviço",AND(AUTOEVENTO="Manual",$M25=$A$15),$M25&gt;(ROW(PLE.lastrow)-ROW(PLE.firstrow))),0,
           IF(OFFSET(PLE!$G$15,$M25-$A$15,CA$13)="",10^12,OFFSET(PLE!$G$15,$M25-$A$15,CA$13)))</f>
        <v>1000000000000</v>
      </c>
      <c r="CB25" s="171" cm="1">
        <f t="array" aca="1" ref="CB25" ca="1">IF(OR($D25&lt;&gt;"Serviço",AND(AUTOEVENTO="Manual",$M25=$A$15),$M25&gt;(ROW(PLE.lastrow)-ROW(PLE.firstrow))),0,
           IF(OFFSET(PLE!$G$15,$M25-$A$15,CB$13)="",10^12,OFFSET(PLE!$G$15,$M25-$A$15,CB$13)))</f>
        <v>1000000000000</v>
      </c>
      <c r="CC25" s="171" cm="1">
        <f t="array" aca="1" ref="CC25" ca="1">IF(OR($D25&lt;&gt;"Serviço",AND(AUTOEVENTO="Manual",$M25=$A$15),$M25&gt;(ROW(PLE.lastrow)-ROW(PLE.firstrow))),0,
           IF(OFFSET(PLE!$G$15,$M25-$A$15,CC$13)="",10^12,OFFSET(PLE!$G$15,$M25-$A$15,CC$13)))</f>
        <v>1000000000000</v>
      </c>
      <c r="CD25" s="171" cm="1">
        <f t="array" aca="1" ref="CD25" ca="1">IF(OR($D25&lt;&gt;"Serviço",AND(AUTOEVENTO="Manual",$M25=$A$15),$M25&gt;(ROW(PLE.lastrow)-ROW(PLE.firstrow))),0,
           IF(OFFSET(PLE!$G$15,$M25-$A$15,CD$13)="",10^12,OFFSET(PLE!$G$15,$M25-$A$15,CD$13)))</f>
        <v>1000000000000</v>
      </c>
      <c r="CE25" s="171" cm="1">
        <f t="array" aca="1" ref="CE25" ca="1">IF(OR($D25&lt;&gt;"Serviço",AND(AUTOEVENTO="Manual",$M25=$A$15),$M25&gt;(ROW(PLE.lastrow)-ROW(PLE.firstrow))),0,
           IF(OFFSET(PLE!$G$15,$M25-$A$15,CE$13)="",10^12,OFFSET(PLE!$G$15,$M25-$A$15,CE$13)))</f>
        <v>1000000000000</v>
      </c>
      <c r="CF25" s="171" cm="1">
        <f t="array" aca="1" ref="CF25" ca="1">IF(OR($D25&lt;&gt;"Serviço",AND(AUTOEVENTO="Manual",$M25=$A$15),$M25&gt;(ROW(PLE.lastrow)-ROW(PLE.firstrow))),0,
           IF(OFFSET(PLE!$G$15,$M25-$A$15,CF$13)="",10^12,OFFSET(PLE!$G$15,$M25-$A$15,CF$13)))</f>
        <v>1000000000000</v>
      </c>
      <c r="CG25" s="171" cm="1">
        <f t="array" aca="1" ref="CG25" ca="1">IF(OR($D25&lt;&gt;"Serviço",AND(AUTOEVENTO="Manual",$M25=$A$15),$M25&gt;(ROW(PLE.lastrow)-ROW(PLE.firstrow))),0,
           IF(OFFSET(PLE!$G$15,$M25-$A$15,CG$13)="",10^12,OFFSET(PLE!$G$15,$M25-$A$15,CG$13)))</f>
        <v>1000000000000</v>
      </c>
      <c r="CH25" s="171" cm="1">
        <f t="array" aca="1" ref="CH25" ca="1">IF(OR($D25&lt;&gt;"Serviço",AND(AUTOEVENTO="Manual",$M25=$A$15),$M25&gt;(ROW(PLE.lastrow)-ROW(PLE.firstrow))),0,
           IF(OFFSET(PLE!$G$15,$M25-$A$15,CH$13)="",10^12,OFFSET(PLE!$G$15,$M25-$A$15,CH$13)))</f>
        <v>1000000000000</v>
      </c>
      <c r="CI25" s="171" cm="1">
        <f t="array" aca="1" ref="CI25" ca="1">IF(OR($D25&lt;&gt;"Serviço",AND(AUTOEVENTO="Manual",$M25=$A$15),$M25&gt;(ROW(PLE.lastrow)-ROW(PLE.firstrow))),0,
           IF(OFFSET(PLE!$G$15,$M25-$A$15,CI$13)="",10^12,OFFSET(PLE!$G$15,$M25-$A$15,CI$13)))</f>
        <v>1000000000000</v>
      </c>
      <c r="CJ25" s="171" cm="1">
        <f t="array" aca="1" ref="CJ25" ca="1">IF(OR($D25&lt;&gt;"Serviço",AND(AUTOEVENTO="Manual",$M25=$A$15),$M25&gt;(ROW(PLE.lastrow)-ROW(PLE.firstrow))),0,
           IF(OFFSET(PLE!$G$15,$M25-$A$15,CJ$13)="",10^12,OFFSET(PLE!$G$15,$M25-$A$15,CJ$13)))</f>
        <v>1000000000000</v>
      </c>
      <c r="CK25" s="171" cm="1">
        <f t="array" aca="1" ref="CK25" ca="1">IF(OR($D25&lt;&gt;"Serviço",AND(AUTOEVENTO="Manual",$M25=$A$15),$M25&gt;(ROW(PLE.lastrow)-ROW(PLE.firstrow))),0,
           IF(OFFSET(PLE!$G$15,$M25-$A$15,CK$13)="",10^12,OFFSET(PLE!$G$15,$M25-$A$15,CK$13)))</f>
        <v>1000000000000</v>
      </c>
      <c r="CL25" s="171" cm="1">
        <f t="array" aca="1" ref="CL25" ca="1">IF(OR($D25&lt;&gt;"Serviço",AND(AUTOEVENTO="Manual",$M25=$A$15),$M25&gt;(ROW(PLE.lastrow)-ROW(PLE.firstrow))),0,
           IF(OFFSET(PLE!$G$15,$M25-$A$15,CL$13)="",10^12,OFFSET(PLE!$G$15,$M25-$A$15,CL$13)))</f>
        <v>1000000000000</v>
      </c>
      <c r="CM25" s="171" cm="1">
        <f t="array" aca="1" ref="CM25" ca="1">IF(OR($D25&lt;&gt;"Serviço",AND(AUTOEVENTO="Manual",$M25=$A$15),$M25&gt;(ROW(PLE.lastrow)-ROW(PLE.firstrow))),0,
           IF(OFFSET(PLE!$G$15,$M25-$A$15,CM$13)="",10^12,OFFSET(PLE!$G$15,$M25-$A$15,CM$13)))</f>
        <v>1000000000000</v>
      </c>
    </row>
    <row r="26" spans="1:91" ht="12.75" x14ac:dyDescent="0.2">
      <c r="A26" s="7" t="str">
        <f t="shared" ca="1" si="12"/>
        <v>11.</v>
      </c>
      <c r="B26" s="7">
        <f ca="1">OFFSET(ORÇAMENTO!C$15,$L26,0)</f>
        <v>2</v>
      </c>
      <c r="C26" s="7" t="str">
        <f ca="1">OFFSET(ORÇAMENTO!L$15,$L26,0)</f>
        <v>F</v>
      </c>
      <c r="D26" s="115" t="str">
        <f ca="1">OFFSET(ORÇAMENTO!N$15,$L26,0)</f>
        <v>Nível 2</v>
      </c>
      <c r="E26" s="116" t="str">
        <f ca="1">OFFSET(ORÇAMENTO!O$15,$L26,0)</f>
        <v>1.3.</v>
      </c>
      <c r="F26" s="162" t="str">
        <f ca="1">OFFSET(ORÇAMENTO!R$15,$L26,0)</f>
        <v>Revestimento</v>
      </c>
      <c r="G26" s="163" t="str">
        <f ca="1">IF($D26&lt;&gt;"Serviço","",OFFSET(ORÇAMENTO!S$15,$L26,0))</f>
        <v/>
      </c>
      <c r="H26" s="121" cm="1">
        <f t="array" aca="1" ref="H26" ca="1">IF($D26&lt;&gt;"Serviço",0,IF(ACOMPANHAMENTO="BM",ROUND(OFFSET(ORÇAMENTO!AJ$15,$L26,0),15-13*ORÇAMENTO!$AF$7),IF(IFERROR(CÁLCULO.FrentesPreenchidas,0)=0,0,SUM(ROUND(OFFSET($P26,0,1,1,CÁLCULO.FrentesPreenchidas),15-13*ORÇAMENTO!$AF$7)))))</f>
        <v>0</v>
      </c>
      <c r="I26" s="467"/>
      <c r="J26" s="650" t="str" cm="1">
        <f t="array" aca="1" ref="J26" ca="1">IF(OR(B26&lt;&gt;"S",CÁLCULO.FrentesPreenchidas=0),"",IF(AND(ACOMPANHAMENTO="PLE",AUTOEVENTO="Manual",OR(H26&gt;0,ORÇAMENTO!AC26="QUANT."),OR(K26="",M26=0,N26="")),"►E",IF(AND(ACOMPANHAMENTO="PLE",ORÇAMENTO!AC26="QUANT."),"►Q",IF(AND(ACOMPANHAMENTO="PLE",H26&lt;&gt;SUMPRODUCT(($Q$1:$AI$1=1)*ROUND(Q26:AI26,15))),"►S",IF(AND(COUNTIF($P$11:$AI$11,"▼")=0,H26&gt;0,I26=""),"◄M","")))))</f>
        <v/>
      </c>
      <c r="K26" s="651"/>
      <c r="L26" s="164">
        <f ca="1">OFFSET(L26,-1,0)+1</f>
        <v>11</v>
      </c>
      <c r="M26" s="165" t="str">
        <f ca="1">IF($D26&lt;&gt;"Serviço","",
          IF(AUTOEVENTO="manual",$A26,
                IF(ISERROR(MATCH($A26,$A$15:OFFSET($A26,-1,0),0)),MAX($M$15:OFFSET(M26,-1,0))+1,
                      INDEX($M$15:OFFSET(M26,-1,0),MATCH($A26,$A$15:OFFSET($A26,-1,0),0)))))</f>
        <v/>
      </c>
      <c r="N26" s="166" t="str">
        <f ca="1">IF($D26&lt;&gt;"Serviço","",
         IF(AUTOEVENTO="Manual",
                IF($A26=0,"&lt;-- defina o número do agrupador",
                       OFFSET(EVENTOS!$D$15,$A26-$A$15,0)),
                OFFSET($F$15,$A26,0)))</f>
        <v/>
      </c>
      <c r="O26" s="167"/>
      <c r="Q26" s="167"/>
      <c r="R26" s="168"/>
      <c r="S26" s="168"/>
      <c r="T26" s="168"/>
      <c r="U26" s="168"/>
      <c r="V26" s="168"/>
      <c r="W26" s="168"/>
      <c r="X26" s="168"/>
      <c r="Y26" s="168"/>
      <c r="Z26" s="169"/>
      <c r="AA26" s="168"/>
      <c r="AB26" s="168"/>
      <c r="AC26" s="168"/>
      <c r="AD26" s="168"/>
      <c r="AE26" s="168"/>
      <c r="AF26" s="168"/>
      <c r="AG26" s="168"/>
      <c r="AH26" s="169"/>
      <c r="AJ26" s="452">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2">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52">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52">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2">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52">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2">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2">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2">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2">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2">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2">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2">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2">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2">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2">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2">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2">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0">
        <f ca="1">IF(OR($D26&lt;&gt;"Serviço",AND(AUTOEVENTO="Manual",$M26=$A$15)),0,
         IF(OFFSET(CRONOPLE!$F$15,$M26-$A$15,BC$13)=0,10^12,OFFSET(CRONOPLE!$F$15,$M26-$A$15,BC$13)))</f>
        <v>0</v>
      </c>
      <c r="BD26" s="170">
        <f ca="1">IF(OR($D26&lt;&gt;"Serviço",AND(AUTOEVENTO="Manual",$M26=$A$15)),0,
         IF(OFFSET(CRONOPLE!$F$15,$M26-$A$15,BD$13)=0,10^12,OFFSET(CRONOPLE!$F$15,$M26-$A$15,BD$13)))</f>
        <v>0</v>
      </c>
      <c r="BE26" s="170">
        <f ca="1">IF(OR($D26&lt;&gt;"Serviço",AND(AUTOEVENTO="Manual",$M26=$A$15)),0,
         IF(OFFSET(CRONOPLE!$F$15,$M26-$A$15,BE$13)=0,10^12,OFFSET(CRONOPLE!$F$15,$M26-$A$15,BE$13)))</f>
        <v>0</v>
      </c>
      <c r="BF26" s="170">
        <f ca="1">IF(OR($D26&lt;&gt;"Serviço",AND(AUTOEVENTO="Manual",$M26=$A$15)),0,
         IF(OFFSET(CRONOPLE!$F$15,$M26-$A$15,BF$13)=0,10^12,OFFSET(CRONOPLE!$F$15,$M26-$A$15,BF$13)))</f>
        <v>0</v>
      </c>
      <c r="BG26" s="170">
        <f ca="1">IF(OR($D26&lt;&gt;"Serviço",AND(AUTOEVENTO="Manual",$M26=$A$15)),0,
         IF(OFFSET(CRONOPLE!$F$15,$M26-$A$15,BG$13)=0,10^12,OFFSET(CRONOPLE!$F$15,$M26-$A$15,BG$13)))</f>
        <v>0</v>
      </c>
      <c r="BH26" s="170">
        <f ca="1">IF(OR($D26&lt;&gt;"Serviço",AND(AUTOEVENTO="Manual",$M26=$A$15)),0,
         IF(OFFSET(CRONOPLE!$F$15,$M26-$A$15,BH$13)=0,10^12,OFFSET(CRONOPLE!$F$15,$M26-$A$15,BH$13)))</f>
        <v>0</v>
      </c>
      <c r="BI26" s="170">
        <f ca="1">IF(OR($D26&lt;&gt;"Serviço",AND(AUTOEVENTO="Manual",$M26=$A$15)),0,
         IF(OFFSET(CRONOPLE!$F$15,$M26-$A$15,BI$13)=0,10^12,OFFSET(CRONOPLE!$F$15,$M26-$A$15,BI$13)))</f>
        <v>0</v>
      </c>
      <c r="BJ26" s="170">
        <f ca="1">IF(OR($D26&lt;&gt;"Serviço",AND(AUTOEVENTO="Manual",$M26=$A$15)),0,
         IF(OFFSET(CRONOPLE!$F$15,$M26-$A$15,BJ$13)=0,10^12,OFFSET(CRONOPLE!$F$15,$M26-$A$15,BJ$13)))</f>
        <v>0</v>
      </c>
      <c r="BK26" s="170">
        <f ca="1">IF(OR($D26&lt;&gt;"Serviço",AND(AUTOEVENTO="Manual",$M26=$A$15)),0,
         IF(OFFSET(CRONOPLE!$F$15,$M26-$A$15,BK$13)=0,10^12,OFFSET(CRONOPLE!$F$15,$M26-$A$15,BK$13)))</f>
        <v>0</v>
      </c>
      <c r="BL26" s="170">
        <f ca="1">IF(OR($D26&lt;&gt;"Serviço",AND(AUTOEVENTO="Manual",$M26=$A$15)),0,
         IF(OFFSET(CRONOPLE!$F$15,$M26-$A$15,BL$13)=0,10^12,OFFSET(CRONOPLE!$F$15,$M26-$A$15,BL$13)))</f>
        <v>0</v>
      </c>
      <c r="BM26" s="170">
        <f ca="1">IF(OR($D26&lt;&gt;"Serviço",AND(AUTOEVENTO="Manual",$M26=$A$15)),0,
         IF(OFFSET(CRONOPLE!$F$15,$M26-$A$15,BM$13)=0,10^12,OFFSET(CRONOPLE!$F$15,$M26-$A$15,BM$13)))</f>
        <v>0</v>
      </c>
      <c r="BN26" s="170">
        <f ca="1">IF(OR($D26&lt;&gt;"Serviço",AND(AUTOEVENTO="Manual",$M26=$A$15)),0,
         IF(OFFSET(CRONOPLE!$F$15,$M26-$A$15,BN$13)=0,10^12,OFFSET(CRONOPLE!$F$15,$M26-$A$15,BN$13)))</f>
        <v>0</v>
      </c>
      <c r="BO26" s="170">
        <f ca="1">IF(OR($D26&lt;&gt;"Serviço",AND(AUTOEVENTO="Manual",$M26=$A$15)),0,
         IF(OFFSET(CRONOPLE!$F$15,$M26-$A$15,BO$13)=0,10^12,OFFSET(CRONOPLE!$F$15,$M26-$A$15,BO$13)))</f>
        <v>0</v>
      </c>
      <c r="BP26" s="170">
        <f ca="1">IF(OR($D26&lt;&gt;"Serviço",AND(AUTOEVENTO="Manual",$M26=$A$15)),0,
         IF(OFFSET(CRONOPLE!$F$15,$M26-$A$15,BP$13)=0,10^12,OFFSET(CRONOPLE!$F$15,$M26-$A$15,BP$13)))</f>
        <v>0</v>
      </c>
      <c r="BQ26" s="170">
        <f ca="1">IF(OR($D26&lt;&gt;"Serviço",AND(AUTOEVENTO="Manual",$M26=$A$15)),0,
         IF(OFFSET(CRONOPLE!$F$15,$M26-$A$15,BQ$13)=0,10^12,OFFSET(CRONOPLE!$F$15,$M26-$A$15,BQ$13)))</f>
        <v>0</v>
      </c>
      <c r="BR26" s="170">
        <f ca="1">IF(OR($D26&lt;&gt;"Serviço",AND(AUTOEVENTO="Manual",$M26=$A$15)),0,
         IF(OFFSET(CRONOPLE!$F$15,$M26-$A$15,BR$13)=0,10^12,OFFSET(CRONOPLE!$F$15,$M26-$A$15,BR$13)))</f>
        <v>0</v>
      </c>
      <c r="BS26" s="170">
        <f ca="1">IF(OR($D26&lt;&gt;"Serviço",AND(AUTOEVENTO="Manual",$M26=$A$15)),0,
         IF(OFFSET(CRONOPLE!$F$15,$M26-$A$15,BS$13)=0,10^12,OFFSET(CRONOPLE!$F$15,$M26-$A$15,BS$13)))</f>
        <v>0</v>
      </c>
      <c r="BT26" s="170">
        <f ca="1">IF(OR($D26&lt;&gt;"Serviço",AND(AUTOEVENTO="Manual",$M26=$A$15)),0,
         IF(OFFSET(CRONOPLE!$F$15,$M26-$A$15,BT$13)=0,10^12,OFFSET(CRONOPLE!$F$15,$M26-$A$15,BT$13)))</f>
        <v>0</v>
      </c>
      <c r="BV26" s="171" cm="1">
        <f t="array" aca="1" ref="BV26" ca="1">IF(OR($D26&lt;&gt;"Serviço",AND(AUTOEVENTO="Manual",$M26=$A$15),$M26&gt;(ROW(PLE.lastrow)-ROW(PLE.firstrow))),0,
           IF(OFFSET(PLE!$G$15,$M26-$A$15,BV$13)="",10^12,OFFSET(PLE!$G$15,$M26-$A$15,BV$13)))</f>
        <v>0</v>
      </c>
      <c r="BW26" s="171" cm="1">
        <f t="array" aca="1" ref="BW26" ca="1">IF(OR($D26&lt;&gt;"Serviço",AND(AUTOEVENTO="Manual",$M26=$A$15),$M26&gt;(ROW(PLE.lastrow)-ROW(PLE.firstrow))),0,
           IF(OFFSET(PLE!$G$15,$M26-$A$15,BW$13)="",10^12,OFFSET(PLE!$G$15,$M26-$A$15,BW$13)))</f>
        <v>0</v>
      </c>
      <c r="BX26" s="171" cm="1">
        <f t="array" aca="1" ref="BX26" ca="1">IF(OR($D26&lt;&gt;"Serviço",AND(AUTOEVENTO="Manual",$M26=$A$15),$M26&gt;(ROW(PLE.lastrow)-ROW(PLE.firstrow))),0,
           IF(OFFSET(PLE!$G$15,$M26-$A$15,BX$13)="",10^12,OFFSET(PLE!$G$15,$M26-$A$15,BX$13)))</f>
        <v>0</v>
      </c>
      <c r="BY26" s="171" cm="1">
        <f t="array" aca="1" ref="BY26" ca="1">IF(OR($D26&lt;&gt;"Serviço",AND(AUTOEVENTO="Manual",$M26=$A$15),$M26&gt;(ROW(PLE.lastrow)-ROW(PLE.firstrow))),0,
           IF(OFFSET(PLE!$G$15,$M26-$A$15,BY$13)="",10^12,OFFSET(PLE!$G$15,$M26-$A$15,BY$13)))</f>
        <v>0</v>
      </c>
      <c r="BZ26" s="171" cm="1">
        <f t="array" aca="1" ref="BZ26" ca="1">IF(OR($D26&lt;&gt;"Serviço",AND(AUTOEVENTO="Manual",$M26=$A$15),$M26&gt;(ROW(PLE.lastrow)-ROW(PLE.firstrow))),0,
           IF(OFFSET(PLE!$G$15,$M26-$A$15,BZ$13)="",10^12,OFFSET(PLE!$G$15,$M26-$A$15,BZ$13)))</f>
        <v>0</v>
      </c>
      <c r="CA26" s="171" cm="1">
        <f t="array" aca="1" ref="CA26" ca="1">IF(OR($D26&lt;&gt;"Serviço",AND(AUTOEVENTO="Manual",$M26=$A$15),$M26&gt;(ROW(PLE.lastrow)-ROW(PLE.firstrow))),0,
           IF(OFFSET(PLE!$G$15,$M26-$A$15,CA$13)="",10^12,OFFSET(PLE!$G$15,$M26-$A$15,CA$13)))</f>
        <v>0</v>
      </c>
      <c r="CB26" s="171" cm="1">
        <f t="array" aca="1" ref="CB26" ca="1">IF(OR($D26&lt;&gt;"Serviço",AND(AUTOEVENTO="Manual",$M26=$A$15),$M26&gt;(ROW(PLE.lastrow)-ROW(PLE.firstrow))),0,
           IF(OFFSET(PLE!$G$15,$M26-$A$15,CB$13)="",10^12,OFFSET(PLE!$G$15,$M26-$A$15,CB$13)))</f>
        <v>0</v>
      </c>
      <c r="CC26" s="171" cm="1">
        <f t="array" aca="1" ref="CC26" ca="1">IF(OR($D26&lt;&gt;"Serviço",AND(AUTOEVENTO="Manual",$M26=$A$15),$M26&gt;(ROW(PLE.lastrow)-ROW(PLE.firstrow))),0,
           IF(OFFSET(PLE!$G$15,$M26-$A$15,CC$13)="",10^12,OFFSET(PLE!$G$15,$M26-$A$15,CC$13)))</f>
        <v>0</v>
      </c>
      <c r="CD26" s="171" cm="1">
        <f t="array" aca="1" ref="CD26" ca="1">IF(OR($D26&lt;&gt;"Serviço",AND(AUTOEVENTO="Manual",$M26=$A$15),$M26&gt;(ROW(PLE.lastrow)-ROW(PLE.firstrow))),0,
           IF(OFFSET(PLE!$G$15,$M26-$A$15,CD$13)="",10^12,OFFSET(PLE!$G$15,$M26-$A$15,CD$13)))</f>
        <v>0</v>
      </c>
      <c r="CE26" s="171" cm="1">
        <f t="array" aca="1" ref="CE26" ca="1">IF(OR($D26&lt;&gt;"Serviço",AND(AUTOEVENTO="Manual",$M26=$A$15),$M26&gt;(ROW(PLE.lastrow)-ROW(PLE.firstrow))),0,
           IF(OFFSET(PLE!$G$15,$M26-$A$15,CE$13)="",10^12,OFFSET(PLE!$G$15,$M26-$A$15,CE$13)))</f>
        <v>0</v>
      </c>
      <c r="CF26" s="171" cm="1">
        <f t="array" aca="1" ref="CF26" ca="1">IF(OR($D26&lt;&gt;"Serviço",AND(AUTOEVENTO="Manual",$M26=$A$15),$M26&gt;(ROW(PLE.lastrow)-ROW(PLE.firstrow))),0,
           IF(OFFSET(PLE!$G$15,$M26-$A$15,CF$13)="",10^12,OFFSET(PLE!$G$15,$M26-$A$15,CF$13)))</f>
        <v>0</v>
      </c>
      <c r="CG26" s="171" cm="1">
        <f t="array" aca="1" ref="CG26" ca="1">IF(OR($D26&lt;&gt;"Serviço",AND(AUTOEVENTO="Manual",$M26=$A$15),$M26&gt;(ROW(PLE.lastrow)-ROW(PLE.firstrow))),0,
           IF(OFFSET(PLE!$G$15,$M26-$A$15,CG$13)="",10^12,OFFSET(PLE!$G$15,$M26-$A$15,CG$13)))</f>
        <v>0</v>
      </c>
      <c r="CH26" s="171" cm="1">
        <f t="array" aca="1" ref="CH26" ca="1">IF(OR($D26&lt;&gt;"Serviço",AND(AUTOEVENTO="Manual",$M26=$A$15),$M26&gt;(ROW(PLE.lastrow)-ROW(PLE.firstrow))),0,
           IF(OFFSET(PLE!$G$15,$M26-$A$15,CH$13)="",10^12,OFFSET(PLE!$G$15,$M26-$A$15,CH$13)))</f>
        <v>0</v>
      </c>
      <c r="CI26" s="171" cm="1">
        <f t="array" aca="1" ref="CI26" ca="1">IF(OR($D26&lt;&gt;"Serviço",AND(AUTOEVENTO="Manual",$M26=$A$15),$M26&gt;(ROW(PLE.lastrow)-ROW(PLE.firstrow))),0,
           IF(OFFSET(PLE!$G$15,$M26-$A$15,CI$13)="",10^12,OFFSET(PLE!$G$15,$M26-$A$15,CI$13)))</f>
        <v>0</v>
      </c>
      <c r="CJ26" s="171" cm="1">
        <f t="array" aca="1" ref="CJ26" ca="1">IF(OR($D26&lt;&gt;"Serviço",AND(AUTOEVENTO="Manual",$M26=$A$15),$M26&gt;(ROW(PLE.lastrow)-ROW(PLE.firstrow))),0,
           IF(OFFSET(PLE!$G$15,$M26-$A$15,CJ$13)="",10^12,OFFSET(PLE!$G$15,$M26-$A$15,CJ$13)))</f>
        <v>0</v>
      </c>
      <c r="CK26" s="171" cm="1">
        <f t="array" aca="1" ref="CK26" ca="1">IF(OR($D26&lt;&gt;"Serviço",AND(AUTOEVENTO="Manual",$M26=$A$15),$M26&gt;(ROW(PLE.lastrow)-ROW(PLE.firstrow))),0,
           IF(OFFSET(PLE!$G$15,$M26-$A$15,CK$13)="",10^12,OFFSET(PLE!$G$15,$M26-$A$15,CK$13)))</f>
        <v>0</v>
      </c>
      <c r="CL26" s="171" cm="1">
        <f t="array" aca="1" ref="CL26" ca="1">IF(OR($D26&lt;&gt;"Serviço",AND(AUTOEVENTO="Manual",$M26=$A$15),$M26&gt;(ROW(PLE.lastrow)-ROW(PLE.firstrow))),0,
           IF(OFFSET(PLE!$G$15,$M26-$A$15,CL$13)="",10^12,OFFSET(PLE!$G$15,$M26-$A$15,CL$13)))</f>
        <v>0</v>
      </c>
      <c r="CM26" s="171" cm="1">
        <f t="array" aca="1" ref="CM26" ca="1">IF(OR($D26&lt;&gt;"Serviço",AND(AUTOEVENTO="Manual",$M26=$A$15),$M26&gt;(ROW(PLE.lastrow)-ROW(PLE.firstrow))),0,
           IF(OFFSET(PLE!$G$15,$M26-$A$15,CM$13)="",10^12,OFFSET(PLE!$G$15,$M26-$A$15,CM$13)))</f>
        <v>0</v>
      </c>
    </row>
    <row r="27" spans="1:91" ht="12.75" x14ac:dyDescent="0.2">
      <c r="A27" s="7" t="str">
        <f t="shared" ca="1" si="10"/>
        <v>11</v>
      </c>
      <c r="B27" s="7" t="str">
        <f ca="1">OFFSET(ORÇAMENTO!C$15,$L27,0)</f>
        <v>S</v>
      </c>
      <c r="C27" s="7" t="str">
        <f ca="1">OFFSET(ORÇAMENTO!L$15,$L27,0)</f>
        <v>F</v>
      </c>
      <c r="D27" s="115" t="str">
        <f ca="1">OFFSET(ORÇAMENTO!N$15,$L27,0)</f>
        <v>Serviço</v>
      </c>
      <c r="E27" s="116" t="str">
        <f ca="1">OFFSET(ORÇAMENTO!O$15,$L27,0)</f>
        <v>1.3.1.</v>
      </c>
      <c r="F27" s="162" t="str">
        <f ca="1">OFFSET(ORÇAMENTO!R$15,$L27,0)</f>
        <v>(Código não identificado nas referências)</v>
      </c>
      <c r="G27" s="163" t="str">
        <f ca="1">IF($D27&lt;&gt;"Serviço","",OFFSET(ORÇAMENTO!S$15,$L27,0))</f>
        <v>M2</v>
      </c>
      <c r="H27" s="121" cm="1">
        <f t="array" aca="1" ref="H27" ca="1">IF($D27&lt;&gt;"Serviço",0,IF(ACOMPANHAMENTO="BM",ROUND(OFFSET(ORÇAMENTO!AJ$15,$L27,0),15-13*ORÇAMENTO!$AF$7),IF(IFERROR(CÁLCULO.FrentesPreenchidas,0)=0,0,SUM(ROUND(OFFSET($P27,0,1,1,CÁLCULO.FrentesPreenchidas),15-13*ORÇAMENTO!$AF$7)))))</f>
        <v>3518.0199999999995</v>
      </c>
      <c r="I27" s="467"/>
      <c r="J27" s="650" t="str" cm="1">
        <f t="array" aca="1" ref="J27" ca="1">IF(OR(B27&lt;&gt;"S",CÁLCULO.FrentesPreenchidas=0),"",IF(AND(ACOMPANHAMENTO="PLE",AUTOEVENTO="Manual",OR(H27&gt;0,ORÇAMENTO!AC27="QUANT."),OR(K27="",M27=0,N27="")),"►E",IF(AND(ACOMPANHAMENTO="PLE",ORÇAMENTO!AC27="QUANT."),"►Q",IF(AND(ACOMPANHAMENTO="PLE",H27&lt;&gt;SUMPRODUCT(($Q$1:$AI$1=1)*ROUND(Q27:AI27,15))),"►S",IF(AND(COUNTIF($P$11:$AI$11,"▼")=0,H27&gt;0,I27=""),"◄M","")))))</f>
        <v>◄M</v>
      </c>
      <c r="K27" s="651"/>
      <c r="L27" s="164">
        <f t="shared" ca="1" si="11"/>
        <v>12</v>
      </c>
      <c r="M27" s="165">
        <f ca="1">IF($D27&lt;&gt;"Serviço","",
          IF(AUTOEVENTO="manual",$A27,
                IF(ISERROR(MATCH($A27,$A$15:OFFSET($A27,-1,0),0)),MAX($M$15:OFFSET(M27,-1,0))+1,
                      INDEX($M$15:OFFSET(M27,-1,0),MATCH($A27,$A$15:OFFSET($A27,-1,0),0)))))</f>
        <v>3</v>
      </c>
      <c r="N27" s="166" t="str">
        <f ca="1">IF($D27&lt;&gt;"Serviço","",
         IF(AUTOEVENTO="Manual",
                IF($A27=0,"&lt;-- defina o número do agrupador",
                       OFFSET(EVENTOS!$D$15,$A27-$A$15,0)),
                OFFSET($F$15,$A27,0)))</f>
        <v>Revestimento</v>
      </c>
      <c r="O27" s="167"/>
      <c r="Q27" s="167">
        <v>185.48</v>
      </c>
      <c r="R27" s="168">
        <v>860.43</v>
      </c>
      <c r="S27" s="168"/>
      <c r="T27" s="168"/>
      <c r="U27" s="168"/>
      <c r="V27" s="168"/>
      <c r="W27" s="168">
        <v>1550.81</v>
      </c>
      <c r="X27" s="168"/>
      <c r="Y27" s="168"/>
      <c r="Z27" s="169"/>
      <c r="AA27" s="168">
        <v>921.3</v>
      </c>
      <c r="AB27" s="168"/>
      <c r="AC27" s="168"/>
      <c r="AD27" s="168"/>
      <c r="AE27" s="168"/>
      <c r="AF27" s="168"/>
      <c r="AG27" s="168"/>
      <c r="AH27" s="169"/>
      <c r="AJ27" s="452">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2335.19</v>
      </c>
      <c r="AK27" s="452">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10832.81</v>
      </c>
      <c r="AL27" s="452">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52">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2">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52">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2">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19524.7</v>
      </c>
      <c r="AQ27" s="452">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2">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2">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2">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11599.17</v>
      </c>
      <c r="AU27" s="452">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2">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2">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2">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2">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2">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2">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0">
        <f ca="1">IF(OR($D27&lt;&gt;"Serviço",AND(AUTOEVENTO="Manual",$M27=$A$15)),0,
         IF(OFFSET(CRONOPLE!$F$15,$M27-$A$15,BC$13)=0,10^12,OFFSET(CRONOPLE!$F$15,$M27-$A$15,BC$13)))</f>
        <v>1</v>
      </c>
      <c r="BD27" s="170">
        <f ca="1">IF(OR($D27&lt;&gt;"Serviço",AND(AUTOEVENTO="Manual",$M27=$A$15)),0,
         IF(OFFSET(CRONOPLE!$F$15,$M27-$A$15,BD$13)=0,10^12,OFFSET(CRONOPLE!$F$15,$M27-$A$15,BD$13)))</f>
        <v>1</v>
      </c>
      <c r="BE27" s="170">
        <f ca="1">IF(OR($D27&lt;&gt;"Serviço",AND(AUTOEVENTO="Manual",$M27=$A$15)),0,
         IF(OFFSET(CRONOPLE!$F$15,$M27-$A$15,BE$13)=0,10^12,OFFSET(CRONOPLE!$F$15,$M27-$A$15,BE$13)))</f>
        <v>1</v>
      </c>
      <c r="BF27" s="170">
        <f ca="1">IF(OR($D27&lt;&gt;"Serviço",AND(AUTOEVENTO="Manual",$M27=$A$15)),0,
         IF(OFFSET(CRONOPLE!$F$15,$M27-$A$15,BF$13)=0,10^12,OFFSET(CRONOPLE!$F$15,$M27-$A$15,BF$13)))</f>
        <v>2</v>
      </c>
      <c r="BG27" s="170">
        <f ca="1">IF(OR($D27&lt;&gt;"Serviço",AND(AUTOEVENTO="Manual",$M27=$A$15)),0,
         IF(OFFSET(CRONOPLE!$F$15,$M27-$A$15,BG$13)=0,10^12,OFFSET(CRONOPLE!$F$15,$M27-$A$15,BG$13)))</f>
        <v>2</v>
      </c>
      <c r="BH27" s="170">
        <f ca="1">IF(OR($D27&lt;&gt;"Serviço",AND(AUTOEVENTO="Manual",$M27=$A$15)),0,
         IF(OFFSET(CRONOPLE!$F$15,$M27-$A$15,BH$13)=0,10^12,OFFSET(CRONOPLE!$F$15,$M27-$A$15,BH$13)))</f>
        <v>2</v>
      </c>
      <c r="BI27" s="170">
        <f ca="1">IF(OR($D27&lt;&gt;"Serviço",AND(AUTOEVENTO="Manual",$M27=$A$15)),0,
         IF(OFFSET(CRONOPLE!$F$15,$M27-$A$15,BI$13)=0,10^12,OFFSET(CRONOPLE!$F$15,$M27-$A$15,BI$13)))</f>
        <v>2</v>
      </c>
      <c r="BJ27" s="170">
        <f ca="1">IF(OR($D27&lt;&gt;"Serviço",AND(AUTOEVENTO="Manual",$M27=$A$15)),0,
         IF(OFFSET(CRONOPLE!$F$15,$M27-$A$15,BJ$13)=0,10^12,OFFSET(CRONOPLE!$F$15,$M27-$A$15,BJ$13)))</f>
        <v>3</v>
      </c>
      <c r="BK27" s="170">
        <f ca="1">IF(OR($D27&lt;&gt;"Serviço",AND(AUTOEVENTO="Manual",$M27=$A$15)),0,
         IF(OFFSET(CRONOPLE!$F$15,$M27-$A$15,BK$13)=0,10^12,OFFSET(CRONOPLE!$F$15,$M27-$A$15,BK$13)))</f>
        <v>3</v>
      </c>
      <c r="BL27" s="170">
        <f ca="1">IF(OR($D27&lt;&gt;"Serviço",AND(AUTOEVENTO="Manual",$M27=$A$15)),0,
         IF(OFFSET(CRONOPLE!$F$15,$M27-$A$15,BL$13)=0,10^12,OFFSET(CRONOPLE!$F$15,$M27-$A$15,BL$13)))</f>
        <v>3</v>
      </c>
      <c r="BM27" s="170">
        <f ca="1">IF(OR($D27&lt;&gt;"Serviço",AND(AUTOEVENTO="Manual",$M27=$A$15)),0,
         IF(OFFSET(CRONOPLE!$F$15,$M27-$A$15,BM$13)=0,10^12,OFFSET(CRONOPLE!$F$15,$M27-$A$15,BM$13)))</f>
        <v>4</v>
      </c>
      <c r="BN27" s="170">
        <f ca="1">IF(OR($D27&lt;&gt;"Serviço",AND(AUTOEVENTO="Manual",$M27=$A$15)),0,
         IF(OFFSET(CRONOPLE!$F$15,$M27-$A$15,BN$13)=0,10^12,OFFSET(CRONOPLE!$F$15,$M27-$A$15,BN$13)))</f>
        <v>5</v>
      </c>
      <c r="BO27" s="170">
        <f ca="1">IF(OR($D27&lt;&gt;"Serviço",AND(AUTOEVENTO="Manual",$M27=$A$15)),0,
         IF(OFFSET(CRONOPLE!$F$15,$M27-$A$15,BO$13)=0,10^12,OFFSET(CRONOPLE!$F$15,$M27-$A$15,BO$13)))</f>
        <v>5</v>
      </c>
      <c r="BP27" s="170">
        <f ca="1">IF(OR($D27&lt;&gt;"Serviço",AND(AUTOEVENTO="Manual",$M27=$A$15)),0,
         IF(OFFSET(CRONOPLE!$F$15,$M27-$A$15,BP$13)=0,10^12,OFFSET(CRONOPLE!$F$15,$M27-$A$15,BP$13)))</f>
        <v>1000000000000</v>
      </c>
      <c r="BQ27" s="170">
        <f ca="1">IF(OR($D27&lt;&gt;"Serviço",AND(AUTOEVENTO="Manual",$M27=$A$15)),0,
         IF(OFFSET(CRONOPLE!$F$15,$M27-$A$15,BQ$13)=0,10^12,OFFSET(CRONOPLE!$F$15,$M27-$A$15,BQ$13)))</f>
        <v>1000000000000</v>
      </c>
      <c r="BR27" s="170">
        <f ca="1">IF(OR($D27&lt;&gt;"Serviço",AND(AUTOEVENTO="Manual",$M27=$A$15)),0,
         IF(OFFSET(CRONOPLE!$F$15,$M27-$A$15,BR$13)=0,10^12,OFFSET(CRONOPLE!$F$15,$M27-$A$15,BR$13)))</f>
        <v>1000000000000</v>
      </c>
      <c r="BS27" s="170">
        <f ca="1">IF(OR($D27&lt;&gt;"Serviço",AND(AUTOEVENTO="Manual",$M27=$A$15)),0,
         IF(OFFSET(CRONOPLE!$F$15,$M27-$A$15,BS$13)=0,10^12,OFFSET(CRONOPLE!$F$15,$M27-$A$15,BS$13)))</f>
        <v>1000000000000</v>
      </c>
      <c r="BT27" s="170">
        <f ca="1">IF(OR($D27&lt;&gt;"Serviço",AND(AUTOEVENTO="Manual",$M27=$A$15)),0,
         IF(OFFSET(CRONOPLE!$F$15,$M27-$A$15,BT$13)=0,10^12,OFFSET(CRONOPLE!$F$15,$M27-$A$15,BT$13)))</f>
        <v>1000000000000</v>
      </c>
      <c r="BV27" s="171" cm="1">
        <f t="array" aca="1" ref="BV27" ca="1">IF(OR($D27&lt;&gt;"Serviço",AND(AUTOEVENTO="Manual",$M27=$A$15),$M27&gt;(ROW(PLE.lastrow)-ROW(PLE.firstrow))),0,
           IF(OFFSET(PLE!$G$15,$M27-$A$15,BV$13)="",10^12,OFFSET(PLE!$G$15,$M27-$A$15,BV$13)))</f>
        <v>1000000000000</v>
      </c>
      <c r="BW27" s="171" cm="1">
        <f t="array" aca="1" ref="BW27" ca="1">IF(OR($D27&lt;&gt;"Serviço",AND(AUTOEVENTO="Manual",$M27=$A$15),$M27&gt;(ROW(PLE.lastrow)-ROW(PLE.firstrow))),0,
           IF(OFFSET(PLE!$G$15,$M27-$A$15,BW$13)="",10^12,OFFSET(PLE!$G$15,$M27-$A$15,BW$13)))</f>
        <v>1000000000000</v>
      </c>
      <c r="BX27" s="171" cm="1">
        <f t="array" aca="1" ref="BX27" ca="1">IF(OR($D27&lt;&gt;"Serviço",AND(AUTOEVENTO="Manual",$M27=$A$15),$M27&gt;(ROW(PLE.lastrow)-ROW(PLE.firstrow))),0,
           IF(OFFSET(PLE!$G$15,$M27-$A$15,BX$13)="",10^12,OFFSET(PLE!$G$15,$M27-$A$15,BX$13)))</f>
        <v>1000000000000</v>
      </c>
      <c r="BY27" s="171" cm="1">
        <f t="array" aca="1" ref="BY27" ca="1">IF(OR($D27&lt;&gt;"Serviço",AND(AUTOEVENTO="Manual",$M27=$A$15),$M27&gt;(ROW(PLE.lastrow)-ROW(PLE.firstrow))),0,
           IF(OFFSET(PLE!$G$15,$M27-$A$15,BY$13)="",10^12,OFFSET(PLE!$G$15,$M27-$A$15,BY$13)))</f>
        <v>1000000000000</v>
      </c>
      <c r="BZ27" s="171" cm="1">
        <f t="array" aca="1" ref="BZ27" ca="1">IF(OR($D27&lt;&gt;"Serviço",AND(AUTOEVENTO="Manual",$M27=$A$15),$M27&gt;(ROW(PLE.lastrow)-ROW(PLE.firstrow))),0,
           IF(OFFSET(PLE!$G$15,$M27-$A$15,BZ$13)="",10^12,OFFSET(PLE!$G$15,$M27-$A$15,BZ$13)))</f>
        <v>1000000000000</v>
      </c>
      <c r="CA27" s="171" cm="1">
        <f t="array" aca="1" ref="CA27" ca="1">IF(OR($D27&lt;&gt;"Serviço",AND(AUTOEVENTO="Manual",$M27=$A$15),$M27&gt;(ROW(PLE.lastrow)-ROW(PLE.firstrow))),0,
           IF(OFFSET(PLE!$G$15,$M27-$A$15,CA$13)="",10^12,OFFSET(PLE!$G$15,$M27-$A$15,CA$13)))</f>
        <v>1000000000000</v>
      </c>
      <c r="CB27" s="171" cm="1">
        <f t="array" aca="1" ref="CB27" ca="1">IF(OR($D27&lt;&gt;"Serviço",AND(AUTOEVENTO="Manual",$M27=$A$15),$M27&gt;(ROW(PLE.lastrow)-ROW(PLE.firstrow))),0,
           IF(OFFSET(PLE!$G$15,$M27-$A$15,CB$13)="",10^12,OFFSET(PLE!$G$15,$M27-$A$15,CB$13)))</f>
        <v>1000000000000</v>
      </c>
      <c r="CC27" s="171" cm="1">
        <f t="array" aca="1" ref="CC27" ca="1">IF(OR($D27&lt;&gt;"Serviço",AND(AUTOEVENTO="Manual",$M27=$A$15),$M27&gt;(ROW(PLE.lastrow)-ROW(PLE.firstrow))),0,
           IF(OFFSET(PLE!$G$15,$M27-$A$15,CC$13)="",10^12,OFFSET(PLE!$G$15,$M27-$A$15,CC$13)))</f>
        <v>1000000000000</v>
      </c>
      <c r="CD27" s="171" cm="1">
        <f t="array" aca="1" ref="CD27" ca="1">IF(OR($D27&lt;&gt;"Serviço",AND(AUTOEVENTO="Manual",$M27=$A$15),$M27&gt;(ROW(PLE.lastrow)-ROW(PLE.firstrow))),0,
           IF(OFFSET(PLE!$G$15,$M27-$A$15,CD$13)="",10^12,OFFSET(PLE!$G$15,$M27-$A$15,CD$13)))</f>
        <v>1000000000000</v>
      </c>
      <c r="CE27" s="171" cm="1">
        <f t="array" aca="1" ref="CE27" ca="1">IF(OR($D27&lt;&gt;"Serviço",AND(AUTOEVENTO="Manual",$M27=$A$15),$M27&gt;(ROW(PLE.lastrow)-ROW(PLE.firstrow))),0,
           IF(OFFSET(PLE!$G$15,$M27-$A$15,CE$13)="",10^12,OFFSET(PLE!$G$15,$M27-$A$15,CE$13)))</f>
        <v>1000000000000</v>
      </c>
      <c r="CF27" s="171" cm="1">
        <f t="array" aca="1" ref="CF27" ca="1">IF(OR($D27&lt;&gt;"Serviço",AND(AUTOEVENTO="Manual",$M27=$A$15),$M27&gt;(ROW(PLE.lastrow)-ROW(PLE.firstrow))),0,
           IF(OFFSET(PLE!$G$15,$M27-$A$15,CF$13)="",10^12,OFFSET(PLE!$G$15,$M27-$A$15,CF$13)))</f>
        <v>1000000000000</v>
      </c>
      <c r="CG27" s="171" cm="1">
        <f t="array" aca="1" ref="CG27" ca="1">IF(OR($D27&lt;&gt;"Serviço",AND(AUTOEVENTO="Manual",$M27=$A$15),$M27&gt;(ROW(PLE.lastrow)-ROW(PLE.firstrow))),0,
           IF(OFFSET(PLE!$G$15,$M27-$A$15,CG$13)="",10^12,OFFSET(PLE!$G$15,$M27-$A$15,CG$13)))</f>
        <v>1000000000000</v>
      </c>
      <c r="CH27" s="171" cm="1">
        <f t="array" aca="1" ref="CH27" ca="1">IF(OR($D27&lt;&gt;"Serviço",AND(AUTOEVENTO="Manual",$M27=$A$15),$M27&gt;(ROW(PLE.lastrow)-ROW(PLE.firstrow))),0,
           IF(OFFSET(PLE!$G$15,$M27-$A$15,CH$13)="",10^12,OFFSET(PLE!$G$15,$M27-$A$15,CH$13)))</f>
        <v>1000000000000</v>
      </c>
      <c r="CI27" s="171" cm="1">
        <f t="array" aca="1" ref="CI27" ca="1">IF(OR($D27&lt;&gt;"Serviço",AND(AUTOEVENTO="Manual",$M27=$A$15),$M27&gt;(ROW(PLE.lastrow)-ROW(PLE.firstrow))),0,
           IF(OFFSET(PLE!$G$15,$M27-$A$15,CI$13)="",10^12,OFFSET(PLE!$G$15,$M27-$A$15,CI$13)))</f>
        <v>1000000000000</v>
      </c>
      <c r="CJ27" s="171" cm="1">
        <f t="array" aca="1" ref="CJ27" ca="1">IF(OR($D27&lt;&gt;"Serviço",AND(AUTOEVENTO="Manual",$M27=$A$15),$M27&gt;(ROW(PLE.lastrow)-ROW(PLE.firstrow))),0,
           IF(OFFSET(PLE!$G$15,$M27-$A$15,CJ$13)="",10^12,OFFSET(PLE!$G$15,$M27-$A$15,CJ$13)))</f>
        <v>1000000000000</v>
      </c>
      <c r="CK27" s="171" cm="1">
        <f t="array" aca="1" ref="CK27" ca="1">IF(OR($D27&lt;&gt;"Serviço",AND(AUTOEVENTO="Manual",$M27=$A$15),$M27&gt;(ROW(PLE.lastrow)-ROW(PLE.firstrow))),0,
           IF(OFFSET(PLE!$G$15,$M27-$A$15,CK$13)="",10^12,OFFSET(PLE!$G$15,$M27-$A$15,CK$13)))</f>
        <v>1000000000000</v>
      </c>
      <c r="CL27" s="171" cm="1">
        <f t="array" aca="1" ref="CL27" ca="1">IF(OR($D27&lt;&gt;"Serviço",AND(AUTOEVENTO="Manual",$M27=$A$15),$M27&gt;(ROW(PLE.lastrow)-ROW(PLE.firstrow))),0,
           IF(OFFSET(PLE!$G$15,$M27-$A$15,CL$13)="",10^12,OFFSET(PLE!$G$15,$M27-$A$15,CL$13)))</f>
        <v>1000000000000</v>
      </c>
      <c r="CM27" s="171" cm="1">
        <f t="array" aca="1" ref="CM27" ca="1">IF(OR($D27&lt;&gt;"Serviço",AND(AUTOEVENTO="Manual",$M27=$A$15),$M27&gt;(ROW(PLE.lastrow)-ROW(PLE.firstrow))),0,
           IF(OFFSET(PLE!$G$15,$M27-$A$15,CM$13)="",10^12,OFFSET(PLE!$G$15,$M27-$A$15,CM$13)))</f>
        <v>1000000000000</v>
      </c>
    </row>
    <row r="28" spans="1:91" ht="12.75" x14ac:dyDescent="0.2">
      <c r="A28" s="7" t="str">
        <f t="shared" ca="1" si="10"/>
        <v>11</v>
      </c>
      <c r="B28" s="7" t="str">
        <f ca="1">OFFSET(ORÇAMENTO!C$15,$L28,0)</f>
        <v>S</v>
      </c>
      <c r="C28" s="7" t="str">
        <f ca="1">OFFSET(ORÇAMENTO!L$15,$L28,0)</f>
        <v>F</v>
      </c>
      <c r="D28" s="115" t="str">
        <f ca="1">OFFSET(ORÇAMENTO!N$15,$L28,0)</f>
        <v>Serviço</v>
      </c>
      <c r="E28" s="116" t="str">
        <f ca="1">OFFSET(ORÇAMENTO!O$15,$L28,0)</f>
        <v>1.3.2.</v>
      </c>
      <c r="F28" s="162" t="str">
        <f ca="1">OFFSET(ORÇAMENTO!R$15,$L28,0)</f>
        <v>(Código não identificado nas referências)</v>
      </c>
      <c r="G28" s="163" t="str">
        <f ca="1">IF($D28&lt;&gt;"Serviço","",OFFSET(ORÇAMENTO!S$15,$L28,0))</f>
        <v>M2</v>
      </c>
      <c r="H28" s="121" cm="1">
        <f t="array" aca="1" ref="H28" ca="1">IF($D28&lt;&gt;"Serviço",0,IF(ACOMPANHAMENTO="BM",ROUND(OFFSET(ORÇAMENTO!AJ$15,$L28,0),15-13*ORÇAMENTO!$AF$7),IF(IFERROR(CÁLCULO.FrentesPreenchidas,0)=0,0,SUM(ROUND(OFFSET($P28,0,1,1,CÁLCULO.FrentesPreenchidas),15-13*ORÇAMENTO!$AF$7)))))</f>
        <v>35554.270000000004</v>
      </c>
      <c r="I28" s="467"/>
      <c r="J28" s="650" t="str" cm="1">
        <f t="array" aca="1" ref="J28" ca="1">IF(OR(B28&lt;&gt;"S",CÁLCULO.FrentesPreenchidas=0),"",IF(AND(ACOMPANHAMENTO="PLE",AUTOEVENTO="Manual",OR(H28&gt;0,ORÇAMENTO!AC28="QUANT."),OR(K28="",M28=0,N28="")),"►E",IF(AND(ACOMPANHAMENTO="PLE",ORÇAMENTO!AC28="QUANT."),"►Q",IF(AND(ACOMPANHAMENTO="PLE",H28&lt;&gt;SUMPRODUCT(($Q$1:$AI$1=1)*ROUND(Q28:AI28,15))),"►S",IF(AND(COUNTIF($P$11:$AI$11,"▼")=0,H28&gt;0,I28=""),"◄M","")))))</f>
        <v>◄M</v>
      </c>
      <c r="K28" s="651"/>
      <c r="L28" s="164">
        <f t="shared" ca="1" si="11"/>
        <v>13</v>
      </c>
      <c r="M28" s="165">
        <f ca="1">IF($D28&lt;&gt;"Serviço","",
          IF(AUTOEVENTO="manual",$A28,
                IF(ISERROR(MATCH($A28,$A$15:OFFSET($A28,-1,0),0)),MAX($M$15:OFFSET(M28,-1,0))+1,
                      INDEX($M$15:OFFSET(M28,-1,0),MATCH($A28,$A$15:OFFSET($A28,-1,0),0)))))</f>
        <v>3</v>
      </c>
      <c r="N28" s="166" t="str">
        <f ca="1">IF($D28&lt;&gt;"Serviço","",
         IF(AUTOEVENTO="Manual",
                IF($A28=0,"&lt;-- defina o número do agrupador",
                       OFFSET(EVENTOS!$D$15,$A28-$A$15,0)),
                OFFSET($F$15,$A28,0)))</f>
        <v>Revestimento</v>
      </c>
      <c r="O28" s="167"/>
      <c r="Q28" s="167">
        <v>533.72</v>
      </c>
      <c r="R28" s="168">
        <v>3399.8</v>
      </c>
      <c r="S28" s="168">
        <v>1507.05</v>
      </c>
      <c r="T28" s="168">
        <v>777.65</v>
      </c>
      <c r="U28" s="168">
        <v>899.27</v>
      </c>
      <c r="V28" s="168">
        <v>1176.8399999999999</v>
      </c>
      <c r="W28" s="168">
        <v>3970.3</v>
      </c>
      <c r="X28" s="168">
        <v>5543.36</v>
      </c>
      <c r="Y28" s="168">
        <v>1859.91</v>
      </c>
      <c r="Z28" s="169">
        <v>375.34</v>
      </c>
      <c r="AA28" s="168">
        <v>2669.61</v>
      </c>
      <c r="AB28" s="168">
        <v>10797.2</v>
      </c>
      <c r="AC28" s="168">
        <v>2044.22</v>
      </c>
      <c r="AD28" s="168"/>
      <c r="AE28" s="168"/>
      <c r="AF28" s="168"/>
      <c r="AG28" s="168"/>
      <c r="AH28" s="169"/>
      <c r="AJ28" s="452">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2081.5100000000002</v>
      </c>
      <c r="AK28" s="452">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13259.22</v>
      </c>
      <c r="AL28" s="452">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5877.5</v>
      </c>
      <c r="AM28" s="452">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3032.84</v>
      </c>
      <c r="AN28" s="452">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3507.15</v>
      </c>
      <c r="AO28" s="452">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4589.68</v>
      </c>
      <c r="AP28" s="452">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15484.17</v>
      </c>
      <c r="AQ28" s="452">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21619.1</v>
      </c>
      <c r="AR28" s="452">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7253.65</v>
      </c>
      <c r="AS28" s="452">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1463.83</v>
      </c>
      <c r="AT28" s="452">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10411.48</v>
      </c>
      <c r="AU28" s="452">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42109.08</v>
      </c>
      <c r="AV28" s="452">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7972.46</v>
      </c>
      <c r="AW28" s="452">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2">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2">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2">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2">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0">
        <f ca="1">IF(OR($D28&lt;&gt;"Serviço",AND(AUTOEVENTO="Manual",$M28=$A$15)),0,
         IF(OFFSET(CRONOPLE!$F$15,$M28-$A$15,BC$13)=0,10^12,OFFSET(CRONOPLE!$F$15,$M28-$A$15,BC$13)))</f>
        <v>1</v>
      </c>
      <c r="BD28" s="170">
        <f ca="1">IF(OR($D28&lt;&gt;"Serviço",AND(AUTOEVENTO="Manual",$M28=$A$15)),0,
         IF(OFFSET(CRONOPLE!$F$15,$M28-$A$15,BD$13)=0,10^12,OFFSET(CRONOPLE!$F$15,$M28-$A$15,BD$13)))</f>
        <v>1</v>
      </c>
      <c r="BE28" s="170">
        <f ca="1">IF(OR($D28&lt;&gt;"Serviço",AND(AUTOEVENTO="Manual",$M28=$A$15)),0,
         IF(OFFSET(CRONOPLE!$F$15,$M28-$A$15,BE$13)=0,10^12,OFFSET(CRONOPLE!$F$15,$M28-$A$15,BE$13)))</f>
        <v>1</v>
      </c>
      <c r="BF28" s="170">
        <f ca="1">IF(OR($D28&lt;&gt;"Serviço",AND(AUTOEVENTO="Manual",$M28=$A$15)),0,
         IF(OFFSET(CRONOPLE!$F$15,$M28-$A$15,BF$13)=0,10^12,OFFSET(CRONOPLE!$F$15,$M28-$A$15,BF$13)))</f>
        <v>2</v>
      </c>
      <c r="BG28" s="170">
        <f ca="1">IF(OR($D28&lt;&gt;"Serviço",AND(AUTOEVENTO="Manual",$M28=$A$15)),0,
         IF(OFFSET(CRONOPLE!$F$15,$M28-$A$15,BG$13)=0,10^12,OFFSET(CRONOPLE!$F$15,$M28-$A$15,BG$13)))</f>
        <v>2</v>
      </c>
      <c r="BH28" s="170">
        <f ca="1">IF(OR($D28&lt;&gt;"Serviço",AND(AUTOEVENTO="Manual",$M28=$A$15)),0,
         IF(OFFSET(CRONOPLE!$F$15,$M28-$A$15,BH$13)=0,10^12,OFFSET(CRONOPLE!$F$15,$M28-$A$15,BH$13)))</f>
        <v>2</v>
      </c>
      <c r="BI28" s="170">
        <f ca="1">IF(OR($D28&lt;&gt;"Serviço",AND(AUTOEVENTO="Manual",$M28=$A$15)),0,
         IF(OFFSET(CRONOPLE!$F$15,$M28-$A$15,BI$13)=0,10^12,OFFSET(CRONOPLE!$F$15,$M28-$A$15,BI$13)))</f>
        <v>2</v>
      </c>
      <c r="BJ28" s="170">
        <f ca="1">IF(OR($D28&lt;&gt;"Serviço",AND(AUTOEVENTO="Manual",$M28=$A$15)),0,
         IF(OFFSET(CRONOPLE!$F$15,$M28-$A$15,BJ$13)=0,10^12,OFFSET(CRONOPLE!$F$15,$M28-$A$15,BJ$13)))</f>
        <v>3</v>
      </c>
      <c r="BK28" s="170">
        <f ca="1">IF(OR($D28&lt;&gt;"Serviço",AND(AUTOEVENTO="Manual",$M28=$A$15)),0,
         IF(OFFSET(CRONOPLE!$F$15,$M28-$A$15,BK$13)=0,10^12,OFFSET(CRONOPLE!$F$15,$M28-$A$15,BK$13)))</f>
        <v>3</v>
      </c>
      <c r="BL28" s="170">
        <f ca="1">IF(OR($D28&lt;&gt;"Serviço",AND(AUTOEVENTO="Manual",$M28=$A$15)),0,
         IF(OFFSET(CRONOPLE!$F$15,$M28-$A$15,BL$13)=0,10^12,OFFSET(CRONOPLE!$F$15,$M28-$A$15,BL$13)))</f>
        <v>3</v>
      </c>
      <c r="BM28" s="170">
        <f ca="1">IF(OR($D28&lt;&gt;"Serviço",AND(AUTOEVENTO="Manual",$M28=$A$15)),0,
         IF(OFFSET(CRONOPLE!$F$15,$M28-$A$15,BM$13)=0,10^12,OFFSET(CRONOPLE!$F$15,$M28-$A$15,BM$13)))</f>
        <v>4</v>
      </c>
      <c r="BN28" s="170">
        <f ca="1">IF(OR($D28&lt;&gt;"Serviço",AND(AUTOEVENTO="Manual",$M28=$A$15)),0,
         IF(OFFSET(CRONOPLE!$F$15,$M28-$A$15,BN$13)=0,10^12,OFFSET(CRONOPLE!$F$15,$M28-$A$15,BN$13)))</f>
        <v>5</v>
      </c>
      <c r="BO28" s="170">
        <f ca="1">IF(OR($D28&lt;&gt;"Serviço",AND(AUTOEVENTO="Manual",$M28=$A$15)),0,
         IF(OFFSET(CRONOPLE!$F$15,$M28-$A$15,BO$13)=0,10^12,OFFSET(CRONOPLE!$F$15,$M28-$A$15,BO$13)))</f>
        <v>5</v>
      </c>
      <c r="BP28" s="170">
        <f ca="1">IF(OR($D28&lt;&gt;"Serviço",AND(AUTOEVENTO="Manual",$M28=$A$15)),0,
         IF(OFFSET(CRONOPLE!$F$15,$M28-$A$15,BP$13)=0,10^12,OFFSET(CRONOPLE!$F$15,$M28-$A$15,BP$13)))</f>
        <v>1000000000000</v>
      </c>
      <c r="BQ28" s="170">
        <f ca="1">IF(OR($D28&lt;&gt;"Serviço",AND(AUTOEVENTO="Manual",$M28=$A$15)),0,
         IF(OFFSET(CRONOPLE!$F$15,$M28-$A$15,BQ$13)=0,10^12,OFFSET(CRONOPLE!$F$15,$M28-$A$15,BQ$13)))</f>
        <v>1000000000000</v>
      </c>
      <c r="BR28" s="170">
        <f ca="1">IF(OR($D28&lt;&gt;"Serviço",AND(AUTOEVENTO="Manual",$M28=$A$15)),0,
         IF(OFFSET(CRONOPLE!$F$15,$M28-$A$15,BR$13)=0,10^12,OFFSET(CRONOPLE!$F$15,$M28-$A$15,BR$13)))</f>
        <v>1000000000000</v>
      </c>
      <c r="BS28" s="170">
        <f ca="1">IF(OR($D28&lt;&gt;"Serviço",AND(AUTOEVENTO="Manual",$M28=$A$15)),0,
         IF(OFFSET(CRONOPLE!$F$15,$M28-$A$15,BS$13)=0,10^12,OFFSET(CRONOPLE!$F$15,$M28-$A$15,BS$13)))</f>
        <v>1000000000000</v>
      </c>
      <c r="BT28" s="170">
        <f ca="1">IF(OR($D28&lt;&gt;"Serviço",AND(AUTOEVENTO="Manual",$M28=$A$15)),0,
         IF(OFFSET(CRONOPLE!$F$15,$M28-$A$15,BT$13)=0,10^12,OFFSET(CRONOPLE!$F$15,$M28-$A$15,BT$13)))</f>
        <v>1000000000000</v>
      </c>
      <c r="BV28" s="171" cm="1">
        <f t="array" aca="1" ref="BV28" ca="1">IF(OR($D28&lt;&gt;"Serviço",AND(AUTOEVENTO="Manual",$M28=$A$15),$M28&gt;(ROW(PLE.lastrow)-ROW(PLE.firstrow))),0,
           IF(OFFSET(PLE!$G$15,$M28-$A$15,BV$13)="",10^12,OFFSET(PLE!$G$15,$M28-$A$15,BV$13)))</f>
        <v>1000000000000</v>
      </c>
      <c r="BW28" s="171" cm="1">
        <f t="array" aca="1" ref="BW28" ca="1">IF(OR($D28&lt;&gt;"Serviço",AND(AUTOEVENTO="Manual",$M28=$A$15),$M28&gt;(ROW(PLE.lastrow)-ROW(PLE.firstrow))),0,
           IF(OFFSET(PLE!$G$15,$M28-$A$15,BW$13)="",10^12,OFFSET(PLE!$G$15,$M28-$A$15,BW$13)))</f>
        <v>1000000000000</v>
      </c>
      <c r="BX28" s="171" cm="1">
        <f t="array" aca="1" ref="BX28" ca="1">IF(OR($D28&lt;&gt;"Serviço",AND(AUTOEVENTO="Manual",$M28=$A$15),$M28&gt;(ROW(PLE.lastrow)-ROW(PLE.firstrow))),0,
           IF(OFFSET(PLE!$G$15,$M28-$A$15,BX$13)="",10^12,OFFSET(PLE!$G$15,$M28-$A$15,BX$13)))</f>
        <v>1000000000000</v>
      </c>
      <c r="BY28" s="171" cm="1">
        <f t="array" aca="1" ref="BY28" ca="1">IF(OR($D28&lt;&gt;"Serviço",AND(AUTOEVENTO="Manual",$M28=$A$15),$M28&gt;(ROW(PLE.lastrow)-ROW(PLE.firstrow))),0,
           IF(OFFSET(PLE!$G$15,$M28-$A$15,BY$13)="",10^12,OFFSET(PLE!$G$15,$M28-$A$15,BY$13)))</f>
        <v>1000000000000</v>
      </c>
      <c r="BZ28" s="171" cm="1">
        <f t="array" aca="1" ref="BZ28" ca="1">IF(OR($D28&lt;&gt;"Serviço",AND(AUTOEVENTO="Manual",$M28=$A$15),$M28&gt;(ROW(PLE.lastrow)-ROW(PLE.firstrow))),0,
           IF(OFFSET(PLE!$G$15,$M28-$A$15,BZ$13)="",10^12,OFFSET(PLE!$G$15,$M28-$A$15,BZ$13)))</f>
        <v>1000000000000</v>
      </c>
      <c r="CA28" s="171" cm="1">
        <f t="array" aca="1" ref="CA28" ca="1">IF(OR($D28&lt;&gt;"Serviço",AND(AUTOEVENTO="Manual",$M28=$A$15),$M28&gt;(ROW(PLE.lastrow)-ROW(PLE.firstrow))),0,
           IF(OFFSET(PLE!$G$15,$M28-$A$15,CA$13)="",10^12,OFFSET(PLE!$G$15,$M28-$A$15,CA$13)))</f>
        <v>1000000000000</v>
      </c>
      <c r="CB28" s="171" cm="1">
        <f t="array" aca="1" ref="CB28" ca="1">IF(OR($D28&lt;&gt;"Serviço",AND(AUTOEVENTO="Manual",$M28=$A$15),$M28&gt;(ROW(PLE.lastrow)-ROW(PLE.firstrow))),0,
           IF(OFFSET(PLE!$G$15,$M28-$A$15,CB$13)="",10^12,OFFSET(PLE!$G$15,$M28-$A$15,CB$13)))</f>
        <v>1000000000000</v>
      </c>
      <c r="CC28" s="171" cm="1">
        <f t="array" aca="1" ref="CC28" ca="1">IF(OR($D28&lt;&gt;"Serviço",AND(AUTOEVENTO="Manual",$M28=$A$15),$M28&gt;(ROW(PLE.lastrow)-ROW(PLE.firstrow))),0,
           IF(OFFSET(PLE!$G$15,$M28-$A$15,CC$13)="",10^12,OFFSET(PLE!$G$15,$M28-$A$15,CC$13)))</f>
        <v>1000000000000</v>
      </c>
      <c r="CD28" s="171" cm="1">
        <f t="array" aca="1" ref="CD28" ca="1">IF(OR($D28&lt;&gt;"Serviço",AND(AUTOEVENTO="Manual",$M28=$A$15),$M28&gt;(ROW(PLE.lastrow)-ROW(PLE.firstrow))),0,
           IF(OFFSET(PLE!$G$15,$M28-$A$15,CD$13)="",10^12,OFFSET(PLE!$G$15,$M28-$A$15,CD$13)))</f>
        <v>1000000000000</v>
      </c>
      <c r="CE28" s="171" cm="1">
        <f t="array" aca="1" ref="CE28" ca="1">IF(OR($D28&lt;&gt;"Serviço",AND(AUTOEVENTO="Manual",$M28=$A$15),$M28&gt;(ROW(PLE.lastrow)-ROW(PLE.firstrow))),0,
           IF(OFFSET(PLE!$G$15,$M28-$A$15,CE$13)="",10^12,OFFSET(PLE!$G$15,$M28-$A$15,CE$13)))</f>
        <v>1000000000000</v>
      </c>
      <c r="CF28" s="171" cm="1">
        <f t="array" aca="1" ref="CF28" ca="1">IF(OR($D28&lt;&gt;"Serviço",AND(AUTOEVENTO="Manual",$M28=$A$15),$M28&gt;(ROW(PLE.lastrow)-ROW(PLE.firstrow))),0,
           IF(OFFSET(PLE!$G$15,$M28-$A$15,CF$13)="",10^12,OFFSET(PLE!$G$15,$M28-$A$15,CF$13)))</f>
        <v>1000000000000</v>
      </c>
      <c r="CG28" s="171" cm="1">
        <f t="array" aca="1" ref="CG28" ca="1">IF(OR($D28&lt;&gt;"Serviço",AND(AUTOEVENTO="Manual",$M28=$A$15),$M28&gt;(ROW(PLE.lastrow)-ROW(PLE.firstrow))),0,
           IF(OFFSET(PLE!$G$15,$M28-$A$15,CG$13)="",10^12,OFFSET(PLE!$G$15,$M28-$A$15,CG$13)))</f>
        <v>1000000000000</v>
      </c>
      <c r="CH28" s="171" cm="1">
        <f t="array" aca="1" ref="CH28" ca="1">IF(OR($D28&lt;&gt;"Serviço",AND(AUTOEVENTO="Manual",$M28=$A$15),$M28&gt;(ROW(PLE.lastrow)-ROW(PLE.firstrow))),0,
           IF(OFFSET(PLE!$G$15,$M28-$A$15,CH$13)="",10^12,OFFSET(PLE!$G$15,$M28-$A$15,CH$13)))</f>
        <v>1000000000000</v>
      </c>
      <c r="CI28" s="171" cm="1">
        <f t="array" aca="1" ref="CI28" ca="1">IF(OR($D28&lt;&gt;"Serviço",AND(AUTOEVENTO="Manual",$M28=$A$15),$M28&gt;(ROW(PLE.lastrow)-ROW(PLE.firstrow))),0,
           IF(OFFSET(PLE!$G$15,$M28-$A$15,CI$13)="",10^12,OFFSET(PLE!$G$15,$M28-$A$15,CI$13)))</f>
        <v>1000000000000</v>
      </c>
      <c r="CJ28" s="171" cm="1">
        <f t="array" aca="1" ref="CJ28" ca="1">IF(OR($D28&lt;&gt;"Serviço",AND(AUTOEVENTO="Manual",$M28=$A$15),$M28&gt;(ROW(PLE.lastrow)-ROW(PLE.firstrow))),0,
           IF(OFFSET(PLE!$G$15,$M28-$A$15,CJ$13)="",10^12,OFFSET(PLE!$G$15,$M28-$A$15,CJ$13)))</f>
        <v>1000000000000</v>
      </c>
      <c r="CK28" s="171" cm="1">
        <f t="array" aca="1" ref="CK28" ca="1">IF(OR($D28&lt;&gt;"Serviço",AND(AUTOEVENTO="Manual",$M28=$A$15),$M28&gt;(ROW(PLE.lastrow)-ROW(PLE.firstrow))),0,
           IF(OFFSET(PLE!$G$15,$M28-$A$15,CK$13)="",10^12,OFFSET(PLE!$G$15,$M28-$A$15,CK$13)))</f>
        <v>1000000000000</v>
      </c>
      <c r="CL28" s="171" cm="1">
        <f t="array" aca="1" ref="CL28" ca="1">IF(OR($D28&lt;&gt;"Serviço",AND(AUTOEVENTO="Manual",$M28=$A$15),$M28&gt;(ROW(PLE.lastrow)-ROW(PLE.firstrow))),0,
           IF(OFFSET(PLE!$G$15,$M28-$A$15,CL$13)="",10^12,OFFSET(PLE!$G$15,$M28-$A$15,CL$13)))</f>
        <v>1000000000000</v>
      </c>
      <c r="CM28" s="171" cm="1">
        <f t="array" aca="1" ref="CM28" ca="1">IF(OR($D28&lt;&gt;"Serviço",AND(AUTOEVENTO="Manual",$M28=$A$15),$M28&gt;(ROW(PLE.lastrow)-ROW(PLE.firstrow))),0,
           IF(OFFSET(PLE!$G$15,$M28-$A$15,CM$13)="",10^12,OFFSET(PLE!$G$15,$M28-$A$15,CM$13)))</f>
        <v>1000000000000</v>
      </c>
    </row>
    <row r="29" spans="1:91" ht="38.25" x14ac:dyDescent="0.2">
      <c r="A29" s="7" t="str">
        <f t="shared" ca="1" si="10"/>
        <v>11</v>
      </c>
      <c r="B29" s="7" t="str">
        <f ca="1">OFFSET(ORÇAMENTO!C$15,$L29,0)</f>
        <v>S</v>
      </c>
      <c r="C29" s="7" t="str">
        <f ca="1">OFFSET(ORÇAMENTO!L$15,$L29,0)</f>
        <v>F</v>
      </c>
      <c r="D29" s="115" t="str">
        <f ca="1">OFFSET(ORÇAMENTO!N$15,$L29,0)</f>
        <v>Serviço</v>
      </c>
      <c r="E29" s="116" t="str">
        <f ca="1">OFFSET(ORÇAMENTO!O$15,$L29,0)</f>
        <v>1.3.3.</v>
      </c>
      <c r="F29" s="162" t="str">
        <f ca="1">OFFSET(ORÇAMENTO!R$15,$L29,0)</f>
        <v>REPERFILAMENTO - EXECUÇÃO DE PAVIMENTO COM APLICAÇÃO DE CONCRETO ASFÁLTICO, CAMADA DE BINDER - EXCLUSIVE CARGA E TRANSPORTE. AF_10/2025</v>
      </c>
      <c r="G29" s="163" t="str">
        <f ca="1">IF($D29&lt;&gt;"Serviço","",OFFSET(ORÇAMENTO!S$15,$L29,0))</f>
        <v>M3</v>
      </c>
      <c r="H29" s="121" cm="1">
        <f t="array" aca="1" ref="H29" ca="1">IF($D29&lt;&gt;"Serviço",0,IF(ACOMPANHAMENTO="BM",ROUND(OFFSET(ORÇAMENTO!AJ$15,$L29,0),15-13*ORÇAMENTO!$AF$7),IF(IFERROR(CÁLCULO.FrentesPreenchidas,0)=0,0,SUM(ROUND(OFFSET($P29,0,1,1,CÁLCULO.FrentesPreenchidas),15-13*ORÇAMENTO!$AF$7)))))</f>
        <v>355.54</v>
      </c>
      <c r="I29" s="467"/>
      <c r="J29" s="650" t="str" cm="1">
        <f t="array" aca="1" ref="J29" ca="1">IF(OR(B29&lt;&gt;"S",CÁLCULO.FrentesPreenchidas=0),"",IF(AND(ACOMPANHAMENTO="PLE",AUTOEVENTO="Manual",OR(H29&gt;0,ORÇAMENTO!AC29="QUANT."),OR(K29="",M29=0,N29="")),"►E",IF(AND(ACOMPANHAMENTO="PLE",ORÇAMENTO!AC29="QUANT."),"►Q",IF(AND(ACOMPANHAMENTO="PLE",H29&lt;&gt;SUMPRODUCT(($Q$1:$AI$1=1)*ROUND(Q29:AI29,15))),"►S",IF(AND(COUNTIF($P$11:$AI$11,"▼")=0,H29&gt;0,I29=""),"◄M","")))))</f>
        <v>◄M</v>
      </c>
      <c r="K29" s="651"/>
      <c r="L29" s="164">
        <f t="shared" ca="1" si="11"/>
        <v>14</v>
      </c>
      <c r="M29" s="165">
        <f ca="1">IF($D29&lt;&gt;"Serviço","",
          IF(AUTOEVENTO="manual",$A29,
                IF(ISERROR(MATCH($A29,$A$15:OFFSET($A29,-1,0),0)),MAX($M$15:OFFSET(M29,-1,0))+1,
                      INDEX($M$15:OFFSET(M29,-1,0),MATCH($A29,$A$15:OFFSET($A29,-1,0),0)))))</f>
        <v>3</v>
      </c>
      <c r="N29" s="166" t="str">
        <f ca="1">IF($D29&lt;&gt;"Serviço","",
         IF(AUTOEVENTO="Manual",
                IF($A29=0,"&lt;-- defina o número do agrupador",
                       OFFSET(EVENTOS!$D$15,$A29-$A$15,0)),
                OFFSET($F$15,$A29,0)))</f>
        <v>Revestimento</v>
      </c>
      <c r="O29" s="167"/>
      <c r="Q29" s="167">
        <v>5.34</v>
      </c>
      <c r="R29" s="168">
        <v>34</v>
      </c>
      <c r="S29" s="168">
        <v>15.07</v>
      </c>
      <c r="T29" s="168">
        <v>7.78</v>
      </c>
      <c r="U29" s="168">
        <v>8.99</v>
      </c>
      <c r="V29" s="168">
        <v>11.77</v>
      </c>
      <c r="W29" s="168">
        <v>39.700000000000003</v>
      </c>
      <c r="X29" s="168">
        <v>55.43</v>
      </c>
      <c r="Y29" s="168">
        <v>18.600000000000001</v>
      </c>
      <c r="Z29" s="169">
        <v>3.75</v>
      </c>
      <c r="AA29" s="168">
        <v>26.7</v>
      </c>
      <c r="AB29" s="168">
        <v>107.97</v>
      </c>
      <c r="AC29" s="168">
        <v>20.440000000000001</v>
      </c>
      <c r="AD29" s="168"/>
      <c r="AE29" s="168"/>
      <c r="AF29" s="168"/>
      <c r="AG29" s="168"/>
      <c r="AH29" s="169"/>
      <c r="AJ29" s="452">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8459.25</v>
      </c>
      <c r="AK29" s="452">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53860.42</v>
      </c>
      <c r="AL29" s="452">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23872.84</v>
      </c>
      <c r="AM29" s="452">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12324.53</v>
      </c>
      <c r="AN29" s="452">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14241.33</v>
      </c>
      <c r="AO29" s="452">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18645.21</v>
      </c>
      <c r="AP29" s="452">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62889.96</v>
      </c>
      <c r="AQ29" s="452">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87808.33</v>
      </c>
      <c r="AR29" s="452">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29464.82</v>
      </c>
      <c r="AS29" s="452">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5940.49</v>
      </c>
      <c r="AT29" s="452">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42296.27</v>
      </c>
      <c r="AU29" s="452">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171038.52</v>
      </c>
      <c r="AV29" s="452">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32379.62</v>
      </c>
      <c r="AW29" s="452">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2">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2">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2">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2">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0">
        <f ca="1">IF(OR($D29&lt;&gt;"Serviço",AND(AUTOEVENTO="Manual",$M29=$A$15)),0,
         IF(OFFSET(CRONOPLE!$F$15,$M29-$A$15,BC$13)=0,10^12,OFFSET(CRONOPLE!$F$15,$M29-$A$15,BC$13)))</f>
        <v>1</v>
      </c>
      <c r="BD29" s="170">
        <f ca="1">IF(OR($D29&lt;&gt;"Serviço",AND(AUTOEVENTO="Manual",$M29=$A$15)),0,
         IF(OFFSET(CRONOPLE!$F$15,$M29-$A$15,BD$13)=0,10^12,OFFSET(CRONOPLE!$F$15,$M29-$A$15,BD$13)))</f>
        <v>1</v>
      </c>
      <c r="BE29" s="170">
        <f ca="1">IF(OR($D29&lt;&gt;"Serviço",AND(AUTOEVENTO="Manual",$M29=$A$15)),0,
         IF(OFFSET(CRONOPLE!$F$15,$M29-$A$15,BE$13)=0,10^12,OFFSET(CRONOPLE!$F$15,$M29-$A$15,BE$13)))</f>
        <v>1</v>
      </c>
      <c r="BF29" s="170">
        <f ca="1">IF(OR($D29&lt;&gt;"Serviço",AND(AUTOEVENTO="Manual",$M29=$A$15)),0,
         IF(OFFSET(CRONOPLE!$F$15,$M29-$A$15,BF$13)=0,10^12,OFFSET(CRONOPLE!$F$15,$M29-$A$15,BF$13)))</f>
        <v>2</v>
      </c>
      <c r="BG29" s="170">
        <f ca="1">IF(OR($D29&lt;&gt;"Serviço",AND(AUTOEVENTO="Manual",$M29=$A$15)),0,
         IF(OFFSET(CRONOPLE!$F$15,$M29-$A$15,BG$13)=0,10^12,OFFSET(CRONOPLE!$F$15,$M29-$A$15,BG$13)))</f>
        <v>2</v>
      </c>
      <c r="BH29" s="170">
        <f ca="1">IF(OR($D29&lt;&gt;"Serviço",AND(AUTOEVENTO="Manual",$M29=$A$15)),0,
         IF(OFFSET(CRONOPLE!$F$15,$M29-$A$15,BH$13)=0,10^12,OFFSET(CRONOPLE!$F$15,$M29-$A$15,BH$13)))</f>
        <v>2</v>
      </c>
      <c r="BI29" s="170">
        <f ca="1">IF(OR($D29&lt;&gt;"Serviço",AND(AUTOEVENTO="Manual",$M29=$A$15)),0,
         IF(OFFSET(CRONOPLE!$F$15,$M29-$A$15,BI$13)=0,10^12,OFFSET(CRONOPLE!$F$15,$M29-$A$15,BI$13)))</f>
        <v>2</v>
      </c>
      <c r="BJ29" s="170">
        <f ca="1">IF(OR($D29&lt;&gt;"Serviço",AND(AUTOEVENTO="Manual",$M29=$A$15)),0,
         IF(OFFSET(CRONOPLE!$F$15,$M29-$A$15,BJ$13)=0,10^12,OFFSET(CRONOPLE!$F$15,$M29-$A$15,BJ$13)))</f>
        <v>3</v>
      </c>
      <c r="BK29" s="170">
        <f ca="1">IF(OR($D29&lt;&gt;"Serviço",AND(AUTOEVENTO="Manual",$M29=$A$15)),0,
         IF(OFFSET(CRONOPLE!$F$15,$M29-$A$15,BK$13)=0,10^12,OFFSET(CRONOPLE!$F$15,$M29-$A$15,BK$13)))</f>
        <v>3</v>
      </c>
      <c r="BL29" s="170">
        <f ca="1">IF(OR($D29&lt;&gt;"Serviço",AND(AUTOEVENTO="Manual",$M29=$A$15)),0,
         IF(OFFSET(CRONOPLE!$F$15,$M29-$A$15,BL$13)=0,10^12,OFFSET(CRONOPLE!$F$15,$M29-$A$15,BL$13)))</f>
        <v>3</v>
      </c>
      <c r="BM29" s="170">
        <f ca="1">IF(OR($D29&lt;&gt;"Serviço",AND(AUTOEVENTO="Manual",$M29=$A$15)),0,
         IF(OFFSET(CRONOPLE!$F$15,$M29-$A$15,BM$13)=0,10^12,OFFSET(CRONOPLE!$F$15,$M29-$A$15,BM$13)))</f>
        <v>4</v>
      </c>
      <c r="BN29" s="170">
        <f ca="1">IF(OR($D29&lt;&gt;"Serviço",AND(AUTOEVENTO="Manual",$M29=$A$15)),0,
         IF(OFFSET(CRONOPLE!$F$15,$M29-$A$15,BN$13)=0,10^12,OFFSET(CRONOPLE!$F$15,$M29-$A$15,BN$13)))</f>
        <v>5</v>
      </c>
      <c r="BO29" s="170">
        <f ca="1">IF(OR($D29&lt;&gt;"Serviço",AND(AUTOEVENTO="Manual",$M29=$A$15)),0,
         IF(OFFSET(CRONOPLE!$F$15,$M29-$A$15,BO$13)=0,10^12,OFFSET(CRONOPLE!$F$15,$M29-$A$15,BO$13)))</f>
        <v>5</v>
      </c>
      <c r="BP29" s="170">
        <f ca="1">IF(OR($D29&lt;&gt;"Serviço",AND(AUTOEVENTO="Manual",$M29=$A$15)),0,
         IF(OFFSET(CRONOPLE!$F$15,$M29-$A$15,BP$13)=0,10^12,OFFSET(CRONOPLE!$F$15,$M29-$A$15,BP$13)))</f>
        <v>1000000000000</v>
      </c>
      <c r="BQ29" s="170">
        <f ca="1">IF(OR($D29&lt;&gt;"Serviço",AND(AUTOEVENTO="Manual",$M29=$A$15)),0,
         IF(OFFSET(CRONOPLE!$F$15,$M29-$A$15,BQ$13)=0,10^12,OFFSET(CRONOPLE!$F$15,$M29-$A$15,BQ$13)))</f>
        <v>1000000000000</v>
      </c>
      <c r="BR29" s="170">
        <f ca="1">IF(OR($D29&lt;&gt;"Serviço",AND(AUTOEVENTO="Manual",$M29=$A$15)),0,
         IF(OFFSET(CRONOPLE!$F$15,$M29-$A$15,BR$13)=0,10^12,OFFSET(CRONOPLE!$F$15,$M29-$A$15,BR$13)))</f>
        <v>1000000000000</v>
      </c>
      <c r="BS29" s="170">
        <f ca="1">IF(OR($D29&lt;&gt;"Serviço",AND(AUTOEVENTO="Manual",$M29=$A$15)),0,
         IF(OFFSET(CRONOPLE!$F$15,$M29-$A$15,BS$13)=0,10^12,OFFSET(CRONOPLE!$F$15,$M29-$A$15,BS$13)))</f>
        <v>1000000000000</v>
      </c>
      <c r="BT29" s="170">
        <f ca="1">IF(OR($D29&lt;&gt;"Serviço",AND(AUTOEVENTO="Manual",$M29=$A$15)),0,
         IF(OFFSET(CRONOPLE!$F$15,$M29-$A$15,BT$13)=0,10^12,OFFSET(CRONOPLE!$F$15,$M29-$A$15,BT$13)))</f>
        <v>1000000000000</v>
      </c>
      <c r="BV29" s="171" cm="1">
        <f t="array" aca="1" ref="BV29" ca="1">IF(OR($D29&lt;&gt;"Serviço",AND(AUTOEVENTO="Manual",$M29=$A$15),$M29&gt;(ROW(PLE.lastrow)-ROW(PLE.firstrow))),0,
           IF(OFFSET(PLE!$G$15,$M29-$A$15,BV$13)="",10^12,OFFSET(PLE!$G$15,$M29-$A$15,BV$13)))</f>
        <v>1000000000000</v>
      </c>
      <c r="BW29" s="171" cm="1">
        <f t="array" aca="1" ref="BW29" ca="1">IF(OR($D29&lt;&gt;"Serviço",AND(AUTOEVENTO="Manual",$M29=$A$15),$M29&gt;(ROW(PLE.lastrow)-ROW(PLE.firstrow))),0,
           IF(OFFSET(PLE!$G$15,$M29-$A$15,BW$13)="",10^12,OFFSET(PLE!$G$15,$M29-$A$15,BW$13)))</f>
        <v>1000000000000</v>
      </c>
      <c r="BX29" s="171" cm="1">
        <f t="array" aca="1" ref="BX29" ca="1">IF(OR($D29&lt;&gt;"Serviço",AND(AUTOEVENTO="Manual",$M29=$A$15),$M29&gt;(ROW(PLE.lastrow)-ROW(PLE.firstrow))),0,
           IF(OFFSET(PLE!$G$15,$M29-$A$15,BX$13)="",10^12,OFFSET(PLE!$G$15,$M29-$A$15,BX$13)))</f>
        <v>1000000000000</v>
      </c>
      <c r="BY29" s="171" cm="1">
        <f t="array" aca="1" ref="BY29" ca="1">IF(OR($D29&lt;&gt;"Serviço",AND(AUTOEVENTO="Manual",$M29=$A$15),$M29&gt;(ROW(PLE.lastrow)-ROW(PLE.firstrow))),0,
           IF(OFFSET(PLE!$G$15,$M29-$A$15,BY$13)="",10^12,OFFSET(PLE!$G$15,$M29-$A$15,BY$13)))</f>
        <v>1000000000000</v>
      </c>
      <c r="BZ29" s="171" cm="1">
        <f t="array" aca="1" ref="BZ29" ca="1">IF(OR($D29&lt;&gt;"Serviço",AND(AUTOEVENTO="Manual",$M29=$A$15),$M29&gt;(ROW(PLE.lastrow)-ROW(PLE.firstrow))),0,
           IF(OFFSET(PLE!$G$15,$M29-$A$15,BZ$13)="",10^12,OFFSET(PLE!$G$15,$M29-$A$15,BZ$13)))</f>
        <v>1000000000000</v>
      </c>
      <c r="CA29" s="171" cm="1">
        <f t="array" aca="1" ref="CA29" ca="1">IF(OR($D29&lt;&gt;"Serviço",AND(AUTOEVENTO="Manual",$M29=$A$15),$M29&gt;(ROW(PLE.lastrow)-ROW(PLE.firstrow))),0,
           IF(OFFSET(PLE!$G$15,$M29-$A$15,CA$13)="",10^12,OFFSET(PLE!$G$15,$M29-$A$15,CA$13)))</f>
        <v>1000000000000</v>
      </c>
      <c r="CB29" s="171" cm="1">
        <f t="array" aca="1" ref="CB29" ca="1">IF(OR($D29&lt;&gt;"Serviço",AND(AUTOEVENTO="Manual",$M29=$A$15),$M29&gt;(ROW(PLE.lastrow)-ROW(PLE.firstrow))),0,
           IF(OFFSET(PLE!$G$15,$M29-$A$15,CB$13)="",10^12,OFFSET(PLE!$G$15,$M29-$A$15,CB$13)))</f>
        <v>1000000000000</v>
      </c>
      <c r="CC29" s="171" cm="1">
        <f t="array" aca="1" ref="CC29" ca="1">IF(OR($D29&lt;&gt;"Serviço",AND(AUTOEVENTO="Manual",$M29=$A$15),$M29&gt;(ROW(PLE.lastrow)-ROW(PLE.firstrow))),0,
           IF(OFFSET(PLE!$G$15,$M29-$A$15,CC$13)="",10^12,OFFSET(PLE!$G$15,$M29-$A$15,CC$13)))</f>
        <v>1000000000000</v>
      </c>
      <c r="CD29" s="171" cm="1">
        <f t="array" aca="1" ref="CD29" ca="1">IF(OR($D29&lt;&gt;"Serviço",AND(AUTOEVENTO="Manual",$M29=$A$15),$M29&gt;(ROW(PLE.lastrow)-ROW(PLE.firstrow))),0,
           IF(OFFSET(PLE!$G$15,$M29-$A$15,CD$13)="",10^12,OFFSET(PLE!$G$15,$M29-$A$15,CD$13)))</f>
        <v>1000000000000</v>
      </c>
      <c r="CE29" s="171" cm="1">
        <f t="array" aca="1" ref="CE29" ca="1">IF(OR($D29&lt;&gt;"Serviço",AND(AUTOEVENTO="Manual",$M29=$A$15),$M29&gt;(ROW(PLE.lastrow)-ROW(PLE.firstrow))),0,
           IF(OFFSET(PLE!$G$15,$M29-$A$15,CE$13)="",10^12,OFFSET(PLE!$G$15,$M29-$A$15,CE$13)))</f>
        <v>1000000000000</v>
      </c>
      <c r="CF29" s="171" cm="1">
        <f t="array" aca="1" ref="CF29" ca="1">IF(OR($D29&lt;&gt;"Serviço",AND(AUTOEVENTO="Manual",$M29=$A$15),$M29&gt;(ROW(PLE.lastrow)-ROW(PLE.firstrow))),0,
           IF(OFFSET(PLE!$G$15,$M29-$A$15,CF$13)="",10^12,OFFSET(PLE!$G$15,$M29-$A$15,CF$13)))</f>
        <v>1000000000000</v>
      </c>
      <c r="CG29" s="171" cm="1">
        <f t="array" aca="1" ref="CG29" ca="1">IF(OR($D29&lt;&gt;"Serviço",AND(AUTOEVENTO="Manual",$M29=$A$15),$M29&gt;(ROW(PLE.lastrow)-ROW(PLE.firstrow))),0,
           IF(OFFSET(PLE!$G$15,$M29-$A$15,CG$13)="",10^12,OFFSET(PLE!$G$15,$M29-$A$15,CG$13)))</f>
        <v>1000000000000</v>
      </c>
      <c r="CH29" s="171" cm="1">
        <f t="array" aca="1" ref="CH29" ca="1">IF(OR($D29&lt;&gt;"Serviço",AND(AUTOEVENTO="Manual",$M29=$A$15),$M29&gt;(ROW(PLE.lastrow)-ROW(PLE.firstrow))),0,
           IF(OFFSET(PLE!$G$15,$M29-$A$15,CH$13)="",10^12,OFFSET(PLE!$G$15,$M29-$A$15,CH$13)))</f>
        <v>1000000000000</v>
      </c>
      <c r="CI29" s="171" cm="1">
        <f t="array" aca="1" ref="CI29" ca="1">IF(OR($D29&lt;&gt;"Serviço",AND(AUTOEVENTO="Manual",$M29=$A$15),$M29&gt;(ROW(PLE.lastrow)-ROW(PLE.firstrow))),0,
           IF(OFFSET(PLE!$G$15,$M29-$A$15,CI$13)="",10^12,OFFSET(PLE!$G$15,$M29-$A$15,CI$13)))</f>
        <v>1000000000000</v>
      </c>
      <c r="CJ29" s="171" cm="1">
        <f t="array" aca="1" ref="CJ29" ca="1">IF(OR($D29&lt;&gt;"Serviço",AND(AUTOEVENTO="Manual",$M29=$A$15),$M29&gt;(ROW(PLE.lastrow)-ROW(PLE.firstrow))),0,
           IF(OFFSET(PLE!$G$15,$M29-$A$15,CJ$13)="",10^12,OFFSET(PLE!$G$15,$M29-$A$15,CJ$13)))</f>
        <v>1000000000000</v>
      </c>
      <c r="CK29" s="171" cm="1">
        <f t="array" aca="1" ref="CK29" ca="1">IF(OR($D29&lt;&gt;"Serviço",AND(AUTOEVENTO="Manual",$M29=$A$15),$M29&gt;(ROW(PLE.lastrow)-ROW(PLE.firstrow))),0,
           IF(OFFSET(PLE!$G$15,$M29-$A$15,CK$13)="",10^12,OFFSET(PLE!$G$15,$M29-$A$15,CK$13)))</f>
        <v>1000000000000</v>
      </c>
      <c r="CL29" s="171" cm="1">
        <f t="array" aca="1" ref="CL29" ca="1">IF(OR($D29&lt;&gt;"Serviço",AND(AUTOEVENTO="Manual",$M29=$A$15),$M29&gt;(ROW(PLE.lastrow)-ROW(PLE.firstrow))),0,
           IF(OFFSET(PLE!$G$15,$M29-$A$15,CL$13)="",10^12,OFFSET(PLE!$G$15,$M29-$A$15,CL$13)))</f>
        <v>1000000000000</v>
      </c>
      <c r="CM29" s="171" cm="1">
        <f t="array" aca="1" ref="CM29" ca="1">IF(OR($D29&lt;&gt;"Serviço",AND(AUTOEVENTO="Manual",$M29=$A$15),$M29&gt;(ROW(PLE.lastrow)-ROW(PLE.firstrow))),0,
           IF(OFFSET(PLE!$G$15,$M29-$A$15,CM$13)="",10^12,OFFSET(PLE!$G$15,$M29-$A$15,CM$13)))</f>
        <v>1000000000000</v>
      </c>
    </row>
    <row r="30" spans="1:91" ht="12.75" x14ac:dyDescent="0.2">
      <c r="A30" s="7" t="str">
        <f t="shared" ca="1" si="10"/>
        <v>11</v>
      </c>
      <c r="B30" s="7" t="str">
        <f ca="1">OFFSET(ORÇAMENTO!C$15,$L30,0)</f>
        <v>S</v>
      </c>
      <c r="C30" s="7" t="str">
        <f ca="1">OFFSET(ORÇAMENTO!L$15,$L30,0)</f>
        <v>F</v>
      </c>
      <c r="D30" s="115" t="str">
        <f ca="1">OFFSET(ORÇAMENTO!N$15,$L30,0)</f>
        <v>Serviço</v>
      </c>
      <c r="E30" s="116" t="str">
        <f ca="1">OFFSET(ORÇAMENTO!O$15,$L30,0)</f>
        <v>1.3.4.</v>
      </c>
      <c r="F30" s="162" t="str">
        <f ca="1">OFFSET(ORÇAMENTO!R$15,$L30,0)</f>
        <v>(Código não identificado nas referências)</v>
      </c>
      <c r="G30" s="163" t="str">
        <f ca="1">IF($D30&lt;&gt;"Serviço","",OFFSET(ORÇAMENTO!S$15,$L30,0))</f>
        <v>M3</v>
      </c>
      <c r="H30" s="121" cm="1">
        <f t="array" aca="1" ref="H30" ca="1">IF($D30&lt;&gt;"Serviço",0,IF(ACOMPANHAMENTO="BM",ROUND(OFFSET(ORÇAMENTO!AJ$15,$L30,0),15-13*ORÇAMENTO!$AF$7),IF(IFERROR(CÁLCULO.FrentesPreenchidas,0)=0,0,SUM(ROUND(OFFSET($P30,0,1,1,CÁLCULO.FrentesPreenchidas),15-13*ORÇAMENTO!$AF$7)))))</f>
        <v>1066.6399999999999</v>
      </c>
      <c r="I30" s="467"/>
      <c r="J30" s="650" t="str" cm="1">
        <f t="array" aca="1" ref="J30" ca="1">IF(OR(B30&lt;&gt;"S",CÁLCULO.FrentesPreenchidas=0),"",IF(AND(ACOMPANHAMENTO="PLE",AUTOEVENTO="Manual",OR(H30&gt;0,ORÇAMENTO!AC30="QUANT."),OR(K30="",M30=0,N30="")),"►E",IF(AND(ACOMPANHAMENTO="PLE",ORÇAMENTO!AC30="QUANT."),"►Q",IF(AND(ACOMPANHAMENTO="PLE",H30&lt;&gt;SUMPRODUCT(($Q$1:$AI$1=1)*ROUND(Q30:AI30,15))),"►S",IF(AND(COUNTIF($P$11:$AI$11,"▼")=0,H30&gt;0,I30=""),"◄M","")))))</f>
        <v>◄M</v>
      </c>
      <c r="K30" s="651"/>
      <c r="L30" s="164">
        <f t="shared" ca="1" si="11"/>
        <v>15</v>
      </c>
      <c r="M30" s="165">
        <f ca="1">IF($D30&lt;&gt;"Serviço","",
          IF(AUTOEVENTO="manual",$A30,
                IF(ISERROR(MATCH($A30,$A$15:OFFSET($A30,-1,0),0)),MAX($M$15:OFFSET(M30,-1,0))+1,
                      INDEX($M$15:OFFSET(M30,-1,0),MATCH($A30,$A$15:OFFSET($A30,-1,0),0)))))</f>
        <v>3</v>
      </c>
      <c r="N30" s="166" t="str">
        <f ca="1">IF($D30&lt;&gt;"Serviço","",
         IF(AUTOEVENTO="Manual",
                IF($A30=0,"&lt;-- defina o número do agrupador",
                       OFFSET(EVENTOS!$D$15,$A30-$A$15,0)),
                OFFSET($F$15,$A30,0)))</f>
        <v>Revestimento</v>
      </c>
      <c r="O30" s="167"/>
      <c r="Q30" s="167">
        <v>16.010000000000002</v>
      </c>
      <c r="R30" s="168">
        <v>101.99</v>
      </c>
      <c r="S30" s="168">
        <v>45.21</v>
      </c>
      <c r="T30" s="168">
        <v>23.33</v>
      </c>
      <c r="U30" s="168">
        <v>26.98</v>
      </c>
      <c r="V30" s="168">
        <v>35.31</v>
      </c>
      <c r="W30" s="168">
        <v>119.11</v>
      </c>
      <c r="X30" s="168">
        <v>166.3</v>
      </c>
      <c r="Y30" s="168">
        <v>55.8</v>
      </c>
      <c r="Z30" s="169">
        <v>11.26</v>
      </c>
      <c r="AA30" s="168">
        <v>80.09</v>
      </c>
      <c r="AB30" s="168">
        <v>323.92</v>
      </c>
      <c r="AC30" s="168">
        <v>61.33</v>
      </c>
      <c r="AD30" s="168"/>
      <c r="AE30" s="168"/>
      <c r="AF30" s="168"/>
      <c r="AG30" s="168"/>
      <c r="AH30" s="169"/>
      <c r="AJ30" s="452">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29487.06</v>
      </c>
      <c r="AK30" s="452">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187844.16</v>
      </c>
      <c r="AL30" s="452">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83267.33</v>
      </c>
      <c r="AM30" s="452">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42968.959999999999</v>
      </c>
      <c r="AN30" s="452">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49691.49</v>
      </c>
      <c r="AO30" s="452">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65033.599999999999</v>
      </c>
      <c r="AP30" s="452">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219375.61</v>
      </c>
      <c r="AQ30" s="452">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306289.68</v>
      </c>
      <c r="AR30" s="452">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102771.88</v>
      </c>
      <c r="AS30" s="452">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20738.560000000001</v>
      </c>
      <c r="AT30" s="452">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147508.96</v>
      </c>
      <c r="AU30" s="452">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596592.62</v>
      </c>
      <c r="AV30" s="452">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112956.98</v>
      </c>
      <c r="AW30" s="452">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2">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2">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2">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2">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0">
        <f ca="1">IF(OR($D30&lt;&gt;"Serviço",AND(AUTOEVENTO="Manual",$M30=$A$15)),0,
         IF(OFFSET(CRONOPLE!$F$15,$M30-$A$15,BC$13)=0,10^12,OFFSET(CRONOPLE!$F$15,$M30-$A$15,BC$13)))</f>
        <v>1</v>
      </c>
      <c r="BD30" s="170">
        <f ca="1">IF(OR($D30&lt;&gt;"Serviço",AND(AUTOEVENTO="Manual",$M30=$A$15)),0,
         IF(OFFSET(CRONOPLE!$F$15,$M30-$A$15,BD$13)=0,10^12,OFFSET(CRONOPLE!$F$15,$M30-$A$15,BD$13)))</f>
        <v>1</v>
      </c>
      <c r="BE30" s="170">
        <f ca="1">IF(OR($D30&lt;&gt;"Serviço",AND(AUTOEVENTO="Manual",$M30=$A$15)),0,
         IF(OFFSET(CRONOPLE!$F$15,$M30-$A$15,BE$13)=0,10^12,OFFSET(CRONOPLE!$F$15,$M30-$A$15,BE$13)))</f>
        <v>1</v>
      </c>
      <c r="BF30" s="170">
        <f ca="1">IF(OR($D30&lt;&gt;"Serviço",AND(AUTOEVENTO="Manual",$M30=$A$15)),0,
         IF(OFFSET(CRONOPLE!$F$15,$M30-$A$15,BF$13)=0,10^12,OFFSET(CRONOPLE!$F$15,$M30-$A$15,BF$13)))</f>
        <v>2</v>
      </c>
      <c r="BG30" s="170">
        <f ca="1">IF(OR($D30&lt;&gt;"Serviço",AND(AUTOEVENTO="Manual",$M30=$A$15)),0,
         IF(OFFSET(CRONOPLE!$F$15,$M30-$A$15,BG$13)=0,10^12,OFFSET(CRONOPLE!$F$15,$M30-$A$15,BG$13)))</f>
        <v>2</v>
      </c>
      <c r="BH30" s="170">
        <f ca="1">IF(OR($D30&lt;&gt;"Serviço",AND(AUTOEVENTO="Manual",$M30=$A$15)),0,
         IF(OFFSET(CRONOPLE!$F$15,$M30-$A$15,BH$13)=0,10^12,OFFSET(CRONOPLE!$F$15,$M30-$A$15,BH$13)))</f>
        <v>2</v>
      </c>
      <c r="BI30" s="170">
        <f ca="1">IF(OR($D30&lt;&gt;"Serviço",AND(AUTOEVENTO="Manual",$M30=$A$15)),0,
         IF(OFFSET(CRONOPLE!$F$15,$M30-$A$15,BI$13)=0,10^12,OFFSET(CRONOPLE!$F$15,$M30-$A$15,BI$13)))</f>
        <v>2</v>
      </c>
      <c r="BJ30" s="170">
        <f ca="1">IF(OR($D30&lt;&gt;"Serviço",AND(AUTOEVENTO="Manual",$M30=$A$15)),0,
         IF(OFFSET(CRONOPLE!$F$15,$M30-$A$15,BJ$13)=0,10^12,OFFSET(CRONOPLE!$F$15,$M30-$A$15,BJ$13)))</f>
        <v>3</v>
      </c>
      <c r="BK30" s="170">
        <f ca="1">IF(OR($D30&lt;&gt;"Serviço",AND(AUTOEVENTO="Manual",$M30=$A$15)),0,
         IF(OFFSET(CRONOPLE!$F$15,$M30-$A$15,BK$13)=0,10^12,OFFSET(CRONOPLE!$F$15,$M30-$A$15,BK$13)))</f>
        <v>3</v>
      </c>
      <c r="BL30" s="170">
        <f ca="1">IF(OR($D30&lt;&gt;"Serviço",AND(AUTOEVENTO="Manual",$M30=$A$15)),0,
         IF(OFFSET(CRONOPLE!$F$15,$M30-$A$15,BL$13)=0,10^12,OFFSET(CRONOPLE!$F$15,$M30-$A$15,BL$13)))</f>
        <v>3</v>
      </c>
      <c r="BM30" s="170">
        <f ca="1">IF(OR($D30&lt;&gt;"Serviço",AND(AUTOEVENTO="Manual",$M30=$A$15)),0,
         IF(OFFSET(CRONOPLE!$F$15,$M30-$A$15,BM$13)=0,10^12,OFFSET(CRONOPLE!$F$15,$M30-$A$15,BM$13)))</f>
        <v>4</v>
      </c>
      <c r="BN30" s="170">
        <f ca="1">IF(OR($D30&lt;&gt;"Serviço",AND(AUTOEVENTO="Manual",$M30=$A$15)),0,
         IF(OFFSET(CRONOPLE!$F$15,$M30-$A$15,BN$13)=0,10^12,OFFSET(CRONOPLE!$F$15,$M30-$A$15,BN$13)))</f>
        <v>5</v>
      </c>
      <c r="BO30" s="170">
        <f ca="1">IF(OR($D30&lt;&gt;"Serviço",AND(AUTOEVENTO="Manual",$M30=$A$15)),0,
         IF(OFFSET(CRONOPLE!$F$15,$M30-$A$15,BO$13)=0,10^12,OFFSET(CRONOPLE!$F$15,$M30-$A$15,BO$13)))</f>
        <v>5</v>
      </c>
      <c r="BP30" s="170">
        <f ca="1">IF(OR($D30&lt;&gt;"Serviço",AND(AUTOEVENTO="Manual",$M30=$A$15)),0,
         IF(OFFSET(CRONOPLE!$F$15,$M30-$A$15,BP$13)=0,10^12,OFFSET(CRONOPLE!$F$15,$M30-$A$15,BP$13)))</f>
        <v>1000000000000</v>
      </c>
      <c r="BQ30" s="170">
        <f ca="1">IF(OR($D30&lt;&gt;"Serviço",AND(AUTOEVENTO="Manual",$M30=$A$15)),0,
         IF(OFFSET(CRONOPLE!$F$15,$M30-$A$15,BQ$13)=0,10^12,OFFSET(CRONOPLE!$F$15,$M30-$A$15,BQ$13)))</f>
        <v>1000000000000</v>
      </c>
      <c r="BR30" s="170">
        <f ca="1">IF(OR($D30&lt;&gt;"Serviço",AND(AUTOEVENTO="Manual",$M30=$A$15)),0,
         IF(OFFSET(CRONOPLE!$F$15,$M30-$A$15,BR$13)=0,10^12,OFFSET(CRONOPLE!$F$15,$M30-$A$15,BR$13)))</f>
        <v>1000000000000</v>
      </c>
      <c r="BS30" s="170">
        <f ca="1">IF(OR($D30&lt;&gt;"Serviço",AND(AUTOEVENTO="Manual",$M30=$A$15)),0,
         IF(OFFSET(CRONOPLE!$F$15,$M30-$A$15,BS$13)=0,10^12,OFFSET(CRONOPLE!$F$15,$M30-$A$15,BS$13)))</f>
        <v>1000000000000</v>
      </c>
      <c r="BT30" s="170">
        <f ca="1">IF(OR($D30&lt;&gt;"Serviço",AND(AUTOEVENTO="Manual",$M30=$A$15)),0,
         IF(OFFSET(CRONOPLE!$F$15,$M30-$A$15,BT$13)=0,10^12,OFFSET(CRONOPLE!$F$15,$M30-$A$15,BT$13)))</f>
        <v>1000000000000</v>
      </c>
      <c r="BV30" s="171" cm="1">
        <f t="array" aca="1" ref="BV30" ca="1">IF(OR($D30&lt;&gt;"Serviço",AND(AUTOEVENTO="Manual",$M30=$A$15),$M30&gt;(ROW(PLE.lastrow)-ROW(PLE.firstrow))),0,
           IF(OFFSET(PLE!$G$15,$M30-$A$15,BV$13)="",10^12,OFFSET(PLE!$G$15,$M30-$A$15,BV$13)))</f>
        <v>1000000000000</v>
      </c>
      <c r="BW30" s="171" cm="1">
        <f t="array" aca="1" ref="BW30" ca="1">IF(OR($D30&lt;&gt;"Serviço",AND(AUTOEVENTO="Manual",$M30=$A$15),$M30&gt;(ROW(PLE.lastrow)-ROW(PLE.firstrow))),0,
           IF(OFFSET(PLE!$G$15,$M30-$A$15,BW$13)="",10^12,OFFSET(PLE!$G$15,$M30-$A$15,BW$13)))</f>
        <v>1000000000000</v>
      </c>
      <c r="BX30" s="171" cm="1">
        <f t="array" aca="1" ref="BX30" ca="1">IF(OR($D30&lt;&gt;"Serviço",AND(AUTOEVENTO="Manual",$M30=$A$15),$M30&gt;(ROW(PLE.lastrow)-ROW(PLE.firstrow))),0,
           IF(OFFSET(PLE!$G$15,$M30-$A$15,BX$13)="",10^12,OFFSET(PLE!$G$15,$M30-$A$15,BX$13)))</f>
        <v>1000000000000</v>
      </c>
      <c r="BY30" s="171" cm="1">
        <f t="array" aca="1" ref="BY30" ca="1">IF(OR($D30&lt;&gt;"Serviço",AND(AUTOEVENTO="Manual",$M30=$A$15),$M30&gt;(ROW(PLE.lastrow)-ROW(PLE.firstrow))),0,
           IF(OFFSET(PLE!$G$15,$M30-$A$15,BY$13)="",10^12,OFFSET(PLE!$G$15,$M30-$A$15,BY$13)))</f>
        <v>1000000000000</v>
      </c>
      <c r="BZ30" s="171" cm="1">
        <f t="array" aca="1" ref="BZ30" ca="1">IF(OR($D30&lt;&gt;"Serviço",AND(AUTOEVENTO="Manual",$M30=$A$15),$M30&gt;(ROW(PLE.lastrow)-ROW(PLE.firstrow))),0,
           IF(OFFSET(PLE!$G$15,$M30-$A$15,BZ$13)="",10^12,OFFSET(PLE!$G$15,$M30-$A$15,BZ$13)))</f>
        <v>1000000000000</v>
      </c>
      <c r="CA30" s="171" cm="1">
        <f t="array" aca="1" ref="CA30" ca="1">IF(OR($D30&lt;&gt;"Serviço",AND(AUTOEVENTO="Manual",$M30=$A$15),$M30&gt;(ROW(PLE.lastrow)-ROW(PLE.firstrow))),0,
           IF(OFFSET(PLE!$G$15,$M30-$A$15,CA$13)="",10^12,OFFSET(PLE!$G$15,$M30-$A$15,CA$13)))</f>
        <v>1000000000000</v>
      </c>
      <c r="CB30" s="171" cm="1">
        <f t="array" aca="1" ref="CB30" ca="1">IF(OR($D30&lt;&gt;"Serviço",AND(AUTOEVENTO="Manual",$M30=$A$15),$M30&gt;(ROW(PLE.lastrow)-ROW(PLE.firstrow))),0,
           IF(OFFSET(PLE!$G$15,$M30-$A$15,CB$13)="",10^12,OFFSET(PLE!$G$15,$M30-$A$15,CB$13)))</f>
        <v>1000000000000</v>
      </c>
      <c r="CC30" s="171" cm="1">
        <f t="array" aca="1" ref="CC30" ca="1">IF(OR($D30&lt;&gt;"Serviço",AND(AUTOEVENTO="Manual",$M30=$A$15),$M30&gt;(ROW(PLE.lastrow)-ROW(PLE.firstrow))),0,
           IF(OFFSET(PLE!$G$15,$M30-$A$15,CC$13)="",10^12,OFFSET(PLE!$G$15,$M30-$A$15,CC$13)))</f>
        <v>1000000000000</v>
      </c>
      <c r="CD30" s="171" cm="1">
        <f t="array" aca="1" ref="CD30" ca="1">IF(OR($D30&lt;&gt;"Serviço",AND(AUTOEVENTO="Manual",$M30=$A$15),$M30&gt;(ROW(PLE.lastrow)-ROW(PLE.firstrow))),0,
           IF(OFFSET(PLE!$G$15,$M30-$A$15,CD$13)="",10^12,OFFSET(PLE!$G$15,$M30-$A$15,CD$13)))</f>
        <v>1000000000000</v>
      </c>
      <c r="CE30" s="171" cm="1">
        <f t="array" aca="1" ref="CE30" ca="1">IF(OR($D30&lt;&gt;"Serviço",AND(AUTOEVENTO="Manual",$M30=$A$15),$M30&gt;(ROW(PLE.lastrow)-ROW(PLE.firstrow))),0,
           IF(OFFSET(PLE!$G$15,$M30-$A$15,CE$13)="",10^12,OFFSET(PLE!$G$15,$M30-$A$15,CE$13)))</f>
        <v>1000000000000</v>
      </c>
      <c r="CF30" s="171" cm="1">
        <f t="array" aca="1" ref="CF30" ca="1">IF(OR($D30&lt;&gt;"Serviço",AND(AUTOEVENTO="Manual",$M30=$A$15),$M30&gt;(ROW(PLE.lastrow)-ROW(PLE.firstrow))),0,
           IF(OFFSET(PLE!$G$15,$M30-$A$15,CF$13)="",10^12,OFFSET(PLE!$G$15,$M30-$A$15,CF$13)))</f>
        <v>1000000000000</v>
      </c>
      <c r="CG30" s="171" cm="1">
        <f t="array" aca="1" ref="CG30" ca="1">IF(OR($D30&lt;&gt;"Serviço",AND(AUTOEVENTO="Manual",$M30=$A$15),$M30&gt;(ROW(PLE.lastrow)-ROW(PLE.firstrow))),0,
           IF(OFFSET(PLE!$G$15,$M30-$A$15,CG$13)="",10^12,OFFSET(PLE!$G$15,$M30-$A$15,CG$13)))</f>
        <v>1000000000000</v>
      </c>
      <c r="CH30" s="171" cm="1">
        <f t="array" aca="1" ref="CH30" ca="1">IF(OR($D30&lt;&gt;"Serviço",AND(AUTOEVENTO="Manual",$M30=$A$15),$M30&gt;(ROW(PLE.lastrow)-ROW(PLE.firstrow))),0,
           IF(OFFSET(PLE!$G$15,$M30-$A$15,CH$13)="",10^12,OFFSET(PLE!$G$15,$M30-$A$15,CH$13)))</f>
        <v>1000000000000</v>
      </c>
      <c r="CI30" s="171" cm="1">
        <f t="array" aca="1" ref="CI30" ca="1">IF(OR($D30&lt;&gt;"Serviço",AND(AUTOEVENTO="Manual",$M30=$A$15),$M30&gt;(ROW(PLE.lastrow)-ROW(PLE.firstrow))),0,
           IF(OFFSET(PLE!$G$15,$M30-$A$15,CI$13)="",10^12,OFFSET(PLE!$G$15,$M30-$A$15,CI$13)))</f>
        <v>1000000000000</v>
      </c>
      <c r="CJ30" s="171" cm="1">
        <f t="array" aca="1" ref="CJ30" ca="1">IF(OR($D30&lt;&gt;"Serviço",AND(AUTOEVENTO="Manual",$M30=$A$15),$M30&gt;(ROW(PLE.lastrow)-ROW(PLE.firstrow))),0,
           IF(OFFSET(PLE!$G$15,$M30-$A$15,CJ$13)="",10^12,OFFSET(PLE!$G$15,$M30-$A$15,CJ$13)))</f>
        <v>1000000000000</v>
      </c>
      <c r="CK30" s="171" cm="1">
        <f t="array" aca="1" ref="CK30" ca="1">IF(OR($D30&lt;&gt;"Serviço",AND(AUTOEVENTO="Manual",$M30=$A$15),$M30&gt;(ROW(PLE.lastrow)-ROW(PLE.firstrow))),0,
           IF(OFFSET(PLE!$G$15,$M30-$A$15,CK$13)="",10^12,OFFSET(PLE!$G$15,$M30-$A$15,CK$13)))</f>
        <v>1000000000000</v>
      </c>
      <c r="CL30" s="171" cm="1">
        <f t="array" aca="1" ref="CL30" ca="1">IF(OR($D30&lt;&gt;"Serviço",AND(AUTOEVENTO="Manual",$M30=$A$15),$M30&gt;(ROW(PLE.lastrow)-ROW(PLE.firstrow))),0,
           IF(OFFSET(PLE!$G$15,$M30-$A$15,CL$13)="",10^12,OFFSET(PLE!$G$15,$M30-$A$15,CL$13)))</f>
        <v>1000000000000</v>
      </c>
      <c r="CM30" s="171" cm="1">
        <f t="array" aca="1" ref="CM30" ca="1">IF(OR($D30&lt;&gt;"Serviço",AND(AUTOEVENTO="Manual",$M30=$A$15),$M30&gt;(ROW(PLE.lastrow)-ROW(PLE.firstrow))),0,
           IF(OFFSET(PLE!$G$15,$M30-$A$15,CM$13)="",10^12,OFFSET(PLE!$G$15,$M30-$A$15,CM$13)))</f>
        <v>1000000000000</v>
      </c>
    </row>
    <row r="31" spans="1:91" ht="12.75" x14ac:dyDescent="0.2">
      <c r="A31" s="7" t="str">
        <f ca="1">IFERROR(IF(AUTOEVENTO="Manual",IF(K31&lt;&gt;"",MIN(VALUE(LEFT(K31,FIND(".",K31)-1)),COUNTA(EVENTOS.Lista)),0),IF(OR($B31&gt;AUTOEVENTO,$B31="S",$B31=0),SUBSTITUTE(OFFSET($A31,-1,0),IF($D31="Serviço",".",""),""),$L31&amp;".")),0)</f>
        <v>11</v>
      </c>
      <c r="B31" s="7" t="str">
        <f ca="1">OFFSET(ORÇAMENTO!C$15,$L31,0)</f>
        <v>S</v>
      </c>
      <c r="C31" s="7" t="str">
        <f ca="1">OFFSET(ORÇAMENTO!L$15,$L31,0)</f>
        <v>F</v>
      </c>
      <c r="D31" s="115" t="str">
        <f ca="1">OFFSET(ORÇAMENTO!N$15,$L31,0)</f>
        <v>Serviço</v>
      </c>
      <c r="E31" s="116" t="str">
        <f ca="1">OFFSET(ORÇAMENTO!O$15,$L31,0)</f>
        <v>1.3.5.</v>
      </c>
      <c r="F31" s="162" t="str">
        <f ca="1">OFFSET(ORÇAMENTO!R$15,$L31,0)</f>
        <v>(Código não identificado nas referências)</v>
      </c>
      <c r="G31" s="163" t="str">
        <f ca="1">IF($D31&lt;&gt;"Serviço","",OFFSET(ORÇAMENTO!S$15,$L31,0))</f>
        <v>-</v>
      </c>
      <c r="H31" s="121" cm="1">
        <f t="array" aca="1" ref="H31" ca="1">IF($D31&lt;&gt;"Serviço",0,IF(ACOMPANHAMENTO="BM",ROUND(OFFSET(ORÇAMENTO!AJ$15,$L31,0),15-13*ORÇAMENTO!$AF$7),IF(IFERROR(CÁLCULO.FrentesPreenchidas,0)=0,0,SUM(ROUND(OFFSET($P31,0,1,1,CÁLCULO.FrentesPreenchidas),15-13*ORÇAMENTO!$AF$7)))))</f>
        <v>7110.84</v>
      </c>
      <c r="I31" s="467"/>
      <c r="J31" s="650" t="str" cm="1">
        <f t="array" aca="1" ref="J31" ca="1">IF(OR(B31&lt;&gt;"S",CÁLCULO.FrentesPreenchidas=0),"",IF(AND(ACOMPANHAMENTO="PLE",AUTOEVENTO="Manual",OR(H31&gt;0,ORÇAMENTO!AC31="QUANT."),OR(K31="",M31=0,N31="")),"►E",IF(AND(ACOMPANHAMENTO="PLE",ORÇAMENTO!AC31="QUANT."),"►Q",IF(AND(ACOMPANHAMENTO="PLE",H31&lt;&gt;SUMPRODUCT(($Q$1:$AI$1=1)*ROUND(Q31:AI31,15))),"►S",IF(AND(COUNTIF($P$11:$AI$11,"▼")=0,H31&gt;0,I31=""),"◄M","")))))</f>
        <v>◄M</v>
      </c>
      <c r="K31" s="651"/>
      <c r="L31" s="164">
        <f ca="1">OFFSET(L31,-1,0)+1</f>
        <v>16</v>
      </c>
      <c r="M31" s="165">
        <f ca="1">IF($D31&lt;&gt;"Serviço","",
          IF(AUTOEVENTO="manual",$A31,
                IF(ISERROR(MATCH($A31,$A$15:OFFSET($A31,-1,0),0)),MAX($M$15:OFFSET(M31,-1,0))+1,
                      INDEX($M$15:OFFSET(M31,-1,0),MATCH($A31,$A$15:OFFSET($A31,-1,0),0)))))</f>
        <v>3</v>
      </c>
      <c r="N31" s="166" t="str">
        <f ca="1">IF($D31&lt;&gt;"Serviço","",
         IF(AUTOEVENTO="Manual",
                IF($A31=0,"&lt;-- defina o número do agrupador",
                       OFFSET(EVENTOS!$D$15,$A31-$A$15,0)),
                OFFSET($F$15,$A31,0)))</f>
        <v>Revestimento</v>
      </c>
      <c r="O31" s="167"/>
      <c r="Q31" s="167">
        <v>106.74</v>
      </c>
      <c r="R31" s="168">
        <v>679.96</v>
      </c>
      <c r="S31" s="168">
        <v>301.41000000000003</v>
      </c>
      <c r="T31" s="168">
        <v>155.53</v>
      </c>
      <c r="U31" s="168">
        <v>179.85</v>
      </c>
      <c r="V31" s="168">
        <v>235.37</v>
      </c>
      <c r="W31" s="168">
        <v>794.06</v>
      </c>
      <c r="X31" s="168">
        <v>1108.67</v>
      </c>
      <c r="Y31" s="168">
        <v>371.98</v>
      </c>
      <c r="Z31" s="169">
        <v>75.069999999999993</v>
      </c>
      <c r="AA31" s="168">
        <v>533.91999999999996</v>
      </c>
      <c r="AB31" s="168">
        <v>2159.44</v>
      </c>
      <c r="AC31" s="168">
        <v>408.84</v>
      </c>
      <c r="AD31" s="168"/>
      <c r="AE31" s="168"/>
      <c r="AF31" s="168"/>
      <c r="AG31" s="168"/>
      <c r="AH31" s="169"/>
      <c r="AJ31" s="452">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280.73</v>
      </c>
      <c r="AK31" s="452">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1788.29</v>
      </c>
      <c r="AL31" s="452">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792.71</v>
      </c>
      <c r="AM31" s="452">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409.04</v>
      </c>
      <c r="AN31" s="452">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473.01</v>
      </c>
      <c r="AO31" s="452">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619.02</v>
      </c>
      <c r="AP31" s="452">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2088.38</v>
      </c>
      <c r="AQ31" s="452">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2915.8</v>
      </c>
      <c r="AR31" s="452">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978.31</v>
      </c>
      <c r="AS31" s="452">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197.43</v>
      </c>
      <c r="AT31" s="452">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1404.21</v>
      </c>
      <c r="AU31" s="452">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5679.33</v>
      </c>
      <c r="AV31" s="452">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1075.25</v>
      </c>
      <c r="AW31" s="452">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2">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2">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2">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2">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0">
        <f ca="1">IF(OR($D31&lt;&gt;"Serviço",AND(AUTOEVENTO="Manual",$M31=$A$15)),0,
         IF(OFFSET(CRONOPLE!$F$15,$M31-$A$15,BC$13)=0,10^12,OFFSET(CRONOPLE!$F$15,$M31-$A$15,BC$13)))</f>
        <v>1</v>
      </c>
      <c r="BD31" s="170">
        <f ca="1">IF(OR($D31&lt;&gt;"Serviço",AND(AUTOEVENTO="Manual",$M31=$A$15)),0,
         IF(OFFSET(CRONOPLE!$F$15,$M31-$A$15,BD$13)=0,10^12,OFFSET(CRONOPLE!$F$15,$M31-$A$15,BD$13)))</f>
        <v>1</v>
      </c>
      <c r="BE31" s="170">
        <f ca="1">IF(OR($D31&lt;&gt;"Serviço",AND(AUTOEVENTO="Manual",$M31=$A$15)),0,
         IF(OFFSET(CRONOPLE!$F$15,$M31-$A$15,BE$13)=0,10^12,OFFSET(CRONOPLE!$F$15,$M31-$A$15,BE$13)))</f>
        <v>1</v>
      </c>
      <c r="BF31" s="170">
        <f ca="1">IF(OR($D31&lt;&gt;"Serviço",AND(AUTOEVENTO="Manual",$M31=$A$15)),0,
         IF(OFFSET(CRONOPLE!$F$15,$M31-$A$15,BF$13)=0,10^12,OFFSET(CRONOPLE!$F$15,$M31-$A$15,BF$13)))</f>
        <v>2</v>
      </c>
      <c r="BG31" s="170">
        <f ca="1">IF(OR($D31&lt;&gt;"Serviço",AND(AUTOEVENTO="Manual",$M31=$A$15)),0,
         IF(OFFSET(CRONOPLE!$F$15,$M31-$A$15,BG$13)=0,10^12,OFFSET(CRONOPLE!$F$15,$M31-$A$15,BG$13)))</f>
        <v>2</v>
      </c>
      <c r="BH31" s="170">
        <f ca="1">IF(OR($D31&lt;&gt;"Serviço",AND(AUTOEVENTO="Manual",$M31=$A$15)),0,
         IF(OFFSET(CRONOPLE!$F$15,$M31-$A$15,BH$13)=0,10^12,OFFSET(CRONOPLE!$F$15,$M31-$A$15,BH$13)))</f>
        <v>2</v>
      </c>
      <c r="BI31" s="170">
        <f ca="1">IF(OR($D31&lt;&gt;"Serviço",AND(AUTOEVENTO="Manual",$M31=$A$15)),0,
         IF(OFFSET(CRONOPLE!$F$15,$M31-$A$15,BI$13)=0,10^12,OFFSET(CRONOPLE!$F$15,$M31-$A$15,BI$13)))</f>
        <v>2</v>
      </c>
      <c r="BJ31" s="170">
        <f ca="1">IF(OR($D31&lt;&gt;"Serviço",AND(AUTOEVENTO="Manual",$M31=$A$15)),0,
         IF(OFFSET(CRONOPLE!$F$15,$M31-$A$15,BJ$13)=0,10^12,OFFSET(CRONOPLE!$F$15,$M31-$A$15,BJ$13)))</f>
        <v>3</v>
      </c>
      <c r="BK31" s="170">
        <f ca="1">IF(OR($D31&lt;&gt;"Serviço",AND(AUTOEVENTO="Manual",$M31=$A$15)),0,
         IF(OFFSET(CRONOPLE!$F$15,$M31-$A$15,BK$13)=0,10^12,OFFSET(CRONOPLE!$F$15,$M31-$A$15,BK$13)))</f>
        <v>3</v>
      </c>
      <c r="BL31" s="170">
        <f ca="1">IF(OR($D31&lt;&gt;"Serviço",AND(AUTOEVENTO="Manual",$M31=$A$15)),0,
         IF(OFFSET(CRONOPLE!$F$15,$M31-$A$15,BL$13)=0,10^12,OFFSET(CRONOPLE!$F$15,$M31-$A$15,BL$13)))</f>
        <v>3</v>
      </c>
      <c r="BM31" s="170">
        <f ca="1">IF(OR($D31&lt;&gt;"Serviço",AND(AUTOEVENTO="Manual",$M31=$A$15)),0,
         IF(OFFSET(CRONOPLE!$F$15,$M31-$A$15,BM$13)=0,10^12,OFFSET(CRONOPLE!$F$15,$M31-$A$15,BM$13)))</f>
        <v>4</v>
      </c>
      <c r="BN31" s="170">
        <f ca="1">IF(OR($D31&lt;&gt;"Serviço",AND(AUTOEVENTO="Manual",$M31=$A$15)),0,
         IF(OFFSET(CRONOPLE!$F$15,$M31-$A$15,BN$13)=0,10^12,OFFSET(CRONOPLE!$F$15,$M31-$A$15,BN$13)))</f>
        <v>5</v>
      </c>
      <c r="BO31" s="170">
        <f ca="1">IF(OR($D31&lt;&gt;"Serviço",AND(AUTOEVENTO="Manual",$M31=$A$15)),0,
         IF(OFFSET(CRONOPLE!$F$15,$M31-$A$15,BO$13)=0,10^12,OFFSET(CRONOPLE!$F$15,$M31-$A$15,BO$13)))</f>
        <v>5</v>
      </c>
      <c r="BP31" s="170">
        <f ca="1">IF(OR($D31&lt;&gt;"Serviço",AND(AUTOEVENTO="Manual",$M31=$A$15)),0,
         IF(OFFSET(CRONOPLE!$F$15,$M31-$A$15,BP$13)=0,10^12,OFFSET(CRONOPLE!$F$15,$M31-$A$15,BP$13)))</f>
        <v>1000000000000</v>
      </c>
      <c r="BQ31" s="170">
        <f ca="1">IF(OR($D31&lt;&gt;"Serviço",AND(AUTOEVENTO="Manual",$M31=$A$15)),0,
         IF(OFFSET(CRONOPLE!$F$15,$M31-$A$15,BQ$13)=0,10^12,OFFSET(CRONOPLE!$F$15,$M31-$A$15,BQ$13)))</f>
        <v>1000000000000</v>
      </c>
      <c r="BR31" s="170">
        <f ca="1">IF(OR($D31&lt;&gt;"Serviço",AND(AUTOEVENTO="Manual",$M31=$A$15)),0,
         IF(OFFSET(CRONOPLE!$F$15,$M31-$A$15,BR$13)=0,10^12,OFFSET(CRONOPLE!$F$15,$M31-$A$15,BR$13)))</f>
        <v>1000000000000</v>
      </c>
      <c r="BS31" s="170">
        <f ca="1">IF(OR($D31&lt;&gt;"Serviço",AND(AUTOEVENTO="Manual",$M31=$A$15)),0,
         IF(OFFSET(CRONOPLE!$F$15,$M31-$A$15,BS$13)=0,10^12,OFFSET(CRONOPLE!$F$15,$M31-$A$15,BS$13)))</f>
        <v>1000000000000</v>
      </c>
      <c r="BT31" s="170">
        <f ca="1">IF(OR($D31&lt;&gt;"Serviço",AND(AUTOEVENTO="Manual",$M31=$A$15)),0,
         IF(OFFSET(CRONOPLE!$F$15,$M31-$A$15,BT$13)=0,10^12,OFFSET(CRONOPLE!$F$15,$M31-$A$15,BT$13)))</f>
        <v>1000000000000</v>
      </c>
      <c r="BV31" s="171" cm="1">
        <f t="array" aca="1" ref="BV31" ca="1">IF(OR($D31&lt;&gt;"Serviço",AND(AUTOEVENTO="Manual",$M31=$A$15),$M31&gt;(ROW(PLE.lastrow)-ROW(PLE.firstrow))),0,
           IF(OFFSET(PLE!$G$15,$M31-$A$15,BV$13)="",10^12,OFFSET(PLE!$G$15,$M31-$A$15,BV$13)))</f>
        <v>1000000000000</v>
      </c>
      <c r="BW31" s="171" cm="1">
        <f t="array" aca="1" ref="BW31" ca="1">IF(OR($D31&lt;&gt;"Serviço",AND(AUTOEVENTO="Manual",$M31=$A$15),$M31&gt;(ROW(PLE.lastrow)-ROW(PLE.firstrow))),0,
           IF(OFFSET(PLE!$G$15,$M31-$A$15,BW$13)="",10^12,OFFSET(PLE!$G$15,$M31-$A$15,BW$13)))</f>
        <v>1000000000000</v>
      </c>
      <c r="BX31" s="171" cm="1">
        <f t="array" aca="1" ref="BX31" ca="1">IF(OR($D31&lt;&gt;"Serviço",AND(AUTOEVENTO="Manual",$M31=$A$15),$M31&gt;(ROW(PLE.lastrow)-ROW(PLE.firstrow))),0,
           IF(OFFSET(PLE!$G$15,$M31-$A$15,BX$13)="",10^12,OFFSET(PLE!$G$15,$M31-$A$15,BX$13)))</f>
        <v>1000000000000</v>
      </c>
      <c r="BY31" s="171" cm="1">
        <f t="array" aca="1" ref="BY31" ca="1">IF(OR($D31&lt;&gt;"Serviço",AND(AUTOEVENTO="Manual",$M31=$A$15),$M31&gt;(ROW(PLE.lastrow)-ROW(PLE.firstrow))),0,
           IF(OFFSET(PLE!$G$15,$M31-$A$15,BY$13)="",10^12,OFFSET(PLE!$G$15,$M31-$A$15,BY$13)))</f>
        <v>1000000000000</v>
      </c>
      <c r="BZ31" s="171" cm="1">
        <f t="array" aca="1" ref="BZ31" ca="1">IF(OR($D31&lt;&gt;"Serviço",AND(AUTOEVENTO="Manual",$M31=$A$15),$M31&gt;(ROW(PLE.lastrow)-ROW(PLE.firstrow))),0,
           IF(OFFSET(PLE!$G$15,$M31-$A$15,BZ$13)="",10^12,OFFSET(PLE!$G$15,$M31-$A$15,BZ$13)))</f>
        <v>1000000000000</v>
      </c>
      <c r="CA31" s="171" cm="1">
        <f t="array" aca="1" ref="CA31" ca="1">IF(OR($D31&lt;&gt;"Serviço",AND(AUTOEVENTO="Manual",$M31=$A$15),$M31&gt;(ROW(PLE.lastrow)-ROW(PLE.firstrow))),0,
           IF(OFFSET(PLE!$G$15,$M31-$A$15,CA$13)="",10^12,OFFSET(PLE!$G$15,$M31-$A$15,CA$13)))</f>
        <v>1000000000000</v>
      </c>
      <c r="CB31" s="171" cm="1">
        <f t="array" aca="1" ref="CB31" ca="1">IF(OR($D31&lt;&gt;"Serviço",AND(AUTOEVENTO="Manual",$M31=$A$15),$M31&gt;(ROW(PLE.lastrow)-ROW(PLE.firstrow))),0,
           IF(OFFSET(PLE!$G$15,$M31-$A$15,CB$13)="",10^12,OFFSET(PLE!$G$15,$M31-$A$15,CB$13)))</f>
        <v>1000000000000</v>
      </c>
      <c r="CC31" s="171" cm="1">
        <f t="array" aca="1" ref="CC31" ca="1">IF(OR($D31&lt;&gt;"Serviço",AND(AUTOEVENTO="Manual",$M31=$A$15),$M31&gt;(ROW(PLE.lastrow)-ROW(PLE.firstrow))),0,
           IF(OFFSET(PLE!$G$15,$M31-$A$15,CC$13)="",10^12,OFFSET(PLE!$G$15,$M31-$A$15,CC$13)))</f>
        <v>1000000000000</v>
      </c>
      <c r="CD31" s="171" cm="1">
        <f t="array" aca="1" ref="CD31" ca="1">IF(OR($D31&lt;&gt;"Serviço",AND(AUTOEVENTO="Manual",$M31=$A$15),$M31&gt;(ROW(PLE.lastrow)-ROW(PLE.firstrow))),0,
           IF(OFFSET(PLE!$G$15,$M31-$A$15,CD$13)="",10^12,OFFSET(PLE!$G$15,$M31-$A$15,CD$13)))</f>
        <v>1000000000000</v>
      </c>
      <c r="CE31" s="171" cm="1">
        <f t="array" aca="1" ref="CE31" ca="1">IF(OR($D31&lt;&gt;"Serviço",AND(AUTOEVENTO="Manual",$M31=$A$15),$M31&gt;(ROW(PLE.lastrow)-ROW(PLE.firstrow))),0,
           IF(OFFSET(PLE!$G$15,$M31-$A$15,CE$13)="",10^12,OFFSET(PLE!$G$15,$M31-$A$15,CE$13)))</f>
        <v>1000000000000</v>
      </c>
      <c r="CF31" s="171" cm="1">
        <f t="array" aca="1" ref="CF31" ca="1">IF(OR($D31&lt;&gt;"Serviço",AND(AUTOEVENTO="Manual",$M31=$A$15),$M31&gt;(ROW(PLE.lastrow)-ROW(PLE.firstrow))),0,
           IF(OFFSET(PLE!$G$15,$M31-$A$15,CF$13)="",10^12,OFFSET(PLE!$G$15,$M31-$A$15,CF$13)))</f>
        <v>1000000000000</v>
      </c>
      <c r="CG31" s="171" cm="1">
        <f t="array" aca="1" ref="CG31" ca="1">IF(OR($D31&lt;&gt;"Serviço",AND(AUTOEVENTO="Manual",$M31=$A$15),$M31&gt;(ROW(PLE.lastrow)-ROW(PLE.firstrow))),0,
           IF(OFFSET(PLE!$G$15,$M31-$A$15,CG$13)="",10^12,OFFSET(PLE!$G$15,$M31-$A$15,CG$13)))</f>
        <v>1000000000000</v>
      </c>
      <c r="CH31" s="171" cm="1">
        <f t="array" aca="1" ref="CH31" ca="1">IF(OR($D31&lt;&gt;"Serviço",AND(AUTOEVENTO="Manual",$M31=$A$15),$M31&gt;(ROW(PLE.lastrow)-ROW(PLE.firstrow))),0,
           IF(OFFSET(PLE!$G$15,$M31-$A$15,CH$13)="",10^12,OFFSET(PLE!$G$15,$M31-$A$15,CH$13)))</f>
        <v>1000000000000</v>
      </c>
      <c r="CI31" s="171" cm="1">
        <f t="array" aca="1" ref="CI31" ca="1">IF(OR($D31&lt;&gt;"Serviço",AND(AUTOEVENTO="Manual",$M31=$A$15),$M31&gt;(ROW(PLE.lastrow)-ROW(PLE.firstrow))),0,
           IF(OFFSET(PLE!$G$15,$M31-$A$15,CI$13)="",10^12,OFFSET(PLE!$G$15,$M31-$A$15,CI$13)))</f>
        <v>1000000000000</v>
      </c>
      <c r="CJ31" s="171" cm="1">
        <f t="array" aca="1" ref="CJ31" ca="1">IF(OR($D31&lt;&gt;"Serviço",AND(AUTOEVENTO="Manual",$M31=$A$15),$M31&gt;(ROW(PLE.lastrow)-ROW(PLE.firstrow))),0,
           IF(OFFSET(PLE!$G$15,$M31-$A$15,CJ$13)="",10^12,OFFSET(PLE!$G$15,$M31-$A$15,CJ$13)))</f>
        <v>1000000000000</v>
      </c>
      <c r="CK31" s="171" cm="1">
        <f t="array" aca="1" ref="CK31" ca="1">IF(OR($D31&lt;&gt;"Serviço",AND(AUTOEVENTO="Manual",$M31=$A$15),$M31&gt;(ROW(PLE.lastrow)-ROW(PLE.firstrow))),0,
           IF(OFFSET(PLE!$G$15,$M31-$A$15,CK$13)="",10^12,OFFSET(PLE!$G$15,$M31-$A$15,CK$13)))</f>
        <v>1000000000000</v>
      </c>
      <c r="CL31" s="171" cm="1">
        <f t="array" aca="1" ref="CL31" ca="1">IF(OR($D31&lt;&gt;"Serviço",AND(AUTOEVENTO="Manual",$M31=$A$15),$M31&gt;(ROW(PLE.lastrow)-ROW(PLE.firstrow))),0,
           IF(OFFSET(PLE!$G$15,$M31-$A$15,CL$13)="",10^12,OFFSET(PLE!$G$15,$M31-$A$15,CL$13)))</f>
        <v>1000000000000</v>
      </c>
      <c r="CM31" s="171" cm="1">
        <f t="array" aca="1" ref="CM31" ca="1">IF(OR($D31&lt;&gt;"Serviço",AND(AUTOEVENTO="Manual",$M31=$A$15),$M31&gt;(ROW(PLE.lastrow)-ROW(PLE.firstrow))),0,
           IF(OFFSET(PLE!$G$15,$M31-$A$15,CM$13)="",10^12,OFFSET(PLE!$G$15,$M31-$A$15,CM$13)))</f>
        <v>1000000000000</v>
      </c>
    </row>
    <row r="32" spans="1:91" ht="12.75" x14ac:dyDescent="0.2">
      <c r="A32" s="7" t="str">
        <f ca="1">IFERROR(IF(AUTOEVENTO="Manual",IF(K32&lt;&gt;"",MIN(VALUE(LEFT(K32,FIND(".",K32)-1)),COUNTA(EVENTOS.Lista)),0),IF(OR($B32&gt;AUTOEVENTO,$B32="S",$B32=0),SUBSTITUTE(OFFSET($A32,-1,0),IF($D32="Serviço",".",""),""),$L32&amp;".")),0)</f>
        <v>11</v>
      </c>
      <c r="B32" s="7" t="str">
        <f ca="1">OFFSET(ORÇAMENTO!C$15,$L32,0)</f>
        <v>S</v>
      </c>
      <c r="C32" s="7" t="str">
        <f ca="1">OFFSET(ORÇAMENTO!L$15,$L32,0)</f>
        <v>F</v>
      </c>
      <c r="D32" s="115" t="str">
        <f ca="1">OFFSET(ORÇAMENTO!N$15,$L32,0)</f>
        <v>Serviço</v>
      </c>
      <c r="E32" s="116" t="str">
        <f ca="1">OFFSET(ORÇAMENTO!O$15,$L32,0)</f>
        <v>1.3.6.</v>
      </c>
      <c r="F32" s="162" t="str">
        <f ca="1">OFFSET(ORÇAMENTO!R$15,$L32,0)</f>
        <v>(Código não identificado nas referências)</v>
      </c>
      <c r="G32" s="163" t="str">
        <f ca="1">IF($D32&lt;&gt;"Serviço","",OFFSET(ORÇAMENTO!S$15,$L32,0))</f>
        <v>-</v>
      </c>
      <c r="H32" s="121" cm="1">
        <f t="array" aca="1" ref="H32" ca="1">IF($D32&lt;&gt;"Serviço",0,IF(ACOMPANHAMENTO="BM",ROUND(OFFSET(ORÇAMENTO!AJ$15,$L32,0),15-13*ORÇAMENTO!$AF$7),IF(IFERROR(CÁLCULO.FrentesPreenchidas,0)=0,0,SUM(ROUND(OFFSET($P32,0,1,1,CÁLCULO.FrentesPreenchidas),15-13*ORÇAMENTO!$AF$7)))))</f>
        <v>1422.1599999999999</v>
      </c>
      <c r="I32" s="467"/>
      <c r="J32" s="650" t="str" cm="1">
        <f t="array" aca="1" ref="J32" ca="1">IF(OR(B32&lt;&gt;"S",CÁLCULO.FrentesPreenchidas=0),"",IF(AND(ACOMPANHAMENTO="PLE",AUTOEVENTO="Manual",OR(H32&gt;0,ORÇAMENTO!AC32="QUANT."),OR(K32="",M32=0,N32="")),"►E",IF(AND(ACOMPANHAMENTO="PLE",ORÇAMENTO!AC32="QUANT."),"►Q",IF(AND(ACOMPANHAMENTO="PLE",H32&lt;&gt;SUMPRODUCT(($Q$1:$AI$1=1)*ROUND(Q32:AI32,15))),"►S",IF(AND(COUNTIF($P$11:$AI$11,"▼")=0,H32&gt;0,I32=""),"◄M","")))))</f>
        <v>◄M</v>
      </c>
      <c r="K32" s="651"/>
      <c r="L32" s="164">
        <f ca="1">OFFSET(L32,-1,0)+1</f>
        <v>17</v>
      </c>
      <c r="M32" s="165">
        <f ca="1">IF($D32&lt;&gt;"Serviço","",
          IF(AUTOEVENTO="manual",$A32,
                IF(ISERROR(MATCH($A32,$A$15:OFFSET($A32,-1,0),0)),MAX($M$15:OFFSET(M32,-1,0))+1,
                      INDEX($M$15:OFFSET(M32,-1,0),MATCH($A32,$A$15:OFFSET($A32,-1,0),0)))))</f>
        <v>3</v>
      </c>
      <c r="N32" s="166" t="str">
        <f ca="1">IF($D32&lt;&gt;"Serviço","",
         IF(AUTOEVENTO="Manual",
                IF($A32=0,"&lt;-- defina o número do agrupador",
                       OFFSET(EVENTOS!$D$15,$A32-$A$15,0)),
                OFFSET($F$15,$A32,0)))</f>
        <v>Revestimento</v>
      </c>
      <c r="O32" s="167"/>
      <c r="Q32" s="167">
        <v>21.35</v>
      </c>
      <c r="R32" s="168">
        <v>135.99</v>
      </c>
      <c r="S32" s="168">
        <v>60.28</v>
      </c>
      <c r="T32" s="168">
        <v>31.11</v>
      </c>
      <c r="U32" s="168">
        <v>35.97</v>
      </c>
      <c r="V32" s="168">
        <v>47.07</v>
      </c>
      <c r="W32" s="168">
        <v>158.81</v>
      </c>
      <c r="X32" s="168">
        <v>221.73</v>
      </c>
      <c r="Y32" s="168">
        <v>74.400000000000006</v>
      </c>
      <c r="Z32" s="169">
        <v>15.01</v>
      </c>
      <c r="AA32" s="168">
        <v>106.78</v>
      </c>
      <c r="AB32" s="168">
        <v>431.89</v>
      </c>
      <c r="AC32" s="168">
        <v>81.77</v>
      </c>
      <c r="AD32" s="168"/>
      <c r="AE32" s="168"/>
      <c r="AF32" s="168"/>
      <c r="AG32" s="168"/>
      <c r="AH32" s="169"/>
      <c r="AJ32" s="452">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325.8</v>
      </c>
      <c r="AK32" s="452">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2075.21</v>
      </c>
      <c r="AL32" s="452">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919.87</v>
      </c>
      <c r="AM32" s="452">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474.74</v>
      </c>
      <c r="AN32" s="452">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548.9</v>
      </c>
      <c r="AO32" s="452">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718.29</v>
      </c>
      <c r="AP32" s="452">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2423.44</v>
      </c>
      <c r="AQ32" s="452">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3383.6</v>
      </c>
      <c r="AR32" s="452">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1135.3399999999999</v>
      </c>
      <c r="AS32" s="452">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229.05</v>
      </c>
      <c r="AT32" s="452">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1629.46</v>
      </c>
      <c r="AU32" s="452">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6590.64</v>
      </c>
      <c r="AV32" s="452">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1247.81</v>
      </c>
      <c r="AW32" s="452">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2">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2">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2">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2">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0">
        <f ca="1">IF(OR($D32&lt;&gt;"Serviço",AND(AUTOEVENTO="Manual",$M32=$A$15)),0,
         IF(OFFSET(CRONOPLE!$F$15,$M32-$A$15,BC$13)=0,10^12,OFFSET(CRONOPLE!$F$15,$M32-$A$15,BC$13)))</f>
        <v>1</v>
      </c>
      <c r="BD32" s="170">
        <f ca="1">IF(OR($D32&lt;&gt;"Serviço",AND(AUTOEVENTO="Manual",$M32=$A$15)),0,
         IF(OFFSET(CRONOPLE!$F$15,$M32-$A$15,BD$13)=0,10^12,OFFSET(CRONOPLE!$F$15,$M32-$A$15,BD$13)))</f>
        <v>1</v>
      </c>
      <c r="BE32" s="170">
        <f ca="1">IF(OR($D32&lt;&gt;"Serviço",AND(AUTOEVENTO="Manual",$M32=$A$15)),0,
         IF(OFFSET(CRONOPLE!$F$15,$M32-$A$15,BE$13)=0,10^12,OFFSET(CRONOPLE!$F$15,$M32-$A$15,BE$13)))</f>
        <v>1</v>
      </c>
      <c r="BF32" s="170">
        <f ca="1">IF(OR($D32&lt;&gt;"Serviço",AND(AUTOEVENTO="Manual",$M32=$A$15)),0,
         IF(OFFSET(CRONOPLE!$F$15,$M32-$A$15,BF$13)=0,10^12,OFFSET(CRONOPLE!$F$15,$M32-$A$15,BF$13)))</f>
        <v>2</v>
      </c>
      <c r="BG32" s="170">
        <f ca="1">IF(OR($D32&lt;&gt;"Serviço",AND(AUTOEVENTO="Manual",$M32=$A$15)),0,
         IF(OFFSET(CRONOPLE!$F$15,$M32-$A$15,BG$13)=0,10^12,OFFSET(CRONOPLE!$F$15,$M32-$A$15,BG$13)))</f>
        <v>2</v>
      </c>
      <c r="BH32" s="170">
        <f ca="1">IF(OR($D32&lt;&gt;"Serviço",AND(AUTOEVENTO="Manual",$M32=$A$15)),0,
         IF(OFFSET(CRONOPLE!$F$15,$M32-$A$15,BH$13)=0,10^12,OFFSET(CRONOPLE!$F$15,$M32-$A$15,BH$13)))</f>
        <v>2</v>
      </c>
      <c r="BI32" s="170">
        <f ca="1">IF(OR($D32&lt;&gt;"Serviço",AND(AUTOEVENTO="Manual",$M32=$A$15)),0,
         IF(OFFSET(CRONOPLE!$F$15,$M32-$A$15,BI$13)=0,10^12,OFFSET(CRONOPLE!$F$15,$M32-$A$15,BI$13)))</f>
        <v>2</v>
      </c>
      <c r="BJ32" s="170">
        <f ca="1">IF(OR($D32&lt;&gt;"Serviço",AND(AUTOEVENTO="Manual",$M32=$A$15)),0,
         IF(OFFSET(CRONOPLE!$F$15,$M32-$A$15,BJ$13)=0,10^12,OFFSET(CRONOPLE!$F$15,$M32-$A$15,BJ$13)))</f>
        <v>3</v>
      </c>
      <c r="BK32" s="170">
        <f ca="1">IF(OR($D32&lt;&gt;"Serviço",AND(AUTOEVENTO="Manual",$M32=$A$15)),0,
         IF(OFFSET(CRONOPLE!$F$15,$M32-$A$15,BK$13)=0,10^12,OFFSET(CRONOPLE!$F$15,$M32-$A$15,BK$13)))</f>
        <v>3</v>
      </c>
      <c r="BL32" s="170">
        <f ca="1">IF(OR($D32&lt;&gt;"Serviço",AND(AUTOEVENTO="Manual",$M32=$A$15)),0,
         IF(OFFSET(CRONOPLE!$F$15,$M32-$A$15,BL$13)=0,10^12,OFFSET(CRONOPLE!$F$15,$M32-$A$15,BL$13)))</f>
        <v>3</v>
      </c>
      <c r="BM32" s="170">
        <f ca="1">IF(OR($D32&lt;&gt;"Serviço",AND(AUTOEVENTO="Manual",$M32=$A$15)),0,
         IF(OFFSET(CRONOPLE!$F$15,$M32-$A$15,BM$13)=0,10^12,OFFSET(CRONOPLE!$F$15,$M32-$A$15,BM$13)))</f>
        <v>4</v>
      </c>
      <c r="BN32" s="170">
        <f ca="1">IF(OR($D32&lt;&gt;"Serviço",AND(AUTOEVENTO="Manual",$M32=$A$15)),0,
         IF(OFFSET(CRONOPLE!$F$15,$M32-$A$15,BN$13)=0,10^12,OFFSET(CRONOPLE!$F$15,$M32-$A$15,BN$13)))</f>
        <v>5</v>
      </c>
      <c r="BO32" s="170">
        <f ca="1">IF(OR($D32&lt;&gt;"Serviço",AND(AUTOEVENTO="Manual",$M32=$A$15)),0,
         IF(OFFSET(CRONOPLE!$F$15,$M32-$A$15,BO$13)=0,10^12,OFFSET(CRONOPLE!$F$15,$M32-$A$15,BO$13)))</f>
        <v>5</v>
      </c>
      <c r="BP32" s="170">
        <f ca="1">IF(OR($D32&lt;&gt;"Serviço",AND(AUTOEVENTO="Manual",$M32=$A$15)),0,
         IF(OFFSET(CRONOPLE!$F$15,$M32-$A$15,BP$13)=0,10^12,OFFSET(CRONOPLE!$F$15,$M32-$A$15,BP$13)))</f>
        <v>1000000000000</v>
      </c>
      <c r="BQ32" s="170">
        <f ca="1">IF(OR($D32&lt;&gt;"Serviço",AND(AUTOEVENTO="Manual",$M32=$A$15)),0,
         IF(OFFSET(CRONOPLE!$F$15,$M32-$A$15,BQ$13)=0,10^12,OFFSET(CRONOPLE!$F$15,$M32-$A$15,BQ$13)))</f>
        <v>1000000000000</v>
      </c>
      <c r="BR32" s="170">
        <f ca="1">IF(OR($D32&lt;&gt;"Serviço",AND(AUTOEVENTO="Manual",$M32=$A$15)),0,
         IF(OFFSET(CRONOPLE!$F$15,$M32-$A$15,BR$13)=0,10^12,OFFSET(CRONOPLE!$F$15,$M32-$A$15,BR$13)))</f>
        <v>1000000000000</v>
      </c>
      <c r="BS32" s="170">
        <f ca="1">IF(OR($D32&lt;&gt;"Serviço",AND(AUTOEVENTO="Manual",$M32=$A$15)),0,
         IF(OFFSET(CRONOPLE!$F$15,$M32-$A$15,BS$13)=0,10^12,OFFSET(CRONOPLE!$F$15,$M32-$A$15,BS$13)))</f>
        <v>1000000000000</v>
      </c>
      <c r="BT32" s="170">
        <f ca="1">IF(OR($D32&lt;&gt;"Serviço",AND(AUTOEVENTO="Manual",$M32=$A$15)),0,
         IF(OFFSET(CRONOPLE!$F$15,$M32-$A$15,BT$13)=0,10^12,OFFSET(CRONOPLE!$F$15,$M32-$A$15,BT$13)))</f>
        <v>1000000000000</v>
      </c>
      <c r="BV32" s="171" cm="1">
        <f t="array" aca="1" ref="BV32" ca="1">IF(OR($D32&lt;&gt;"Serviço",AND(AUTOEVENTO="Manual",$M32=$A$15),$M32&gt;(ROW(PLE.lastrow)-ROW(PLE.firstrow))),0,
           IF(OFFSET(PLE!$G$15,$M32-$A$15,BV$13)="",10^12,OFFSET(PLE!$G$15,$M32-$A$15,BV$13)))</f>
        <v>1000000000000</v>
      </c>
      <c r="BW32" s="171" cm="1">
        <f t="array" aca="1" ref="BW32" ca="1">IF(OR($D32&lt;&gt;"Serviço",AND(AUTOEVENTO="Manual",$M32=$A$15),$M32&gt;(ROW(PLE.lastrow)-ROW(PLE.firstrow))),0,
           IF(OFFSET(PLE!$G$15,$M32-$A$15,BW$13)="",10^12,OFFSET(PLE!$G$15,$M32-$A$15,BW$13)))</f>
        <v>1000000000000</v>
      </c>
      <c r="BX32" s="171" cm="1">
        <f t="array" aca="1" ref="BX32" ca="1">IF(OR($D32&lt;&gt;"Serviço",AND(AUTOEVENTO="Manual",$M32=$A$15),$M32&gt;(ROW(PLE.lastrow)-ROW(PLE.firstrow))),0,
           IF(OFFSET(PLE!$G$15,$M32-$A$15,BX$13)="",10^12,OFFSET(PLE!$G$15,$M32-$A$15,BX$13)))</f>
        <v>1000000000000</v>
      </c>
      <c r="BY32" s="171" cm="1">
        <f t="array" aca="1" ref="BY32" ca="1">IF(OR($D32&lt;&gt;"Serviço",AND(AUTOEVENTO="Manual",$M32=$A$15),$M32&gt;(ROW(PLE.lastrow)-ROW(PLE.firstrow))),0,
           IF(OFFSET(PLE!$G$15,$M32-$A$15,BY$13)="",10^12,OFFSET(PLE!$G$15,$M32-$A$15,BY$13)))</f>
        <v>1000000000000</v>
      </c>
      <c r="BZ32" s="171" cm="1">
        <f t="array" aca="1" ref="BZ32" ca="1">IF(OR($D32&lt;&gt;"Serviço",AND(AUTOEVENTO="Manual",$M32=$A$15),$M32&gt;(ROW(PLE.lastrow)-ROW(PLE.firstrow))),0,
           IF(OFFSET(PLE!$G$15,$M32-$A$15,BZ$13)="",10^12,OFFSET(PLE!$G$15,$M32-$A$15,BZ$13)))</f>
        <v>1000000000000</v>
      </c>
      <c r="CA32" s="171" cm="1">
        <f t="array" aca="1" ref="CA32" ca="1">IF(OR($D32&lt;&gt;"Serviço",AND(AUTOEVENTO="Manual",$M32=$A$15),$M32&gt;(ROW(PLE.lastrow)-ROW(PLE.firstrow))),0,
           IF(OFFSET(PLE!$G$15,$M32-$A$15,CA$13)="",10^12,OFFSET(PLE!$G$15,$M32-$A$15,CA$13)))</f>
        <v>1000000000000</v>
      </c>
      <c r="CB32" s="171" cm="1">
        <f t="array" aca="1" ref="CB32" ca="1">IF(OR($D32&lt;&gt;"Serviço",AND(AUTOEVENTO="Manual",$M32=$A$15),$M32&gt;(ROW(PLE.lastrow)-ROW(PLE.firstrow))),0,
           IF(OFFSET(PLE!$G$15,$M32-$A$15,CB$13)="",10^12,OFFSET(PLE!$G$15,$M32-$A$15,CB$13)))</f>
        <v>1000000000000</v>
      </c>
      <c r="CC32" s="171" cm="1">
        <f t="array" aca="1" ref="CC32" ca="1">IF(OR($D32&lt;&gt;"Serviço",AND(AUTOEVENTO="Manual",$M32=$A$15),$M32&gt;(ROW(PLE.lastrow)-ROW(PLE.firstrow))),0,
           IF(OFFSET(PLE!$G$15,$M32-$A$15,CC$13)="",10^12,OFFSET(PLE!$G$15,$M32-$A$15,CC$13)))</f>
        <v>1000000000000</v>
      </c>
      <c r="CD32" s="171" cm="1">
        <f t="array" aca="1" ref="CD32" ca="1">IF(OR($D32&lt;&gt;"Serviço",AND(AUTOEVENTO="Manual",$M32=$A$15),$M32&gt;(ROW(PLE.lastrow)-ROW(PLE.firstrow))),0,
           IF(OFFSET(PLE!$G$15,$M32-$A$15,CD$13)="",10^12,OFFSET(PLE!$G$15,$M32-$A$15,CD$13)))</f>
        <v>1000000000000</v>
      </c>
      <c r="CE32" s="171" cm="1">
        <f t="array" aca="1" ref="CE32" ca="1">IF(OR($D32&lt;&gt;"Serviço",AND(AUTOEVENTO="Manual",$M32=$A$15),$M32&gt;(ROW(PLE.lastrow)-ROW(PLE.firstrow))),0,
           IF(OFFSET(PLE!$G$15,$M32-$A$15,CE$13)="",10^12,OFFSET(PLE!$G$15,$M32-$A$15,CE$13)))</f>
        <v>1000000000000</v>
      </c>
      <c r="CF32" s="171" cm="1">
        <f t="array" aca="1" ref="CF32" ca="1">IF(OR($D32&lt;&gt;"Serviço",AND(AUTOEVENTO="Manual",$M32=$A$15),$M32&gt;(ROW(PLE.lastrow)-ROW(PLE.firstrow))),0,
           IF(OFFSET(PLE!$G$15,$M32-$A$15,CF$13)="",10^12,OFFSET(PLE!$G$15,$M32-$A$15,CF$13)))</f>
        <v>1000000000000</v>
      </c>
      <c r="CG32" s="171" cm="1">
        <f t="array" aca="1" ref="CG32" ca="1">IF(OR($D32&lt;&gt;"Serviço",AND(AUTOEVENTO="Manual",$M32=$A$15),$M32&gt;(ROW(PLE.lastrow)-ROW(PLE.firstrow))),0,
           IF(OFFSET(PLE!$G$15,$M32-$A$15,CG$13)="",10^12,OFFSET(PLE!$G$15,$M32-$A$15,CG$13)))</f>
        <v>1000000000000</v>
      </c>
      <c r="CH32" s="171" cm="1">
        <f t="array" aca="1" ref="CH32" ca="1">IF(OR($D32&lt;&gt;"Serviço",AND(AUTOEVENTO="Manual",$M32=$A$15),$M32&gt;(ROW(PLE.lastrow)-ROW(PLE.firstrow))),0,
           IF(OFFSET(PLE!$G$15,$M32-$A$15,CH$13)="",10^12,OFFSET(PLE!$G$15,$M32-$A$15,CH$13)))</f>
        <v>1000000000000</v>
      </c>
      <c r="CI32" s="171" cm="1">
        <f t="array" aca="1" ref="CI32" ca="1">IF(OR($D32&lt;&gt;"Serviço",AND(AUTOEVENTO="Manual",$M32=$A$15),$M32&gt;(ROW(PLE.lastrow)-ROW(PLE.firstrow))),0,
           IF(OFFSET(PLE!$G$15,$M32-$A$15,CI$13)="",10^12,OFFSET(PLE!$G$15,$M32-$A$15,CI$13)))</f>
        <v>1000000000000</v>
      </c>
      <c r="CJ32" s="171" cm="1">
        <f t="array" aca="1" ref="CJ32" ca="1">IF(OR($D32&lt;&gt;"Serviço",AND(AUTOEVENTO="Manual",$M32=$A$15),$M32&gt;(ROW(PLE.lastrow)-ROW(PLE.firstrow))),0,
           IF(OFFSET(PLE!$G$15,$M32-$A$15,CJ$13)="",10^12,OFFSET(PLE!$G$15,$M32-$A$15,CJ$13)))</f>
        <v>1000000000000</v>
      </c>
      <c r="CK32" s="171" cm="1">
        <f t="array" aca="1" ref="CK32" ca="1">IF(OR($D32&lt;&gt;"Serviço",AND(AUTOEVENTO="Manual",$M32=$A$15),$M32&gt;(ROW(PLE.lastrow)-ROW(PLE.firstrow))),0,
           IF(OFFSET(PLE!$G$15,$M32-$A$15,CK$13)="",10^12,OFFSET(PLE!$G$15,$M32-$A$15,CK$13)))</f>
        <v>1000000000000</v>
      </c>
      <c r="CL32" s="171" cm="1">
        <f t="array" aca="1" ref="CL32" ca="1">IF(OR($D32&lt;&gt;"Serviço",AND(AUTOEVENTO="Manual",$M32=$A$15),$M32&gt;(ROW(PLE.lastrow)-ROW(PLE.firstrow))),0,
           IF(OFFSET(PLE!$G$15,$M32-$A$15,CL$13)="",10^12,OFFSET(PLE!$G$15,$M32-$A$15,CL$13)))</f>
        <v>1000000000000</v>
      </c>
      <c r="CM32" s="171" cm="1">
        <f t="array" aca="1" ref="CM32" ca="1">IF(OR($D32&lt;&gt;"Serviço",AND(AUTOEVENTO="Manual",$M32=$A$15),$M32&gt;(ROW(PLE.lastrow)-ROW(PLE.firstrow))),0,
           IF(OFFSET(PLE!$G$15,$M32-$A$15,CM$13)="",10^12,OFFSET(PLE!$G$15,$M32-$A$15,CM$13)))</f>
        <v>1000000000000</v>
      </c>
    </row>
    <row r="33" spans="1:91" ht="12.75" x14ac:dyDescent="0.2">
      <c r="A33" s="7" t="str">
        <f t="shared" ca="1" si="10"/>
        <v>18.</v>
      </c>
      <c r="B33" s="7">
        <f ca="1">OFFSET(ORÇAMENTO!C$15,$L33,0)</f>
        <v>2</v>
      </c>
      <c r="C33" s="7" t="str">
        <f ca="1">OFFSET(ORÇAMENTO!L$15,$L33,0)</f>
        <v>F</v>
      </c>
      <c r="D33" s="115" t="str">
        <f ca="1">OFFSET(ORÇAMENTO!N$15,$L33,0)</f>
        <v>Nível 2</v>
      </c>
      <c r="E33" s="116" t="str">
        <f ca="1">OFFSET(ORÇAMENTO!O$15,$L33,0)</f>
        <v>1.4.</v>
      </c>
      <c r="F33" s="162" t="str">
        <f ca="1">OFFSET(ORÇAMENTO!R$15,$L33,0)</f>
        <v>Sinalização</v>
      </c>
      <c r="G33" s="163" t="str">
        <f ca="1">IF($D33&lt;&gt;"Serviço","",OFFSET(ORÇAMENTO!S$15,$L33,0))</f>
        <v/>
      </c>
      <c r="H33" s="121" cm="1">
        <f t="array" aca="1" ref="H33" ca="1">IF($D33&lt;&gt;"Serviço",0,IF(ACOMPANHAMENTO="BM",ROUND(OFFSET(ORÇAMENTO!AJ$15,$L33,0),15-13*ORÇAMENTO!$AF$7),IF(IFERROR(CÁLCULO.FrentesPreenchidas,0)=0,0,SUM(ROUND(OFFSET($P33,0,1,1,CÁLCULO.FrentesPreenchidas),15-13*ORÇAMENTO!$AF$7)))))</f>
        <v>0</v>
      </c>
      <c r="I33" s="467"/>
      <c r="J33" s="650" t="str" cm="1">
        <f t="array" aca="1" ref="J33" ca="1">IF(OR(B33&lt;&gt;"S",CÁLCULO.FrentesPreenchidas=0),"",IF(AND(ACOMPANHAMENTO="PLE",AUTOEVENTO="Manual",OR(H33&gt;0,ORÇAMENTO!AC33="QUANT."),OR(K33="",M33=0,N33="")),"►E",IF(AND(ACOMPANHAMENTO="PLE",ORÇAMENTO!AC33="QUANT."),"►Q",IF(AND(ACOMPANHAMENTO="PLE",H33&lt;&gt;SUMPRODUCT(($Q$1:$AI$1=1)*ROUND(Q33:AI33,15))),"►S",IF(AND(COUNTIF($P$11:$AI$11,"▼")=0,H33&gt;0,I33=""),"◄M","")))))</f>
        <v/>
      </c>
      <c r="K33" s="651"/>
      <c r="L33" s="164">
        <f t="shared" ca="1" si="11"/>
        <v>18</v>
      </c>
      <c r="M33" s="165" t="str">
        <f ca="1">IF($D33&lt;&gt;"Serviço","",
          IF(AUTOEVENTO="manual",$A33,
                IF(ISERROR(MATCH($A33,$A$15:OFFSET($A33,-1,0),0)),MAX($M$15:OFFSET(M33,-1,0))+1,
                      INDEX($M$15:OFFSET(M33,-1,0),MATCH($A33,$A$15:OFFSET($A33,-1,0),0)))))</f>
        <v/>
      </c>
      <c r="N33" s="166" t="str">
        <f ca="1">IF($D33&lt;&gt;"Serviço","",
         IF(AUTOEVENTO="Manual",
                IF($A33=0,"&lt;-- defina o número do agrupador",
                       OFFSET(EVENTOS!$D$15,$A33-$A$15,0)),
                OFFSET($F$15,$A33,0)))</f>
        <v/>
      </c>
      <c r="O33" s="167"/>
      <c r="Q33" s="167"/>
      <c r="R33" s="168"/>
      <c r="S33" s="168"/>
      <c r="T33" s="168"/>
      <c r="U33" s="168"/>
      <c r="V33" s="168"/>
      <c r="W33" s="168"/>
      <c r="X33" s="168"/>
      <c r="Y33" s="168"/>
      <c r="Z33" s="169"/>
      <c r="AA33" s="168"/>
      <c r="AB33" s="168"/>
      <c r="AC33" s="168"/>
      <c r="AD33" s="168"/>
      <c r="AE33" s="168"/>
      <c r="AF33" s="168"/>
      <c r="AG33" s="168"/>
      <c r="AH33" s="169"/>
      <c r="AJ33" s="452">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2">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52">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0</v>
      </c>
      <c r="AM33" s="452">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52">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2">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2">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2">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2">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2">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2">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2">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2">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2">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2">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2">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2">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2">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0">
        <f ca="1">IF(OR($D33&lt;&gt;"Serviço",AND(AUTOEVENTO="Manual",$M33=$A$15)),0,
         IF(OFFSET(CRONOPLE!$F$15,$M33-$A$15,BC$13)=0,10^12,OFFSET(CRONOPLE!$F$15,$M33-$A$15,BC$13)))</f>
        <v>0</v>
      </c>
      <c r="BD33" s="170">
        <f ca="1">IF(OR($D33&lt;&gt;"Serviço",AND(AUTOEVENTO="Manual",$M33=$A$15)),0,
         IF(OFFSET(CRONOPLE!$F$15,$M33-$A$15,BD$13)=0,10^12,OFFSET(CRONOPLE!$F$15,$M33-$A$15,BD$13)))</f>
        <v>0</v>
      </c>
      <c r="BE33" s="170">
        <f ca="1">IF(OR($D33&lt;&gt;"Serviço",AND(AUTOEVENTO="Manual",$M33=$A$15)),0,
         IF(OFFSET(CRONOPLE!$F$15,$M33-$A$15,BE$13)=0,10^12,OFFSET(CRONOPLE!$F$15,$M33-$A$15,BE$13)))</f>
        <v>0</v>
      </c>
      <c r="BF33" s="170">
        <f ca="1">IF(OR($D33&lt;&gt;"Serviço",AND(AUTOEVENTO="Manual",$M33=$A$15)),0,
         IF(OFFSET(CRONOPLE!$F$15,$M33-$A$15,BF$13)=0,10^12,OFFSET(CRONOPLE!$F$15,$M33-$A$15,BF$13)))</f>
        <v>0</v>
      </c>
      <c r="BG33" s="170">
        <f ca="1">IF(OR($D33&lt;&gt;"Serviço",AND(AUTOEVENTO="Manual",$M33=$A$15)),0,
         IF(OFFSET(CRONOPLE!$F$15,$M33-$A$15,BG$13)=0,10^12,OFFSET(CRONOPLE!$F$15,$M33-$A$15,BG$13)))</f>
        <v>0</v>
      </c>
      <c r="BH33" s="170">
        <f ca="1">IF(OR($D33&lt;&gt;"Serviço",AND(AUTOEVENTO="Manual",$M33=$A$15)),0,
         IF(OFFSET(CRONOPLE!$F$15,$M33-$A$15,BH$13)=0,10^12,OFFSET(CRONOPLE!$F$15,$M33-$A$15,BH$13)))</f>
        <v>0</v>
      </c>
      <c r="BI33" s="170">
        <f ca="1">IF(OR($D33&lt;&gt;"Serviço",AND(AUTOEVENTO="Manual",$M33=$A$15)),0,
         IF(OFFSET(CRONOPLE!$F$15,$M33-$A$15,BI$13)=0,10^12,OFFSET(CRONOPLE!$F$15,$M33-$A$15,BI$13)))</f>
        <v>0</v>
      </c>
      <c r="BJ33" s="170">
        <f ca="1">IF(OR($D33&lt;&gt;"Serviço",AND(AUTOEVENTO="Manual",$M33=$A$15)),0,
         IF(OFFSET(CRONOPLE!$F$15,$M33-$A$15,BJ$13)=0,10^12,OFFSET(CRONOPLE!$F$15,$M33-$A$15,BJ$13)))</f>
        <v>0</v>
      </c>
      <c r="BK33" s="170">
        <f ca="1">IF(OR($D33&lt;&gt;"Serviço",AND(AUTOEVENTO="Manual",$M33=$A$15)),0,
         IF(OFFSET(CRONOPLE!$F$15,$M33-$A$15,BK$13)=0,10^12,OFFSET(CRONOPLE!$F$15,$M33-$A$15,BK$13)))</f>
        <v>0</v>
      </c>
      <c r="BL33" s="170">
        <f ca="1">IF(OR($D33&lt;&gt;"Serviço",AND(AUTOEVENTO="Manual",$M33=$A$15)),0,
         IF(OFFSET(CRONOPLE!$F$15,$M33-$A$15,BL$13)=0,10^12,OFFSET(CRONOPLE!$F$15,$M33-$A$15,BL$13)))</f>
        <v>0</v>
      </c>
      <c r="BM33" s="170">
        <f ca="1">IF(OR($D33&lt;&gt;"Serviço",AND(AUTOEVENTO="Manual",$M33=$A$15)),0,
         IF(OFFSET(CRONOPLE!$F$15,$M33-$A$15,BM$13)=0,10^12,OFFSET(CRONOPLE!$F$15,$M33-$A$15,BM$13)))</f>
        <v>0</v>
      </c>
      <c r="BN33" s="170">
        <f ca="1">IF(OR($D33&lt;&gt;"Serviço",AND(AUTOEVENTO="Manual",$M33=$A$15)),0,
         IF(OFFSET(CRONOPLE!$F$15,$M33-$A$15,BN$13)=0,10^12,OFFSET(CRONOPLE!$F$15,$M33-$A$15,BN$13)))</f>
        <v>0</v>
      </c>
      <c r="BO33" s="170">
        <f ca="1">IF(OR($D33&lt;&gt;"Serviço",AND(AUTOEVENTO="Manual",$M33=$A$15)),0,
         IF(OFFSET(CRONOPLE!$F$15,$M33-$A$15,BO$13)=0,10^12,OFFSET(CRONOPLE!$F$15,$M33-$A$15,BO$13)))</f>
        <v>0</v>
      </c>
      <c r="BP33" s="170">
        <f ca="1">IF(OR($D33&lt;&gt;"Serviço",AND(AUTOEVENTO="Manual",$M33=$A$15)),0,
         IF(OFFSET(CRONOPLE!$F$15,$M33-$A$15,BP$13)=0,10^12,OFFSET(CRONOPLE!$F$15,$M33-$A$15,BP$13)))</f>
        <v>0</v>
      </c>
      <c r="BQ33" s="170">
        <f ca="1">IF(OR($D33&lt;&gt;"Serviço",AND(AUTOEVENTO="Manual",$M33=$A$15)),0,
         IF(OFFSET(CRONOPLE!$F$15,$M33-$A$15,BQ$13)=0,10^12,OFFSET(CRONOPLE!$F$15,$M33-$A$15,BQ$13)))</f>
        <v>0</v>
      </c>
      <c r="BR33" s="170">
        <f ca="1">IF(OR($D33&lt;&gt;"Serviço",AND(AUTOEVENTO="Manual",$M33=$A$15)),0,
         IF(OFFSET(CRONOPLE!$F$15,$M33-$A$15,BR$13)=0,10^12,OFFSET(CRONOPLE!$F$15,$M33-$A$15,BR$13)))</f>
        <v>0</v>
      </c>
      <c r="BS33" s="170">
        <f ca="1">IF(OR($D33&lt;&gt;"Serviço",AND(AUTOEVENTO="Manual",$M33=$A$15)),0,
         IF(OFFSET(CRONOPLE!$F$15,$M33-$A$15,BS$13)=0,10^12,OFFSET(CRONOPLE!$F$15,$M33-$A$15,BS$13)))</f>
        <v>0</v>
      </c>
      <c r="BT33" s="170">
        <f ca="1">IF(OR($D33&lt;&gt;"Serviço",AND(AUTOEVENTO="Manual",$M33=$A$15)),0,
         IF(OFFSET(CRONOPLE!$F$15,$M33-$A$15,BT$13)=0,10^12,OFFSET(CRONOPLE!$F$15,$M33-$A$15,BT$13)))</f>
        <v>0</v>
      </c>
      <c r="BV33" s="171" cm="1">
        <f t="array" aca="1" ref="BV33" ca="1">IF(OR($D33&lt;&gt;"Serviço",AND(AUTOEVENTO="Manual",$M33=$A$15),$M33&gt;(ROW(PLE.lastrow)-ROW(PLE.firstrow))),0,
           IF(OFFSET(PLE!$G$15,$M33-$A$15,BV$13)="",10^12,OFFSET(PLE!$G$15,$M33-$A$15,BV$13)))</f>
        <v>0</v>
      </c>
      <c r="BW33" s="171" cm="1">
        <f t="array" aca="1" ref="BW33" ca="1">IF(OR($D33&lt;&gt;"Serviço",AND(AUTOEVENTO="Manual",$M33=$A$15),$M33&gt;(ROW(PLE.lastrow)-ROW(PLE.firstrow))),0,
           IF(OFFSET(PLE!$G$15,$M33-$A$15,BW$13)="",10^12,OFFSET(PLE!$G$15,$M33-$A$15,BW$13)))</f>
        <v>0</v>
      </c>
      <c r="BX33" s="171" cm="1">
        <f t="array" aca="1" ref="BX33" ca="1">IF(OR($D33&lt;&gt;"Serviço",AND(AUTOEVENTO="Manual",$M33=$A$15),$M33&gt;(ROW(PLE.lastrow)-ROW(PLE.firstrow))),0,
           IF(OFFSET(PLE!$G$15,$M33-$A$15,BX$13)="",10^12,OFFSET(PLE!$G$15,$M33-$A$15,BX$13)))</f>
        <v>0</v>
      </c>
      <c r="BY33" s="171" cm="1">
        <f t="array" aca="1" ref="BY33" ca="1">IF(OR($D33&lt;&gt;"Serviço",AND(AUTOEVENTO="Manual",$M33=$A$15),$M33&gt;(ROW(PLE.lastrow)-ROW(PLE.firstrow))),0,
           IF(OFFSET(PLE!$G$15,$M33-$A$15,BY$13)="",10^12,OFFSET(PLE!$G$15,$M33-$A$15,BY$13)))</f>
        <v>0</v>
      </c>
      <c r="BZ33" s="171" cm="1">
        <f t="array" aca="1" ref="BZ33" ca="1">IF(OR($D33&lt;&gt;"Serviço",AND(AUTOEVENTO="Manual",$M33=$A$15),$M33&gt;(ROW(PLE.lastrow)-ROW(PLE.firstrow))),0,
           IF(OFFSET(PLE!$G$15,$M33-$A$15,BZ$13)="",10^12,OFFSET(PLE!$G$15,$M33-$A$15,BZ$13)))</f>
        <v>0</v>
      </c>
      <c r="CA33" s="171" cm="1">
        <f t="array" aca="1" ref="CA33" ca="1">IF(OR($D33&lt;&gt;"Serviço",AND(AUTOEVENTO="Manual",$M33=$A$15),$M33&gt;(ROW(PLE.lastrow)-ROW(PLE.firstrow))),0,
           IF(OFFSET(PLE!$G$15,$M33-$A$15,CA$13)="",10^12,OFFSET(PLE!$G$15,$M33-$A$15,CA$13)))</f>
        <v>0</v>
      </c>
      <c r="CB33" s="171" cm="1">
        <f t="array" aca="1" ref="CB33" ca="1">IF(OR($D33&lt;&gt;"Serviço",AND(AUTOEVENTO="Manual",$M33=$A$15),$M33&gt;(ROW(PLE.lastrow)-ROW(PLE.firstrow))),0,
           IF(OFFSET(PLE!$G$15,$M33-$A$15,CB$13)="",10^12,OFFSET(PLE!$G$15,$M33-$A$15,CB$13)))</f>
        <v>0</v>
      </c>
      <c r="CC33" s="171" cm="1">
        <f t="array" aca="1" ref="CC33" ca="1">IF(OR($D33&lt;&gt;"Serviço",AND(AUTOEVENTO="Manual",$M33=$A$15),$M33&gt;(ROW(PLE.lastrow)-ROW(PLE.firstrow))),0,
           IF(OFFSET(PLE!$G$15,$M33-$A$15,CC$13)="",10^12,OFFSET(PLE!$G$15,$M33-$A$15,CC$13)))</f>
        <v>0</v>
      </c>
      <c r="CD33" s="171" cm="1">
        <f t="array" aca="1" ref="CD33" ca="1">IF(OR($D33&lt;&gt;"Serviço",AND(AUTOEVENTO="Manual",$M33=$A$15),$M33&gt;(ROW(PLE.lastrow)-ROW(PLE.firstrow))),0,
           IF(OFFSET(PLE!$G$15,$M33-$A$15,CD$13)="",10^12,OFFSET(PLE!$G$15,$M33-$A$15,CD$13)))</f>
        <v>0</v>
      </c>
      <c r="CE33" s="171" cm="1">
        <f t="array" aca="1" ref="CE33" ca="1">IF(OR($D33&lt;&gt;"Serviço",AND(AUTOEVENTO="Manual",$M33=$A$15),$M33&gt;(ROW(PLE.lastrow)-ROW(PLE.firstrow))),0,
           IF(OFFSET(PLE!$G$15,$M33-$A$15,CE$13)="",10^12,OFFSET(PLE!$G$15,$M33-$A$15,CE$13)))</f>
        <v>0</v>
      </c>
      <c r="CF33" s="171" cm="1">
        <f t="array" aca="1" ref="CF33" ca="1">IF(OR($D33&lt;&gt;"Serviço",AND(AUTOEVENTO="Manual",$M33=$A$15),$M33&gt;(ROW(PLE.lastrow)-ROW(PLE.firstrow))),0,
           IF(OFFSET(PLE!$G$15,$M33-$A$15,CF$13)="",10^12,OFFSET(PLE!$G$15,$M33-$A$15,CF$13)))</f>
        <v>0</v>
      </c>
      <c r="CG33" s="171" cm="1">
        <f t="array" aca="1" ref="CG33" ca="1">IF(OR($D33&lt;&gt;"Serviço",AND(AUTOEVENTO="Manual",$M33=$A$15),$M33&gt;(ROW(PLE.lastrow)-ROW(PLE.firstrow))),0,
           IF(OFFSET(PLE!$G$15,$M33-$A$15,CG$13)="",10^12,OFFSET(PLE!$G$15,$M33-$A$15,CG$13)))</f>
        <v>0</v>
      </c>
      <c r="CH33" s="171" cm="1">
        <f t="array" aca="1" ref="CH33" ca="1">IF(OR($D33&lt;&gt;"Serviço",AND(AUTOEVENTO="Manual",$M33=$A$15),$M33&gt;(ROW(PLE.lastrow)-ROW(PLE.firstrow))),0,
           IF(OFFSET(PLE!$G$15,$M33-$A$15,CH$13)="",10^12,OFFSET(PLE!$G$15,$M33-$A$15,CH$13)))</f>
        <v>0</v>
      </c>
      <c r="CI33" s="171" cm="1">
        <f t="array" aca="1" ref="CI33" ca="1">IF(OR($D33&lt;&gt;"Serviço",AND(AUTOEVENTO="Manual",$M33=$A$15),$M33&gt;(ROW(PLE.lastrow)-ROW(PLE.firstrow))),0,
           IF(OFFSET(PLE!$G$15,$M33-$A$15,CI$13)="",10^12,OFFSET(PLE!$G$15,$M33-$A$15,CI$13)))</f>
        <v>0</v>
      </c>
      <c r="CJ33" s="171" cm="1">
        <f t="array" aca="1" ref="CJ33" ca="1">IF(OR($D33&lt;&gt;"Serviço",AND(AUTOEVENTO="Manual",$M33=$A$15),$M33&gt;(ROW(PLE.lastrow)-ROW(PLE.firstrow))),0,
           IF(OFFSET(PLE!$G$15,$M33-$A$15,CJ$13)="",10^12,OFFSET(PLE!$G$15,$M33-$A$15,CJ$13)))</f>
        <v>0</v>
      </c>
      <c r="CK33" s="171" cm="1">
        <f t="array" aca="1" ref="CK33" ca="1">IF(OR($D33&lt;&gt;"Serviço",AND(AUTOEVENTO="Manual",$M33=$A$15),$M33&gt;(ROW(PLE.lastrow)-ROW(PLE.firstrow))),0,
           IF(OFFSET(PLE!$G$15,$M33-$A$15,CK$13)="",10^12,OFFSET(PLE!$G$15,$M33-$A$15,CK$13)))</f>
        <v>0</v>
      </c>
      <c r="CL33" s="171" cm="1">
        <f t="array" aca="1" ref="CL33" ca="1">IF(OR($D33&lt;&gt;"Serviço",AND(AUTOEVENTO="Manual",$M33=$A$15),$M33&gt;(ROW(PLE.lastrow)-ROW(PLE.firstrow))),0,
           IF(OFFSET(PLE!$G$15,$M33-$A$15,CL$13)="",10^12,OFFSET(PLE!$G$15,$M33-$A$15,CL$13)))</f>
        <v>0</v>
      </c>
      <c r="CM33" s="171" cm="1">
        <f t="array" aca="1" ref="CM33" ca="1">IF(OR($D33&lt;&gt;"Serviço",AND(AUTOEVENTO="Manual",$M33=$A$15),$M33&gt;(ROW(PLE.lastrow)-ROW(PLE.firstrow))),0,
           IF(OFFSET(PLE!$G$15,$M33-$A$15,CM$13)="",10^12,OFFSET(PLE!$G$15,$M33-$A$15,CM$13)))</f>
        <v>0</v>
      </c>
    </row>
    <row r="34" spans="1:91" ht="38.25" x14ac:dyDescent="0.2">
      <c r="A34" s="7" t="str">
        <f t="shared" ca="1" si="10"/>
        <v>18</v>
      </c>
      <c r="B34" s="7" t="str">
        <f ca="1">OFFSET(ORÇAMENTO!C$15,$L34,0)</f>
        <v>S</v>
      </c>
      <c r="C34" s="7" t="str">
        <f ca="1">OFFSET(ORÇAMENTO!L$15,$L34,0)</f>
        <v>F</v>
      </c>
      <c r="D34" s="115" t="str">
        <f ca="1">OFFSET(ORÇAMENTO!N$15,$L34,0)</f>
        <v>Serviço</v>
      </c>
      <c r="E34" s="116" t="str">
        <f ca="1">OFFSET(ORÇAMENTO!O$15,$L34,0)</f>
        <v>1.4.1.</v>
      </c>
      <c r="F34" s="162" t="str">
        <f ca="1">OFFSET(ORÇAMENTO!R$15,$L34,0)</f>
        <v>PINTURA DE FAIXA DE PEDESTRE OU ZEBRADA COM TINTA RETRORREFLETIVA À BASE DE RESINA ACRÍLICA COM MICROESFERAS DE VIDRO, E = 40 CM</v>
      </c>
      <c r="G34" s="163" t="str">
        <f ca="1">IF($D34&lt;&gt;"Serviço","",OFFSET(ORÇAMENTO!S$15,$L34,0))</f>
        <v>M2</v>
      </c>
      <c r="H34" s="121" cm="1">
        <f t="array" aca="1" ref="H34" ca="1">IF($D34&lt;&gt;"Serviço",0,IF(ACOMPANHAMENTO="BM",ROUND(OFFSET(ORÇAMENTO!AJ$15,$L34,0),15-13*ORÇAMENTO!$AF$7),IF(IFERROR(CÁLCULO.FrentesPreenchidas,0)=0,0,SUM(ROUND(OFFSET($P34,0,1,1,CÁLCULO.FrentesPreenchidas),15-13*ORÇAMENTO!$AF$7)))))</f>
        <v>1767.7</v>
      </c>
      <c r="I34" s="467"/>
      <c r="J34" s="650" t="str" cm="1">
        <f t="array" aca="1" ref="J34" ca="1">IF(OR(B34&lt;&gt;"S",CÁLCULO.FrentesPreenchidas=0),"",IF(AND(ACOMPANHAMENTO="PLE",AUTOEVENTO="Manual",OR(H34&gt;0,ORÇAMENTO!AC34="QUANT."),OR(K34="",M34=0,N34="")),"►E",IF(AND(ACOMPANHAMENTO="PLE",ORÇAMENTO!AC34="QUANT."),"►Q",IF(AND(ACOMPANHAMENTO="PLE",H34&lt;&gt;SUMPRODUCT(($Q$1:$AI$1=1)*ROUND(Q34:AI34,15))),"►S",IF(AND(COUNTIF($P$11:$AI$11,"▼")=0,H34&gt;0,I34=""),"◄M","")))))</f>
        <v>◄M</v>
      </c>
      <c r="K34" s="651"/>
      <c r="L34" s="164">
        <f t="shared" ca="1" si="11"/>
        <v>19</v>
      </c>
      <c r="M34" s="165">
        <f ca="1">IF($D34&lt;&gt;"Serviço","",
          IF(AUTOEVENTO="manual",$A34,
                IF(ISERROR(MATCH($A34,$A$15:OFFSET($A34,-1,0),0)),MAX($M$15:OFFSET(M34,-1,0))+1,
                      INDEX($M$15:OFFSET(M34,-1,0),MATCH($A34,$A$15:OFFSET($A34,-1,0),0)))))</f>
        <v>4</v>
      </c>
      <c r="N34" s="166" t="str">
        <f ca="1">IF($D34&lt;&gt;"Serviço","",
         IF(AUTOEVENTO="Manual",
                IF($A34=0,"&lt;-- defina o número do agrupador",
                       OFFSET(EVENTOS!$D$15,$A34-$A$15,0)),
                OFFSET($F$15,$A34,0)))</f>
        <v>Sinalização</v>
      </c>
      <c r="O34" s="167"/>
      <c r="Q34" s="167">
        <v>48.31</v>
      </c>
      <c r="R34" s="168">
        <v>260.92</v>
      </c>
      <c r="S34" s="168">
        <v>64.91</v>
      </c>
      <c r="T34" s="168">
        <v>33.119999999999997</v>
      </c>
      <c r="U34" s="168">
        <v>36.840000000000003</v>
      </c>
      <c r="V34" s="168">
        <v>96.74</v>
      </c>
      <c r="W34" s="168">
        <v>266.3</v>
      </c>
      <c r="X34" s="168">
        <v>320.83999999999997</v>
      </c>
      <c r="Y34" s="168">
        <v>83.54</v>
      </c>
      <c r="Z34" s="169">
        <v>26.43</v>
      </c>
      <c r="AA34" s="168">
        <v>87.07</v>
      </c>
      <c r="AB34" s="168">
        <v>386.16</v>
      </c>
      <c r="AC34" s="168">
        <v>56.52</v>
      </c>
      <c r="AD34" s="168"/>
      <c r="AE34" s="168"/>
      <c r="AF34" s="168"/>
      <c r="AG34" s="168"/>
      <c r="AH34" s="169"/>
      <c r="AJ34" s="452">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1288.9100000000001</v>
      </c>
      <c r="AK34" s="452">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6961.35</v>
      </c>
      <c r="AL34" s="452">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1731.8</v>
      </c>
      <c r="AM34" s="452">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883.64</v>
      </c>
      <c r="AN34" s="452">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982.89</v>
      </c>
      <c r="AO34" s="452">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2581.02</v>
      </c>
      <c r="AP34" s="452">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7104.88</v>
      </c>
      <c r="AQ34" s="452">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8560.01</v>
      </c>
      <c r="AR34" s="452">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2228.85</v>
      </c>
      <c r="AS34" s="452">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705.15</v>
      </c>
      <c r="AT34" s="452">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2323.0300000000002</v>
      </c>
      <c r="AU34" s="452">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10302.75</v>
      </c>
      <c r="AV34" s="452">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1507.95</v>
      </c>
      <c r="AW34" s="452">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2">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2">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2">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2">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0">
        <f ca="1">IF(OR($D34&lt;&gt;"Serviço",AND(AUTOEVENTO="Manual",$M34=$A$15)),0,
         IF(OFFSET(CRONOPLE!$F$15,$M34-$A$15,BC$13)=0,10^12,OFFSET(CRONOPLE!$F$15,$M34-$A$15,BC$13)))</f>
        <v>1</v>
      </c>
      <c r="BD34" s="170">
        <f ca="1">IF(OR($D34&lt;&gt;"Serviço",AND(AUTOEVENTO="Manual",$M34=$A$15)),0,
         IF(OFFSET(CRONOPLE!$F$15,$M34-$A$15,BD$13)=0,10^12,OFFSET(CRONOPLE!$F$15,$M34-$A$15,BD$13)))</f>
        <v>1</v>
      </c>
      <c r="BE34" s="170">
        <f ca="1">IF(OR($D34&lt;&gt;"Serviço",AND(AUTOEVENTO="Manual",$M34=$A$15)),0,
         IF(OFFSET(CRONOPLE!$F$15,$M34-$A$15,BE$13)=0,10^12,OFFSET(CRONOPLE!$F$15,$M34-$A$15,BE$13)))</f>
        <v>1</v>
      </c>
      <c r="BF34" s="170">
        <f ca="1">IF(OR($D34&lt;&gt;"Serviço",AND(AUTOEVENTO="Manual",$M34=$A$15)),0,
         IF(OFFSET(CRONOPLE!$F$15,$M34-$A$15,BF$13)=0,10^12,OFFSET(CRONOPLE!$F$15,$M34-$A$15,BF$13)))</f>
        <v>2</v>
      </c>
      <c r="BG34" s="170">
        <f ca="1">IF(OR($D34&lt;&gt;"Serviço",AND(AUTOEVENTO="Manual",$M34=$A$15)),0,
         IF(OFFSET(CRONOPLE!$F$15,$M34-$A$15,BG$13)=0,10^12,OFFSET(CRONOPLE!$F$15,$M34-$A$15,BG$13)))</f>
        <v>2</v>
      </c>
      <c r="BH34" s="170">
        <f ca="1">IF(OR($D34&lt;&gt;"Serviço",AND(AUTOEVENTO="Manual",$M34=$A$15)),0,
         IF(OFFSET(CRONOPLE!$F$15,$M34-$A$15,BH$13)=0,10^12,OFFSET(CRONOPLE!$F$15,$M34-$A$15,BH$13)))</f>
        <v>2</v>
      </c>
      <c r="BI34" s="170">
        <f ca="1">IF(OR($D34&lt;&gt;"Serviço",AND(AUTOEVENTO="Manual",$M34=$A$15)),0,
         IF(OFFSET(CRONOPLE!$F$15,$M34-$A$15,BI$13)=0,10^12,OFFSET(CRONOPLE!$F$15,$M34-$A$15,BI$13)))</f>
        <v>2</v>
      </c>
      <c r="BJ34" s="170">
        <f ca="1">IF(OR($D34&lt;&gt;"Serviço",AND(AUTOEVENTO="Manual",$M34=$A$15)),0,
         IF(OFFSET(CRONOPLE!$F$15,$M34-$A$15,BJ$13)=0,10^12,OFFSET(CRONOPLE!$F$15,$M34-$A$15,BJ$13)))</f>
        <v>3</v>
      </c>
      <c r="BK34" s="170">
        <f ca="1">IF(OR($D34&lt;&gt;"Serviço",AND(AUTOEVENTO="Manual",$M34=$A$15)),0,
         IF(OFFSET(CRONOPLE!$F$15,$M34-$A$15,BK$13)=0,10^12,OFFSET(CRONOPLE!$F$15,$M34-$A$15,BK$13)))</f>
        <v>3</v>
      </c>
      <c r="BL34" s="170">
        <f ca="1">IF(OR($D34&lt;&gt;"Serviço",AND(AUTOEVENTO="Manual",$M34=$A$15)),0,
         IF(OFFSET(CRONOPLE!$F$15,$M34-$A$15,BL$13)=0,10^12,OFFSET(CRONOPLE!$F$15,$M34-$A$15,BL$13)))</f>
        <v>3</v>
      </c>
      <c r="BM34" s="170">
        <f ca="1">IF(OR($D34&lt;&gt;"Serviço",AND(AUTOEVENTO="Manual",$M34=$A$15)),0,
         IF(OFFSET(CRONOPLE!$F$15,$M34-$A$15,BM$13)=0,10^12,OFFSET(CRONOPLE!$F$15,$M34-$A$15,BM$13)))</f>
        <v>4</v>
      </c>
      <c r="BN34" s="170">
        <f ca="1">IF(OR($D34&lt;&gt;"Serviço",AND(AUTOEVENTO="Manual",$M34=$A$15)),0,
         IF(OFFSET(CRONOPLE!$F$15,$M34-$A$15,BN$13)=0,10^12,OFFSET(CRONOPLE!$F$15,$M34-$A$15,BN$13)))</f>
        <v>5</v>
      </c>
      <c r="BO34" s="170">
        <f ca="1">IF(OR($D34&lt;&gt;"Serviço",AND(AUTOEVENTO="Manual",$M34=$A$15)),0,
         IF(OFFSET(CRONOPLE!$F$15,$M34-$A$15,BO$13)=0,10^12,OFFSET(CRONOPLE!$F$15,$M34-$A$15,BO$13)))</f>
        <v>5</v>
      </c>
      <c r="BP34" s="170">
        <f ca="1">IF(OR($D34&lt;&gt;"Serviço",AND(AUTOEVENTO="Manual",$M34=$A$15)),0,
         IF(OFFSET(CRONOPLE!$F$15,$M34-$A$15,BP$13)=0,10^12,OFFSET(CRONOPLE!$F$15,$M34-$A$15,BP$13)))</f>
        <v>1000000000000</v>
      </c>
      <c r="BQ34" s="170">
        <f ca="1">IF(OR($D34&lt;&gt;"Serviço",AND(AUTOEVENTO="Manual",$M34=$A$15)),0,
         IF(OFFSET(CRONOPLE!$F$15,$M34-$A$15,BQ$13)=0,10^12,OFFSET(CRONOPLE!$F$15,$M34-$A$15,BQ$13)))</f>
        <v>1000000000000</v>
      </c>
      <c r="BR34" s="170">
        <f ca="1">IF(OR($D34&lt;&gt;"Serviço",AND(AUTOEVENTO="Manual",$M34=$A$15)),0,
         IF(OFFSET(CRONOPLE!$F$15,$M34-$A$15,BR$13)=0,10^12,OFFSET(CRONOPLE!$F$15,$M34-$A$15,BR$13)))</f>
        <v>1000000000000</v>
      </c>
      <c r="BS34" s="170">
        <f ca="1">IF(OR($D34&lt;&gt;"Serviço",AND(AUTOEVENTO="Manual",$M34=$A$15)),0,
         IF(OFFSET(CRONOPLE!$F$15,$M34-$A$15,BS$13)=0,10^12,OFFSET(CRONOPLE!$F$15,$M34-$A$15,BS$13)))</f>
        <v>1000000000000</v>
      </c>
      <c r="BT34" s="170">
        <f ca="1">IF(OR($D34&lt;&gt;"Serviço",AND(AUTOEVENTO="Manual",$M34=$A$15)),0,
         IF(OFFSET(CRONOPLE!$F$15,$M34-$A$15,BT$13)=0,10^12,OFFSET(CRONOPLE!$F$15,$M34-$A$15,BT$13)))</f>
        <v>1000000000000</v>
      </c>
      <c r="BV34" s="171" cm="1">
        <f t="array" aca="1" ref="BV34" ca="1">IF(OR($D34&lt;&gt;"Serviço",AND(AUTOEVENTO="Manual",$M34=$A$15),$M34&gt;(ROW(PLE.lastrow)-ROW(PLE.firstrow))),0,
           IF(OFFSET(PLE!$G$15,$M34-$A$15,BV$13)="",10^12,OFFSET(PLE!$G$15,$M34-$A$15,BV$13)))</f>
        <v>1000000000000</v>
      </c>
      <c r="BW34" s="171" cm="1">
        <f t="array" aca="1" ref="BW34" ca="1">IF(OR($D34&lt;&gt;"Serviço",AND(AUTOEVENTO="Manual",$M34=$A$15),$M34&gt;(ROW(PLE.lastrow)-ROW(PLE.firstrow))),0,
           IF(OFFSET(PLE!$G$15,$M34-$A$15,BW$13)="",10^12,OFFSET(PLE!$G$15,$M34-$A$15,BW$13)))</f>
        <v>1000000000000</v>
      </c>
      <c r="BX34" s="171" cm="1">
        <f t="array" aca="1" ref="BX34" ca="1">IF(OR($D34&lt;&gt;"Serviço",AND(AUTOEVENTO="Manual",$M34=$A$15),$M34&gt;(ROW(PLE.lastrow)-ROW(PLE.firstrow))),0,
           IF(OFFSET(PLE!$G$15,$M34-$A$15,BX$13)="",10^12,OFFSET(PLE!$G$15,$M34-$A$15,BX$13)))</f>
        <v>1000000000000</v>
      </c>
      <c r="BY34" s="171" cm="1">
        <f t="array" aca="1" ref="BY34" ca="1">IF(OR($D34&lt;&gt;"Serviço",AND(AUTOEVENTO="Manual",$M34=$A$15),$M34&gt;(ROW(PLE.lastrow)-ROW(PLE.firstrow))),0,
           IF(OFFSET(PLE!$G$15,$M34-$A$15,BY$13)="",10^12,OFFSET(PLE!$G$15,$M34-$A$15,BY$13)))</f>
        <v>1000000000000</v>
      </c>
      <c r="BZ34" s="171" cm="1">
        <f t="array" aca="1" ref="BZ34" ca="1">IF(OR($D34&lt;&gt;"Serviço",AND(AUTOEVENTO="Manual",$M34=$A$15),$M34&gt;(ROW(PLE.lastrow)-ROW(PLE.firstrow))),0,
           IF(OFFSET(PLE!$G$15,$M34-$A$15,BZ$13)="",10^12,OFFSET(PLE!$G$15,$M34-$A$15,BZ$13)))</f>
        <v>1000000000000</v>
      </c>
      <c r="CA34" s="171" cm="1">
        <f t="array" aca="1" ref="CA34" ca="1">IF(OR($D34&lt;&gt;"Serviço",AND(AUTOEVENTO="Manual",$M34=$A$15),$M34&gt;(ROW(PLE.lastrow)-ROW(PLE.firstrow))),0,
           IF(OFFSET(PLE!$G$15,$M34-$A$15,CA$13)="",10^12,OFFSET(PLE!$G$15,$M34-$A$15,CA$13)))</f>
        <v>1000000000000</v>
      </c>
      <c r="CB34" s="171" cm="1">
        <f t="array" aca="1" ref="CB34" ca="1">IF(OR($D34&lt;&gt;"Serviço",AND(AUTOEVENTO="Manual",$M34=$A$15),$M34&gt;(ROW(PLE.lastrow)-ROW(PLE.firstrow))),0,
           IF(OFFSET(PLE!$G$15,$M34-$A$15,CB$13)="",10^12,OFFSET(PLE!$G$15,$M34-$A$15,CB$13)))</f>
        <v>1000000000000</v>
      </c>
      <c r="CC34" s="171" cm="1">
        <f t="array" aca="1" ref="CC34" ca="1">IF(OR($D34&lt;&gt;"Serviço",AND(AUTOEVENTO="Manual",$M34=$A$15),$M34&gt;(ROW(PLE.lastrow)-ROW(PLE.firstrow))),0,
           IF(OFFSET(PLE!$G$15,$M34-$A$15,CC$13)="",10^12,OFFSET(PLE!$G$15,$M34-$A$15,CC$13)))</f>
        <v>1000000000000</v>
      </c>
      <c r="CD34" s="171" cm="1">
        <f t="array" aca="1" ref="CD34" ca="1">IF(OR($D34&lt;&gt;"Serviço",AND(AUTOEVENTO="Manual",$M34=$A$15),$M34&gt;(ROW(PLE.lastrow)-ROW(PLE.firstrow))),0,
           IF(OFFSET(PLE!$G$15,$M34-$A$15,CD$13)="",10^12,OFFSET(PLE!$G$15,$M34-$A$15,CD$13)))</f>
        <v>1000000000000</v>
      </c>
      <c r="CE34" s="171" cm="1">
        <f t="array" aca="1" ref="CE34" ca="1">IF(OR($D34&lt;&gt;"Serviço",AND(AUTOEVENTO="Manual",$M34=$A$15),$M34&gt;(ROW(PLE.lastrow)-ROW(PLE.firstrow))),0,
           IF(OFFSET(PLE!$G$15,$M34-$A$15,CE$13)="",10^12,OFFSET(PLE!$G$15,$M34-$A$15,CE$13)))</f>
        <v>1000000000000</v>
      </c>
      <c r="CF34" s="171" cm="1">
        <f t="array" aca="1" ref="CF34" ca="1">IF(OR($D34&lt;&gt;"Serviço",AND(AUTOEVENTO="Manual",$M34=$A$15),$M34&gt;(ROW(PLE.lastrow)-ROW(PLE.firstrow))),0,
           IF(OFFSET(PLE!$G$15,$M34-$A$15,CF$13)="",10^12,OFFSET(PLE!$G$15,$M34-$A$15,CF$13)))</f>
        <v>1000000000000</v>
      </c>
      <c r="CG34" s="171" cm="1">
        <f t="array" aca="1" ref="CG34" ca="1">IF(OR($D34&lt;&gt;"Serviço",AND(AUTOEVENTO="Manual",$M34=$A$15),$M34&gt;(ROW(PLE.lastrow)-ROW(PLE.firstrow))),0,
           IF(OFFSET(PLE!$G$15,$M34-$A$15,CG$13)="",10^12,OFFSET(PLE!$G$15,$M34-$A$15,CG$13)))</f>
        <v>1000000000000</v>
      </c>
      <c r="CH34" s="171" cm="1">
        <f t="array" aca="1" ref="CH34" ca="1">IF(OR($D34&lt;&gt;"Serviço",AND(AUTOEVENTO="Manual",$M34=$A$15),$M34&gt;(ROW(PLE.lastrow)-ROW(PLE.firstrow))),0,
           IF(OFFSET(PLE!$G$15,$M34-$A$15,CH$13)="",10^12,OFFSET(PLE!$G$15,$M34-$A$15,CH$13)))</f>
        <v>1000000000000</v>
      </c>
      <c r="CI34" s="171" cm="1">
        <f t="array" aca="1" ref="CI34" ca="1">IF(OR($D34&lt;&gt;"Serviço",AND(AUTOEVENTO="Manual",$M34=$A$15),$M34&gt;(ROW(PLE.lastrow)-ROW(PLE.firstrow))),0,
           IF(OFFSET(PLE!$G$15,$M34-$A$15,CI$13)="",10^12,OFFSET(PLE!$G$15,$M34-$A$15,CI$13)))</f>
        <v>1000000000000</v>
      </c>
      <c r="CJ34" s="171" cm="1">
        <f t="array" aca="1" ref="CJ34" ca="1">IF(OR($D34&lt;&gt;"Serviço",AND(AUTOEVENTO="Manual",$M34=$A$15),$M34&gt;(ROW(PLE.lastrow)-ROW(PLE.firstrow))),0,
           IF(OFFSET(PLE!$G$15,$M34-$A$15,CJ$13)="",10^12,OFFSET(PLE!$G$15,$M34-$A$15,CJ$13)))</f>
        <v>1000000000000</v>
      </c>
      <c r="CK34" s="171" cm="1">
        <f t="array" aca="1" ref="CK34" ca="1">IF(OR($D34&lt;&gt;"Serviço",AND(AUTOEVENTO="Manual",$M34=$A$15),$M34&gt;(ROW(PLE.lastrow)-ROW(PLE.firstrow))),0,
           IF(OFFSET(PLE!$G$15,$M34-$A$15,CK$13)="",10^12,OFFSET(PLE!$G$15,$M34-$A$15,CK$13)))</f>
        <v>1000000000000</v>
      </c>
      <c r="CL34" s="171" cm="1">
        <f t="array" aca="1" ref="CL34" ca="1">IF(OR($D34&lt;&gt;"Serviço",AND(AUTOEVENTO="Manual",$M34=$A$15),$M34&gt;(ROW(PLE.lastrow)-ROW(PLE.firstrow))),0,
           IF(OFFSET(PLE!$G$15,$M34-$A$15,CL$13)="",10^12,OFFSET(PLE!$G$15,$M34-$A$15,CL$13)))</f>
        <v>1000000000000</v>
      </c>
      <c r="CM34" s="171" cm="1">
        <f t="array" aca="1" ref="CM34" ca="1">IF(OR($D34&lt;&gt;"Serviço",AND(AUTOEVENTO="Manual",$M34=$A$15),$M34&gt;(ROW(PLE.lastrow)-ROW(PLE.firstrow))),0,
           IF(OFFSET(PLE!$G$15,$M34-$A$15,CM$13)="",10^12,OFFSET(PLE!$G$15,$M34-$A$15,CM$13)))</f>
        <v>1000000000000</v>
      </c>
    </row>
    <row r="35" spans="1:91" ht="5.0999999999999996" customHeight="1" x14ac:dyDescent="0.2">
      <c r="B35" s="7">
        <f ca="1">OFFSET(ORÇAMENTO!C$15,ROW(B35)-ROW(B$15),0)</f>
        <v>-1</v>
      </c>
      <c r="C35" s="7" t="str">
        <f ca="1">OFFSET(ORÇAMENTO!L$15,ROW(C35)-ROW(C$15),0)</f>
        <v>F</v>
      </c>
      <c r="D35" s="633" t="s">
        <v>700</v>
      </c>
      <c r="E35" s="617"/>
      <c r="F35" s="618"/>
      <c r="G35" s="618"/>
      <c r="H35" s="618"/>
      <c r="I35" s="418"/>
      <c r="K35" s="568"/>
      <c r="L35" s="164">
        <f t="shared" ref="L35" ca="1" si="14">OFFSET(L35,-1,0)+1</f>
        <v>20</v>
      </c>
      <c r="M35" s="420"/>
      <c r="N35" s="419"/>
      <c r="O35" s="634"/>
      <c r="Q35" s="617"/>
      <c r="R35" s="618"/>
      <c r="S35" s="618"/>
      <c r="T35" s="618"/>
      <c r="U35" s="618"/>
      <c r="V35" s="618"/>
      <c r="W35" s="618"/>
      <c r="X35" s="618"/>
      <c r="Y35" s="618"/>
      <c r="Z35" s="418"/>
      <c r="AA35" s="618"/>
      <c r="AB35" s="618"/>
      <c r="AC35" s="618"/>
      <c r="AD35" s="618"/>
      <c r="AE35" s="618"/>
      <c r="AF35" s="618"/>
      <c r="AG35" s="618"/>
      <c r="AH35" s="418"/>
      <c r="AJ35" s="635"/>
      <c r="AK35" s="636"/>
      <c r="AL35" s="636"/>
      <c r="AM35" s="636"/>
      <c r="AN35" s="636"/>
      <c r="AO35" s="636"/>
      <c r="AP35" s="636"/>
      <c r="AQ35" s="636"/>
      <c r="AR35" s="636"/>
      <c r="AS35" s="132"/>
      <c r="AT35" s="636"/>
      <c r="AU35" s="636"/>
      <c r="AV35" s="636"/>
      <c r="AW35" s="636"/>
      <c r="AX35" s="636"/>
      <c r="AY35" s="636"/>
      <c r="AZ35" s="636"/>
      <c r="BA35" s="132"/>
      <c r="BC35" s="635"/>
      <c r="BD35" s="636"/>
      <c r="BE35" s="636"/>
      <c r="BF35" s="636"/>
      <c r="BG35" s="636"/>
      <c r="BH35" s="636"/>
      <c r="BI35" s="636"/>
      <c r="BJ35" s="636"/>
      <c r="BK35" s="636"/>
      <c r="BL35" s="132"/>
      <c r="BM35" s="636"/>
      <c r="BN35" s="636"/>
      <c r="BO35" s="636"/>
      <c r="BP35" s="636"/>
      <c r="BQ35" s="636"/>
      <c r="BR35" s="636"/>
      <c r="BS35" s="636"/>
      <c r="BT35" s="132"/>
      <c r="BV35" s="635"/>
      <c r="BW35" s="636"/>
      <c r="BX35" s="636"/>
      <c r="BY35" s="636"/>
      <c r="BZ35" s="636"/>
      <c r="CA35" s="636"/>
      <c r="CB35" s="636"/>
      <c r="CC35" s="636"/>
      <c r="CD35" s="636"/>
      <c r="CE35" s="132"/>
      <c r="CF35" s="636"/>
      <c r="CG35" s="636"/>
      <c r="CH35" s="636"/>
      <c r="CI35" s="636"/>
      <c r="CJ35" s="636"/>
      <c r="CK35" s="636"/>
      <c r="CL35" s="636"/>
      <c r="CM35" s="132"/>
    </row>
    <row r="36" spans="1:91" ht="12.75" customHeight="1" x14ac:dyDescent="0.2"/>
    <row r="37" spans="1:91" ht="12.75" customHeight="1" x14ac:dyDescent="0.2"/>
    <row r="38" spans="1:91" ht="12.75" customHeight="1" x14ac:dyDescent="0.2"/>
    <row r="39" spans="1:91" ht="15" customHeight="1" x14ac:dyDescent="0.2">
      <c r="F39" s="178" t="str">
        <f>Import.Município</f>
        <v>Marialva-PR</v>
      </c>
      <c r="I39" s="459"/>
      <c r="J39" s="459"/>
      <c r="K39" s="459"/>
      <c r="L39" s="459"/>
      <c r="M39" s="460"/>
      <c r="N39" s="416"/>
      <c r="T39" s="138"/>
      <c r="U39" s="138"/>
      <c r="V39" s="179"/>
      <c r="W39" s="179"/>
      <c r="X39" s="179"/>
      <c r="Y39" s="179"/>
      <c r="AB39" s="138"/>
      <c r="AC39" s="138"/>
      <c r="AD39" s="179"/>
      <c r="AE39" s="179"/>
      <c r="AF39" s="179"/>
      <c r="AG39" s="179"/>
    </row>
    <row r="40" spans="1:91" ht="12.75" customHeight="1" x14ac:dyDescent="0.2">
      <c r="F40" s="9" t="s">
        <v>693</v>
      </c>
      <c r="I40" s="180" t="s">
        <v>696</v>
      </c>
      <c r="J40" s="180"/>
      <c r="K40" s="180"/>
      <c r="L40" s="180"/>
      <c r="T40" s="180" t="s">
        <v>696</v>
      </c>
      <c r="U40" s="180"/>
      <c r="AB40" s="180" t="s">
        <v>696</v>
      </c>
      <c r="AC40" s="180"/>
    </row>
    <row r="41" spans="1:91" ht="12.75" customHeight="1" x14ac:dyDescent="0.2">
      <c r="I41" s="397" t="str">
        <f t="array" aca="1" ref="I41:I43" ca="1">OFFSET(Import.RespOrçamento,0,-1) &amp; " " &amp; Import.RespOrçamento</f>
        <v>Nome: Fernando Vinicius Moraes Viana</v>
      </c>
      <c r="K41" s="78"/>
      <c r="L41" s="78"/>
      <c r="T41" s="397" t="str">
        <f t="array" aca="1" ref="T41:T43" ca="1">OFFSET(Import.RespOrçamento,0,-1) &amp; " " &amp; Import.RespOrçamento</f>
        <v>Nome: Fernando Vinicius Moraes Viana</v>
      </c>
      <c r="U41" s="77"/>
      <c r="AB41" s="397" t="str">
        <f t="array" aca="1" ref="AB41:AB43" ca="1">OFFSET(Import.RespOrçamento,0,-1) &amp; " " &amp; Import.RespOrçamento</f>
        <v>Nome: Fernando Vinicius Moraes Viana</v>
      </c>
      <c r="AC41" s="77"/>
    </row>
    <row r="42" spans="1:91" ht="12.75" customHeight="1" x14ac:dyDescent="0.2">
      <c r="F42" s="458">
        <f>DADOS!$C$25</f>
        <v>46295</v>
      </c>
      <c r="I42" s="397" t="str">
        <f ca="1"/>
        <v>CREA/CAU: 144.403/D</v>
      </c>
      <c r="K42" s="78"/>
      <c r="L42" s="78"/>
      <c r="T42" s="397" t="str">
        <f ca="1"/>
        <v>CREA/CAU: 144.403/D</v>
      </c>
      <c r="U42" s="77"/>
      <c r="AB42" s="397" t="str">
        <f ca="1"/>
        <v>CREA/CAU: 144.403/D</v>
      </c>
      <c r="AC42" s="77"/>
    </row>
    <row r="43" spans="1:91" ht="12.75" customHeight="1" x14ac:dyDescent="0.2">
      <c r="F43" s="139" t="s">
        <v>694</v>
      </c>
      <c r="I43" s="397" t="str">
        <f ca="1"/>
        <v>ART/RRT: 1720265939600</v>
      </c>
      <c r="K43" s="78"/>
      <c r="L43" s="78"/>
      <c r="T43" s="397" t="str">
        <f ca="1"/>
        <v>ART/RRT: 1720265939600</v>
      </c>
      <c r="U43" s="77"/>
      <c r="AB43" s="397" t="str">
        <f ca="1"/>
        <v>ART/RRT: 1720265939600</v>
      </c>
      <c r="AC43" s="77"/>
    </row>
    <row r="44" spans="1:91" ht="12.75" customHeight="1" x14ac:dyDescent="0.2">
      <c r="C44"/>
      <c r="M44"/>
    </row>
    <row r="45" spans="1:91" ht="12.75" customHeight="1" x14ac:dyDescent="0.2">
      <c r="C45"/>
      <c r="M45"/>
    </row>
    <row r="46" spans="1:91" ht="12.75" customHeight="1" x14ac:dyDescent="0.2">
      <c r="C46"/>
      <c r="M46"/>
    </row>
    <row r="47" spans="1:91" ht="12.75" customHeight="1" x14ac:dyDescent="0.2">
      <c r="C47"/>
      <c r="M47"/>
    </row>
    <row r="48" spans="1:91"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60947" spans="3:13" ht="12.75" customHeight="1" x14ac:dyDescent="0.2">
      <c r="C60947"/>
      <c r="M60947"/>
    </row>
    <row r="60963" spans="3:13" ht="12.75" customHeight="1" x14ac:dyDescent="0.2">
      <c r="C60963"/>
      <c r="M60963"/>
    </row>
    <row r="60979" spans="3:13" ht="12.75" customHeight="1" x14ac:dyDescent="0.2">
      <c r="C60979"/>
      <c r="M60979"/>
    </row>
    <row r="60995" spans="3:13" ht="12.75" customHeight="1" x14ac:dyDescent="0.2">
      <c r="C60995"/>
      <c r="M60995"/>
    </row>
    <row r="61008" spans="3:13" ht="12.75" customHeight="1" x14ac:dyDescent="0.2">
      <c r="C61008"/>
      <c r="M61008"/>
    </row>
    <row r="61009" spans="3:13" ht="12.75" customHeight="1" x14ac:dyDescent="0.2">
      <c r="C61009"/>
      <c r="M61009"/>
    </row>
    <row r="61011" spans="3:13" ht="12.75" customHeight="1" x14ac:dyDescent="0.2">
      <c r="C61011"/>
      <c r="M61011"/>
    </row>
    <row r="61022" spans="3:13" ht="12.75" customHeight="1" x14ac:dyDescent="0.2">
      <c r="C61022"/>
      <c r="M61022"/>
    </row>
    <row r="61023" spans="3:13" ht="12.75" customHeight="1" x14ac:dyDescent="0.2">
      <c r="C61023"/>
      <c r="M61023"/>
    </row>
    <row r="61024" spans="3:13" ht="12.75" customHeight="1" x14ac:dyDescent="0.2">
      <c r="C61024"/>
      <c r="M61024"/>
    </row>
    <row r="61025" spans="3:13" ht="12.75" customHeight="1" x14ac:dyDescent="0.2">
      <c r="C61025"/>
      <c r="M61025"/>
    </row>
    <row r="61027" spans="3:13" ht="12.75" customHeight="1" x14ac:dyDescent="0.2">
      <c r="C61027"/>
      <c r="M61027"/>
    </row>
    <row r="61038" spans="3:13" ht="12.75" customHeight="1" x14ac:dyDescent="0.2">
      <c r="C61038"/>
      <c r="M61038"/>
    </row>
    <row r="61039" spans="3:13" ht="12.75" customHeight="1" x14ac:dyDescent="0.2">
      <c r="C61039"/>
      <c r="M61039"/>
    </row>
    <row r="61040" spans="3:13" ht="12.75" customHeight="1" x14ac:dyDescent="0.2">
      <c r="C61040"/>
      <c r="M61040"/>
    </row>
    <row r="61041" spans="3:13" ht="12.75" customHeight="1" x14ac:dyDescent="0.2">
      <c r="C61041"/>
      <c r="M61041"/>
    </row>
    <row r="61043" spans="3:13" ht="12.75" customHeight="1" x14ac:dyDescent="0.2">
      <c r="C61043"/>
      <c r="M61043"/>
    </row>
    <row r="61054" spans="3:13" ht="12.75" customHeight="1" x14ac:dyDescent="0.2">
      <c r="C61054"/>
      <c r="M61054"/>
    </row>
    <row r="61055" spans="3:13" ht="12.75" customHeight="1" x14ac:dyDescent="0.2">
      <c r="C61055"/>
      <c r="M61055"/>
    </row>
    <row r="61056" spans="3:13" ht="12.75" customHeight="1" x14ac:dyDescent="0.2">
      <c r="C61056"/>
      <c r="M61056"/>
    </row>
    <row r="61057" spans="3:13" ht="12.75" customHeight="1" x14ac:dyDescent="0.2">
      <c r="C61057"/>
      <c r="M61057"/>
    </row>
    <row r="61059" spans="3:13" ht="12.75" customHeight="1" x14ac:dyDescent="0.2">
      <c r="C61059"/>
      <c r="M61059"/>
    </row>
    <row r="61070" spans="3:13" ht="12.75" customHeight="1" x14ac:dyDescent="0.2">
      <c r="C61070"/>
      <c r="M61070"/>
    </row>
    <row r="61071" spans="3:13" ht="12.75" customHeight="1" x14ac:dyDescent="0.2">
      <c r="C61071"/>
      <c r="M61071"/>
    </row>
    <row r="61072" spans="3:13" ht="12.75" customHeight="1" x14ac:dyDescent="0.2">
      <c r="C61072"/>
      <c r="M61072"/>
    </row>
    <row r="61073" spans="3:13" ht="12.75" customHeight="1" x14ac:dyDescent="0.2">
      <c r="C61073"/>
      <c r="M61073"/>
    </row>
    <row r="61075" spans="3:13" ht="12.75" customHeight="1" x14ac:dyDescent="0.2">
      <c r="C61075"/>
      <c r="M61075"/>
    </row>
    <row r="61086" spans="3:13" ht="12.75" customHeight="1" x14ac:dyDescent="0.2">
      <c r="C61086"/>
      <c r="M61086"/>
    </row>
    <row r="61087" spans="3:13" ht="12.75" customHeight="1" x14ac:dyDescent="0.2">
      <c r="C61087"/>
      <c r="M61087"/>
    </row>
    <row r="61088" spans="3:13" ht="12.75" customHeight="1" x14ac:dyDescent="0.2">
      <c r="C61088"/>
      <c r="M61088"/>
    </row>
    <row r="61089" spans="3:13" ht="12.75" customHeight="1" x14ac:dyDescent="0.2">
      <c r="C61089"/>
      <c r="M61089"/>
    </row>
    <row r="61091" spans="3:13" ht="12.75" customHeight="1" x14ac:dyDescent="0.2">
      <c r="C61091"/>
      <c r="M61091"/>
    </row>
    <row r="61102" spans="3:13" ht="12.75" customHeight="1" x14ac:dyDescent="0.2">
      <c r="C61102"/>
      <c r="M61102"/>
    </row>
    <row r="61103" spans="3:13" ht="12.75" customHeight="1" x14ac:dyDescent="0.2">
      <c r="C61103"/>
      <c r="M61103"/>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47" spans="3:13" ht="12.75" customHeight="1" x14ac:dyDescent="0.2">
      <c r="C61147"/>
      <c r="M61147"/>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3" spans="3:13" ht="12.75" customHeight="1" x14ac:dyDescent="0.2">
      <c r="C61163"/>
      <c r="M61163"/>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79" spans="3:13" ht="12.75" customHeight="1" x14ac:dyDescent="0.2">
      <c r="C61179"/>
      <c r="M61179"/>
    </row>
    <row r="61180" spans="3:13" ht="12.75" customHeight="1" x14ac:dyDescent="0.2">
      <c r="C61180"/>
      <c r="M61180"/>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5" spans="3:13" ht="12.75" customHeight="1" x14ac:dyDescent="0.2">
      <c r="C61195"/>
      <c r="M61195"/>
    </row>
    <row r="61196" spans="3:13" ht="12.75" customHeight="1" x14ac:dyDescent="0.2">
      <c r="C61196"/>
      <c r="M61196"/>
    </row>
    <row r="61197" spans="3:13" ht="12.75" customHeight="1" x14ac:dyDescent="0.2">
      <c r="C61197"/>
      <c r="M61197"/>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sheetData>
  <sheetProtection algorithmName="SHA-512" hashValue="UaxOobISS0G7iDTocs5zdopNNlihtva9gYWWN39cnXXiw3SJ8DGpzC+wRszwUcWVlKsteitlir8huKnXASXS6g==" saltValue="lg4i/ym2P2hceAYgEPWK4g==" spinCount="100000" sheet="1" objects="1" scenarios="1" autoFilter="0"/>
  <autoFilter ref="C15:C35" xr:uid="{00000000-0009-0000-0000-000005000000}"/>
  <mergeCells count="21">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 ref="AG6:AH6"/>
    <mergeCell ref="AG7:AH7"/>
    <mergeCell ref="AA9:AB9"/>
    <mergeCell ref="AC9:AH9"/>
    <mergeCell ref="AA10:AB10"/>
    <mergeCell ref="AC10:AH10"/>
  </mergeCells>
  <phoneticPr fontId="38" type="noConversion"/>
  <conditionalFormatting sqref="D17:G19 I17:I19">
    <cfRule type="expression" dxfId="182" priority="44" stopIfTrue="1">
      <formula>$B17=1</formula>
    </cfRule>
  </conditionalFormatting>
  <conditionalFormatting sqref="D19:G19 I19">
    <cfRule type="expression" dxfId="181" priority="45" stopIfTrue="1">
      <formula>OR($B19=0,$B19=2,$B19=3,$B19=4)</formula>
    </cfRule>
  </conditionalFormatting>
  <conditionalFormatting sqref="D24:G26 I24:I26">
    <cfRule type="expression" dxfId="180" priority="122" stopIfTrue="1">
      <formula>OR($B24=0,$B24=2,$B24=3,$B24=4)</formula>
    </cfRule>
    <cfRule type="expression" dxfId="179" priority="121" stopIfTrue="1">
      <formula>$B24=1</formula>
    </cfRule>
  </conditionalFormatting>
  <conditionalFormatting sqref="D14:I14">
    <cfRule type="expression" dxfId="178" priority="2722" stopIfTrue="1">
      <formula>OR($B14=0,$B14=2,$B14=3,$B14=4)</formula>
    </cfRule>
    <cfRule type="expression" dxfId="177" priority="2721" stopIfTrue="1">
      <formula>$B14=1</formula>
    </cfRule>
  </conditionalFormatting>
  <conditionalFormatting sqref="D16:I16 D27:I30 D33:I34 D17:G17 I17">
    <cfRule type="expression" dxfId="176" priority="14754" stopIfTrue="1">
      <formula>OR($B16=0,$B16=2,$B16=3,$B16=4)</formula>
    </cfRule>
  </conditionalFormatting>
  <conditionalFormatting sqref="D16:I16 D27:I30 D33:I34">
    <cfRule type="expression" dxfId="175" priority="14753" stopIfTrue="1">
      <formula>$B16=1</formula>
    </cfRule>
  </conditionalFormatting>
  <conditionalFormatting sqref="D18:I18">
    <cfRule type="expression" dxfId="174" priority="83" stopIfTrue="1">
      <formula>OR($B18=0,$B18=2,$B18=3,$B18=4)</formula>
    </cfRule>
  </conditionalFormatting>
  <conditionalFormatting sqref="D20:I23">
    <cfRule type="expression" dxfId="173" priority="61" stopIfTrue="1">
      <formula>$B20=1</formula>
    </cfRule>
    <cfRule type="expression" dxfId="172" priority="62" stopIfTrue="1">
      <formula>OR($B20=0,$B20=2,$B20=3,$B20=4)</formula>
    </cfRule>
  </conditionalFormatting>
  <conditionalFormatting sqref="D31:I32">
    <cfRule type="expression" dxfId="171" priority="13" stopIfTrue="1">
      <formula>$B31=1</formula>
    </cfRule>
    <cfRule type="expression" dxfId="170" priority="14" stopIfTrue="1">
      <formula>OR($B31=0,$B31=2,$B31=3,$B31=4)</formula>
    </cfRule>
  </conditionalFormatting>
  <conditionalFormatting sqref="H14">
    <cfRule type="expression" dxfId="169" priority="2720">
      <formula>$J14="►S"</formula>
    </cfRule>
  </conditionalFormatting>
  <conditionalFormatting sqref="H16:H34">
    <cfRule type="expression" dxfId="168" priority="39">
      <formula>$J16="►S"</formula>
    </cfRule>
  </conditionalFormatting>
  <conditionalFormatting sqref="H17">
    <cfRule type="expression" dxfId="167" priority="37" stopIfTrue="1">
      <formula>$B17=1</formula>
    </cfRule>
    <cfRule type="expression" dxfId="166" priority="38" stopIfTrue="1">
      <formula>OR($B17=0,$B17=2,$B17=3,$B17=4)</formula>
    </cfRule>
  </conditionalFormatting>
  <conditionalFormatting sqref="H18:H19">
    <cfRule type="expression" dxfId="165" priority="40" stopIfTrue="1">
      <formula>$B18=1</formula>
    </cfRule>
  </conditionalFormatting>
  <conditionalFormatting sqref="H19">
    <cfRule type="expression" dxfId="164" priority="41" stopIfTrue="1">
      <formula>OR($B19=0,$B19=2,$B19=3,$B19=4)</formula>
    </cfRule>
  </conditionalFormatting>
  <conditionalFormatting sqref="H24:H25">
    <cfRule type="expression" dxfId="163" priority="2" stopIfTrue="1">
      <formula>OR($B24=0,$B24=2,$B24=3,$B24=4)</formula>
    </cfRule>
    <cfRule type="expression" dxfId="162" priority="1" stopIfTrue="1">
      <formula>$B24=1</formula>
    </cfRule>
  </conditionalFormatting>
  <conditionalFormatting sqref="H26">
    <cfRule type="expression" dxfId="161" priority="117" stopIfTrue="1">
      <formula>$B26=1</formula>
    </cfRule>
    <cfRule type="expression" dxfId="160" priority="118" stopIfTrue="1">
      <formula>OR($B26=0,$B26=2,$B26=3,$B26=4)</formula>
    </cfRule>
  </conditionalFormatting>
  <conditionalFormatting sqref="K12:K35">
    <cfRule type="expression" dxfId="159" priority="14758" stopIfTrue="1">
      <formula>OR(ACOMPANHAMENTO="BM",$A$12&lt;&gt;"Manual")</formula>
    </cfRule>
    <cfRule type="expression" dxfId="158" priority="14759" stopIfTrue="1">
      <formula>$B12=1</formula>
    </cfRule>
    <cfRule type="expression" dxfId="157" priority="14760" stopIfTrue="1">
      <formula>OR($B12=2,$B12=3,$B12=4,$B12=0)</formula>
    </cfRule>
  </conditionalFormatting>
  <conditionalFormatting sqref="M12:N35">
    <cfRule type="expression" dxfId="156" priority="14756" stopIfTrue="1">
      <formula>OR($B12=0,$B12=2,$B12=3,$B12=4)</formula>
    </cfRule>
    <cfRule type="expression" dxfId="155" priority="14757" stopIfTrue="1">
      <formula>$B12=1</formula>
    </cfRule>
  </conditionalFormatting>
  <conditionalFormatting sqref="M12:AI35">
    <cfRule type="expression" dxfId="154" priority="8344" stopIfTrue="1">
      <formula>ACOMPANHAMENTO="BM"</formula>
    </cfRule>
  </conditionalFormatting>
  <conditionalFormatting sqref="N12">
    <cfRule type="cellIs" dxfId="153" priority="5376" operator="notEqual">
      <formula>"FRENTES DE OBRA:"</formula>
    </cfRule>
  </conditionalFormatting>
  <conditionalFormatting sqref="N14">
    <cfRule type="expression" dxfId="152" priority="5378">
      <formula>$J14="►"</formula>
    </cfRule>
  </conditionalFormatting>
  <conditionalFormatting sqref="N16:N34">
    <cfRule type="expression" dxfId="151" priority="43">
      <formula>$J16="►"</formula>
    </cfRule>
  </conditionalFormatting>
  <conditionalFormatting sqref="O15">
    <cfRule type="expression" dxfId="150" priority="8343">
      <formula>O$11="▼"</formula>
    </cfRule>
  </conditionalFormatting>
  <conditionalFormatting sqref="O12:AI35">
    <cfRule type="expression" dxfId="149" priority="14763" stopIfTrue="1">
      <formula>AND($B12=1,O$1=1)</formula>
    </cfRule>
    <cfRule type="expression" dxfId="148" priority="14762" stopIfTrue="1">
      <formula>AND(O$12&lt;&gt;".",OR($B12=0,$B12=2,$B12=3,$B12=4,AND(O$12="",$B12&lt;&gt;"Empty"),OFFSET(O$1,0,-1)=0))</formula>
    </cfRule>
  </conditionalFormatting>
  <conditionalFormatting sqref="Q15:AH15">
    <cfRule type="expression" dxfId="147" priority="14761">
      <formula>Q$11="▼"</formula>
    </cfRule>
  </conditionalFormatting>
  <conditionalFormatting sqref="Q14:AI14">
    <cfRule type="expression" dxfId="146" priority="3161">
      <formula>Q14&lt;&gt;ROUND(Q14,2)</formula>
    </cfRule>
  </conditionalFormatting>
  <conditionalFormatting sqref="Q16:AI34">
    <cfRule type="expression" dxfId="145" priority="3">
      <formula>Q16&lt;&gt;ROUND(Q16,2)</formula>
    </cfRule>
  </conditionalFormatting>
  <dataValidations count="4">
    <dataValidation type="decimal" operator="greaterThan" allowBlank="1" showErrorMessage="1" error="Apenas números decimais maiores que zero." sqref="O14 Q14:AH14 Q16:AH34 O16:O3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34"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34"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4"/>
  <sheetViews>
    <sheetView showGridLines="0" topLeftCell="A2" zoomScaleNormal="100" zoomScaleSheetLayoutView="100" workbookViewId="0"/>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IF(AUTOEVENTO="Manual",IF(EVENTOS!$F1&gt;0,"F",""),IF(AND(B1&gt;0,B1&lt;=MAX(CÁLCULO!$M$15:$M$35)),"F",""))</f>
        <v>#REF!</v>
      </c>
      <c r="B1" s="246" t="e">
        <f ca="1">OFFSET(B1,-1,0)+1</f>
        <v>#REF!</v>
      </c>
      <c r="C1" s="513" t="e">
        <f ca="1">IF(AUTOEVENTO="Manual",IF($B1&gt;0,OFFSET(EVENTOS!$D$15,$B1-$B$15,0),0),IF(B1&lt;=MAX(CÁLCULO!$M$15:$M$35),VLOOKUP($B1,CÁLCULO!$M$15:$N$35,2,FALSE),0))</f>
        <v>#REF!</v>
      </c>
      <c r="D1" s="553"/>
      <c r="E1" s="247"/>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
      <c r="G2" s="81" t="s">
        <v>777</v>
      </c>
      <c r="AC2" s="759" t="s">
        <v>757</v>
      </c>
      <c r="AD2" s="760"/>
      <c r="AE2" s="761"/>
    </row>
    <row r="3" spans="1:31" ht="12.75" customHeight="1" x14ac:dyDescent="0.2">
      <c r="G3" s="81"/>
      <c r="AD3" s="482"/>
      <c r="AE3" s="482"/>
    </row>
    <row r="4" spans="1:31" ht="12.75" customHeight="1" x14ac:dyDescent="0.2">
      <c r="B4" s="677" t="s">
        <v>652</v>
      </c>
      <c r="C4" s="677"/>
      <c r="D4" s="677"/>
      <c r="G4" s="678" t="s">
        <v>650</v>
      </c>
      <c r="H4" s="678"/>
      <c r="I4" s="678"/>
      <c r="J4" s="678" t="s">
        <v>707</v>
      </c>
      <c r="K4" s="678"/>
      <c r="L4" s="678"/>
      <c r="M4" s="207" t="s">
        <v>758</v>
      </c>
      <c r="N4" s="211"/>
      <c r="P4" s="185"/>
      <c r="Q4" s="185"/>
      <c r="R4" s="185"/>
      <c r="U4" s="483"/>
      <c r="V4" s="185"/>
      <c r="W4" s="185"/>
      <c r="X4" s="185"/>
      <c r="Y4" s="185"/>
      <c r="AD4" s="482"/>
      <c r="AE4" s="484"/>
    </row>
    <row r="5" spans="1:31" ht="12.75" customHeight="1" x14ac:dyDescent="0.2">
      <c r="B5" s="683" t="str">
        <f>Import.Proponente</f>
        <v>PREFEITURA MUNICIPAL DE MARIALVA</v>
      </c>
      <c r="C5" s="683"/>
      <c r="D5" s="683"/>
      <c r="G5" s="685" t="str">
        <f>Import.CR</f>
        <v>1091265-71</v>
      </c>
      <c r="H5" s="685"/>
      <c r="I5" s="685"/>
      <c r="J5" s="685" t="str">
        <f>Import.SICONV</f>
        <v>060795/2023</v>
      </c>
      <c r="K5" s="685"/>
      <c r="L5" s="685"/>
      <c r="M5" s="725" t="str">
        <f>Import.Apelido</f>
        <v>RECAPEAMENTO ASFÁLTICO</v>
      </c>
      <c r="N5" s="726"/>
      <c r="O5" s="726"/>
      <c r="P5" s="726"/>
      <c r="Q5" s="726"/>
      <c r="R5" s="726"/>
      <c r="S5" s="726"/>
      <c r="T5" s="726"/>
      <c r="U5" s="726"/>
      <c r="V5" s="726"/>
      <c r="W5" s="726"/>
      <c r="X5" s="726"/>
      <c r="Y5" s="726"/>
      <c r="Z5" s="726"/>
      <c r="AA5" s="726"/>
      <c r="AB5" s="726"/>
      <c r="AC5" s="726"/>
      <c r="AD5" s="726"/>
      <c r="AE5" s="762"/>
    </row>
    <row r="6" spans="1:31" ht="14.25" customHeight="1" x14ac:dyDescent="0.25">
      <c r="B6" s="248" t="str" cm="1">
        <f t="array" aca="1" ref="B6" ca="1">IF(ACOMPANHAMENTO="BM","NO ACOMPANHAMENTO POR BM, UTILIZE A ABA CRONO",
  IF(MAX($B$14:$B$20)&lt;MAX(CÁLCULO!$M$15:$M$35),"ERRO: NÚMERO DE EVENTOS INSUFICIENTE, CLIQUE EM ATUALIZAR LINHAS",
  IF(ROUND(OFFSET(CRONO!$AG$39,0,-1),2)&lt;&gt;CRONO!$R$30,"ERRO: CRONOGRAMA NÃO FECHA 100%","")))</f>
        <v/>
      </c>
    </row>
    <row r="7" spans="1:31" ht="15" customHeight="1" thickBot="1" x14ac:dyDescent="0.25">
      <c r="B7" s="521" t="str" cm="1">
        <f t="array" ref="B7">IF(AdmLocal="Automática","","1. Selecione o Título do Evento da Administração Local:")</f>
        <v>1. Selecione o Título do Evento da Administração Local:</v>
      </c>
    </row>
    <row r="8" spans="1:31" ht="13.5" thickBot="1" x14ac:dyDescent="0.25">
      <c r="A8" s="547" t="str">
        <f>MID(Import.EventoAdmLocal,1,SEARCH(".",Import.EventoAdmLocal)-1)</f>
        <v>3</v>
      </c>
      <c r="B8" s="732" t="s">
        <v>1044</v>
      </c>
      <c r="C8" s="733"/>
      <c r="D8" s="570" t="str">
        <f ca="1">IF($B$7="","",IF(AND($B$15=0,$B$8=""),"◄ Não foi indicado o Evento de Administração Local",IF(ISERROR(MATCH(Import.EventoAdmLocal,$F$15:$F$20,0)),"◄ Selecione um Título de Evento válido para a Administração Local","")))</f>
        <v/>
      </c>
    </row>
    <row r="9" spans="1:31" ht="3.95" customHeight="1" x14ac:dyDescent="0.2">
      <c r="A9" s="547"/>
    </row>
    <row r="10" spans="1:31" ht="15" customHeight="1" x14ac:dyDescent="0.2">
      <c r="A10" s="547">
        <f ca="1">MATCH(VALUE(A8),CÁLCULO!$M$15:$M$35,0)-2</f>
        <v>11</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8" t="s">
        <v>655</v>
      </c>
      <c r="C11" s="250"/>
      <c r="E11" s="251" t="str">
        <f ca="1">IF(E$12&gt;CÁLCULO.FrentesPreenchidas,"",OFFSET(CÁLCULO!$P$12,0,E$12))</f>
        <v>Rua João M. Tosta Sobrinho Trecho 1</v>
      </c>
      <c r="G11" s="251" t="str">
        <f ca="1">IF(G$12&gt;CÁLCULO.FrentesPreenchidas,"",OFFSET(CÁLCULO!$P$12,0,G$12))</f>
        <v>Rua João M. Tosta Sobrinho Trecho 1</v>
      </c>
      <c r="H11" s="251" t="str">
        <f ca="1">IF(H$12&gt;CÁLCULO.FrentesPreenchidas,"",OFFSET(CÁLCULO!$P$12,0,H$12))</f>
        <v>Rua João M. Tosta Sobrinho Trecho 2</v>
      </c>
      <c r="I11" s="251" t="str">
        <f ca="1">IF(I$12&gt;CÁLCULO.FrentesPreenchidas,"",OFFSET(CÁLCULO!$P$12,0,I$12))</f>
        <v>Av Eneas Modesto de Oliveira</v>
      </c>
      <c r="J11" s="251" t="str">
        <f ca="1">IF(J$12&gt;CÁLCULO.FrentesPreenchidas,"",OFFSET(CÁLCULO!$P$12,0,J$12))</f>
        <v>Travessa Castelo Branco</v>
      </c>
      <c r="K11" s="251" t="str">
        <f ca="1">IF(K$12&gt;CÁLCULO.FrentesPreenchidas,"",OFFSET(CÁLCULO!$P$12,0,K$12))</f>
        <v>Travessa Salto Osório</v>
      </c>
      <c r="L11" s="251" t="str">
        <f ca="1">IF(L$12&gt;CÁLCULO.FrentesPreenchidas,"",OFFSET(CÁLCULO!$P$12,0,L$12))</f>
        <v>Rua José Cividanes</v>
      </c>
      <c r="M11" s="251" t="str">
        <f ca="1">IF(M$12&gt;CÁLCULO.FrentesPreenchidas,"",OFFSET(CÁLCULO!$P$12,0,M$12))</f>
        <v>Rua Prosperina Guimarães da Silva</v>
      </c>
      <c r="N11" s="251" t="str">
        <f ca="1">IF(N$12&gt;CÁLCULO.FrentesPreenchidas,"",OFFSET(CÁLCULO!$P$12,0,N$12))</f>
        <v>Av Padre Theo Hermann</v>
      </c>
      <c r="O11" s="251" t="str">
        <f ca="1">IF(O$12&gt;CÁLCULO.FrentesPreenchidas,"",OFFSET(CÁLCULO!$P$12,0,O$12))</f>
        <v>Rua Dionisio Hernandes</v>
      </c>
      <c r="P11" s="251" t="str">
        <f ca="1">IF(P$12&gt;CÁLCULO.FrentesPreenchidas,"",OFFSET(CÁLCULO!$P$12,0,P$12))</f>
        <v>Rua Luiz Pierini</v>
      </c>
      <c r="Q11" s="251" t="str">
        <f ca="1">IF(Q$12&gt;CÁLCULO.FrentesPreenchidas,"",OFFSET(CÁLCULO!$P$12,0,Q$12))</f>
        <v>Rua Joinville</v>
      </c>
      <c r="R11" s="251" t="str">
        <f ca="1">IF(R$12&gt;CÁLCULO.FrentesPreenchidas,"",OFFSET(CÁLCULO!$P$12,0,R$12))</f>
        <v>Rua Kei Hamada</v>
      </c>
      <c r="S11" s="251" t="str">
        <f ca="1">IF(S$12&gt;CÁLCULO.FrentesPreenchidas,"",OFFSET(CÁLCULO!$P$12,0,S$12))</f>
        <v>Rua João Morais da Silva</v>
      </c>
      <c r="T11" s="251" t="str">
        <f ca="1">IF(T$12&gt;CÁLCULO.FrentesPreenchidas,"",OFFSET(CÁLCULO!$P$12,0,T$12))</f>
        <v/>
      </c>
      <c r="U11" s="251" t="str">
        <f ca="1">IF(U$12&gt;CÁLCULO.FrentesPreenchidas,"",OFFSET(CÁLCULO!$P$12,0,U$12))</f>
        <v/>
      </c>
      <c r="V11" s="251" t="str">
        <f ca="1">IF(V$12&gt;CÁLCULO.FrentesPreenchidas,"",OFFSET(CÁLCULO!$P$12,0,V$12))</f>
        <v/>
      </c>
      <c r="W11" s="251" t="str">
        <f ca="1">IF(W$12&gt;CÁLCULO.FrentesPreenchidas,"",OFFSET(CÁLCULO!$P$12,0,W$12))</f>
        <v/>
      </c>
      <c r="X11" s="251" t="str">
        <f ca="1">IF(X$12&gt;CÁLCULO.FrentesPreenchidas,"",OFFSET(CÁLCULO!$P$12,0,X$12))</f>
        <v/>
      </c>
      <c r="Y11" s="251" t="str">
        <f ca="1">IF(Y$12&gt;CÁLCULO.FrentesPreenchidas,"",OFFSET(CÁLCULO!$P$12,0,Y$12))</f>
        <v/>
      </c>
      <c r="Z11" s="251" t="str">
        <f ca="1">IF(Z$12&gt;CÁLCULO.FrentesPreenchidas,"",OFFSET(CÁLCULO!$P$12,0,Z$12))</f>
        <v/>
      </c>
      <c r="AA11" s="251" t="str">
        <f ca="1">IF(AA$12&gt;CÁLCULO.FrentesPreenchidas,"",OFFSET(CÁLCULO!$P$12,0,AA$12))</f>
        <v/>
      </c>
      <c r="AB11" s="251" t="str">
        <f ca="1">IF(AB$12&gt;CÁLCULO.FrentesPreenchidas,"",OFFSET(CÁLCULO!$P$12,0,AB$12))</f>
        <v/>
      </c>
      <c r="AC11" s="251" t="str">
        <f ca="1">IF(AC$12&gt;CÁLCULO.FrentesPreenchidas,"",OFFSET(CÁLCULO!$P$12,0,AC$12))</f>
        <v/>
      </c>
      <c r="AD11" s="251" t="str">
        <f ca="1">IF(AD$12&gt;CÁLCULO.FrentesPreenchidas,"",OFFSET(CÁLCULO!$P$12,0,AD$12))</f>
        <v/>
      </c>
      <c r="AE11" s="251" t="str">
        <f ca="1">IF(AE$12&gt;CÁLCULO.FrentesPreenchidas,"",OFFSET(CÁLCULO!$P$12,0,AE$12))</f>
        <v/>
      </c>
    </row>
    <row r="12" spans="1:31" ht="12.75" customHeight="1" x14ac:dyDescent="0.2">
      <c r="A12" s="489" t="s">
        <v>660</v>
      </c>
      <c r="B12" s="756" t="s">
        <v>760</v>
      </c>
      <c r="C12" s="756" t="s">
        <v>778</v>
      </c>
      <c r="E12" s="252">
        <f ca="1">OFFSET(E12,0,-1)+1</f>
        <v>1</v>
      </c>
      <c r="G12" s="252">
        <f ca="1">OFFSET(G12,0,-1)+1</f>
        <v>1</v>
      </c>
      <c r="H12" s="252">
        <f ca="1">OFFSET(H12,0,-1)+1</f>
        <v>2</v>
      </c>
      <c r="I12" s="252">
        <f t="shared" ref="I12:AE12" ca="1" si="0">OFFSET(I12,0,-1)+1</f>
        <v>3</v>
      </c>
      <c r="J12" s="252">
        <f t="shared" ca="1" si="0"/>
        <v>4</v>
      </c>
      <c r="K12" s="252">
        <f t="shared" ca="1" si="0"/>
        <v>5</v>
      </c>
      <c r="L12" s="252">
        <f t="shared" ca="1" si="0"/>
        <v>6</v>
      </c>
      <c r="M12" s="252">
        <f t="shared" ca="1" si="0"/>
        <v>7</v>
      </c>
      <c r="N12" s="252">
        <f t="shared" ca="1" si="0"/>
        <v>8</v>
      </c>
      <c r="O12" s="252">
        <f t="shared" ca="1" si="0"/>
        <v>9</v>
      </c>
      <c r="P12" s="252">
        <f t="shared" ca="1" si="0"/>
        <v>10</v>
      </c>
      <c r="Q12" s="252">
        <f t="shared" ca="1" si="0"/>
        <v>11</v>
      </c>
      <c r="R12" s="252">
        <f t="shared" ca="1" si="0"/>
        <v>12</v>
      </c>
      <c r="S12" s="252">
        <f t="shared" ca="1" si="0"/>
        <v>13</v>
      </c>
      <c r="T12" s="252">
        <f t="shared" ca="1" si="0"/>
        <v>14</v>
      </c>
      <c r="U12" s="252">
        <f t="shared" ca="1" si="0"/>
        <v>15</v>
      </c>
      <c r="V12" s="252">
        <f t="shared" ca="1" si="0"/>
        <v>16</v>
      </c>
      <c r="W12" s="252">
        <f t="shared" ca="1" si="0"/>
        <v>17</v>
      </c>
      <c r="X12" s="252">
        <f t="shared" ca="1" si="0"/>
        <v>18</v>
      </c>
      <c r="Y12" s="252">
        <f t="shared" ca="1" si="0"/>
        <v>19</v>
      </c>
      <c r="Z12" s="252">
        <f t="shared" ca="1" si="0"/>
        <v>20</v>
      </c>
      <c r="AA12" s="252">
        <f t="shared" ca="1" si="0"/>
        <v>21</v>
      </c>
      <c r="AB12" s="252">
        <f t="shared" ca="1" si="0"/>
        <v>22</v>
      </c>
      <c r="AC12" s="252">
        <f t="shared" ca="1" si="0"/>
        <v>23</v>
      </c>
      <c r="AD12" s="252">
        <f t="shared" ca="1" si="0"/>
        <v>24</v>
      </c>
      <c r="AE12" s="252">
        <f t="shared" ca="1" si="0"/>
        <v>25</v>
      </c>
    </row>
    <row r="13" spans="1:31" x14ac:dyDescent="0.2">
      <c r="A13" t="s">
        <v>655</v>
      </c>
      <c r="B13" s="756"/>
      <c r="C13" s="756"/>
      <c r="E13" s="253"/>
      <c r="G13" s="254"/>
      <c r="H13" s="253"/>
      <c r="I13" s="253"/>
      <c r="J13" s="253"/>
      <c r="K13" s="253"/>
      <c r="L13" s="253"/>
      <c r="M13" s="575" t="str">
        <f ca="1">IF(CRONOPLE.Erro="ERRO: CRONOGRAMA NÃO FECHA 100%","Informe abaixo o NÚMERO DO PERÍODO em que os eventos serão concluídos","")</f>
        <v/>
      </c>
      <c r="N13" s="253"/>
      <c r="O13" s="253"/>
      <c r="P13" s="253"/>
      <c r="Q13" s="253"/>
      <c r="R13" s="253"/>
      <c r="S13" s="253"/>
      <c r="T13" s="253"/>
      <c r="U13" s="253"/>
      <c r="V13" s="253"/>
      <c r="W13" s="253"/>
      <c r="X13" s="253"/>
      <c r="Y13" s="253"/>
      <c r="Z13" s="253"/>
      <c r="AA13" s="253"/>
      <c r="AB13" s="253"/>
      <c r="AC13" s="253"/>
      <c r="AD13" s="253"/>
      <c r="AE13" s="255"/>
    </row>
    <row r="14" spans="1:31" ht="5.0999999999999996" customHeight="1" x14ac:dyDescent="0.2">
      <c r="A14" s="7" t="s">
        <v>536</v>
      </c>
    </row>
    <row r="15" spans="1:31" x14ac:dyDescent="0.2">
      <c r="A15" s="7" t="str">
        <f ca="1">IF(AUTOEVENTO="Manual",IF(EVENTOS!$F15&gt;0,"F",""),IF(AND(B15&gt;0,B15&lt;=MAX(CÁLCULO!$M$15:$M$35)),"F",""))</f>
        <v/>
      </c>
      <c r="B15" s="256">
        <f>EVENTOS!$C$15</f>
        <v>0</v>
      </c>
      <c r="C15" s="257" t="str">
        <f>EVENTOS!$D$15</f>
        <v/>
      </c>
      <c r="D15" s="553"/>
      <c r="E15" s="258"/>
      <c r="F15" t="str">
        <f>IF($C15="","",CONCATENATE($B15,". ",$C15))</f>
        <v/>
      </c>
      <c r="G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60"/>
    </row>
    <row r="16" spans="1:31" x14ac:dyDescent="0.2">
      <c r="A16" s="7" t="str">
        <f ca="1">IF(AUTOEVENTO="Manual",IF(EVENTOS!$F16&gt;0,"F",""),IF(AND(B16&gt;0,B16&lt;=MAX(CÁLCULO!$M$15:$M$35)),"F",""))</f>
        <v>F</v>
      </c>
      <c r="B16" s="246">
        <f t="shared" ref="B16:B19" ca="1" si="1">OFFSET(B16,-1,0)+1</f>
        <v>1</v>
      </c>
      <c r="C16" s="513" t="str">
        <f ca="1">IF(AUTOEVENTO="Manual",IF($B16&gt;0,OFFSET(EVENTOS!$D$15,$B16-$B$15,0),0),IF(B16&lt;=MAX(CÁLCULO!$M$15:$M$35),VLOOKUP($B16,CÁLCULO!$M$15:$N$35,2,FALSE),0))</f>
        <v>Serviços preliminares</v>
      </c>
      <c r="D16" s="553"/>
      <c r="E16" s="247"/>
      <c r="F16" t="str">
        <f t="shared" ref="F16:F19" ca="1" si="2">IF($C16=0,"",CONCATENATE($B16,". ",$C16))</f>
        <v>1. Serviços preliminares</v>
      </c>
      <c r="G16" s="552">
        <v>1</v>
      </c>
      <c r="H16" s="552">
        <v>1</v>
      </c>
      <c r="I16" s="552"/>
      <c r="J16" s="552"/>
      <c r="K16" s="552"/>
      <c r="L16" s="552"/>
      <c r="M16" s="552">
        <v>2</v>
      </c>
      <c r="N16" s="552">
        <v>1</v>
      </c>
      <c r="O16" s="552"/>
      <c r="P16" s="552"/>
      <c r="Q16" s="552">
        <v>4</v>
      </c>
      <c r="R16" s="552"/>
      <c r="S16" s="552"/>
      <c r="T16" s="552"/>
      <c r="U16" s="552"/>
      <c r="V16" s="552"/>
      <c r="W16" s="552"/>
      <c r="X16" s="552"/>
      <c r="Y16" s="552"/>
      <c r="Z16" s="552"/>
      <c r="AA16" s="552"/>
      <c r="AB16" s="552"/>
      <c r="AC16" s="552"/>
      <c r="AD16" s="552"/>
      <c r="AE16" s="552"/>
    </row>
    <row r="17" spans="1:31" x14ac:dyDescent="0.2">
      <c r="A17" s="7" t="str">
        <f ca="1">IF(AUTOEVENTO="Manual",IF(EVENTOS!$F17&gt;0,"F",""),IF(AND(B17&gt;0,B17&lt;=MAX(CÁLCULO!$M$15:$M$35)),"F",""))</f>
        <v>F</v>
      </c>
      <c r="B17" s="246">
        <f t="shared" ca="1" si="1"/>
        <v>2</v>
      </c>
      <c r="C17" s="513" t="str">
        <f ca="1">IF(AUTOEVENTO="Manual",IF($B17&gt;0,OFFSET(EVENTOS!$D$15,$B17-$B$15,0),0),IF(B17&lt;=MAX(CÁLCULO!$M$15:$M$35),VLOOKUP($B17,CÁLCULO!$M$15:$N$35,2,FALSE),0))</f>
        <v>Base/Sub Base</v>
      </c>
      <c r="D17" s="553"/>
      <c r="E17" s="247"/>
      <c r="F17" t="str">
        <f t="shared" ca="1" si="2"/>
        <v>2. Base/Sub Base</v>
      </c>
      <c r="G17" s="552">
        <v>1</v>
      </c>
      <c r="H17" s="552">
        <v>1</v>
      </c>
      <c r="I17" s="552"/>
      <c r="J17" s="552"/>
      <c r="K17" s="552"/>
      <c r="L17" s="552"/>
      <c r="M17" s="552">
        <v>2</v>
      </c>
      <c r="N17" s="552"/>
      <c r="O17" s="552"/>
      <c r="P17" s="552"/>
      <c r="Q17" s="552">
        <v>4</v>
      </c>
      <c r="R17" s="552"/>
      <c r="S17" s="552"/>
      <c r="T17" s="552"/>
      <c r="U17" s="552"/>
      <c r="V17" s="552"/>
      <c r="W17" s="552"/>
      <c r="X17" s="552"/>
      <c r="Y17" s="552"/>
      <c r="Z17" s="552"/>
      <c r="AA17" s="552"/>
      <c r="AB17" s="552"/>
      <c r="AC17" s="552"/>
      <c r="AD17" s="552"/>
      <c r="AE17" s="552"/>
    </row>
    <row r="18" spans="1:31" x14ac:dyDescent="0.2">
      <c r="A18" s="7" t="str">
        <f ca="1">IF(AUTOEVENTO="Manual",IF(EVENTOS!$F18&gt;0,"F",""),IF(AND(B18&gt;0,B18&lt;=MAX(CÁLCULO!$M$15:$M$35)),"F",""))</f>
        <v>F</v>
      </c>
      <c r="B18" s="246">
        <f t="shared" ca="1" si="1"/>
        <v>3</v>
      </c>
      <c r="C18" s="513" t="str">
        <f ca="1">IF(AUTOEVENTO="Manual",IF($B18&gt;0,OFFSET(EVENTOS!$D$15,$B18-$B$15,0),0),IF(B18&lt;=MAX(CÁLCULO!$M$15:$M$35),VLOOKUP($B18,CÁLCULO!$M$15:$N$35,2,FALSE),0))</f>
        <v>Revestimento</v>
      </c>
      <c r="D18" s="553"/>
      <c r="E18" s="247"/>
      <c r="F18" t="str">
        <f t="shared" ca="1" si="2"/>
        <v>3. Revestimento</v>
      </c>
      <c r="G18" s="552">
        <v>1</v>
      </c>
      <c r="H18" s="552">
        <v>1</v>
      </c>
      <c r="I18" s="552">
        <v>1</v>
      </c>
      <c r="J18" s="552">
        <v>2</v>
      </c>
      <c r="K18" s="552">
        <v>2</v>
      </c>
      <c r="L18" s="552">
        <v>2</v>
      </c>
      <c r="M18" s="552">
        <v>2</v>
      </c>
      <c r="N18" s="552">
        <v>3</v>
      </c>
      <c r="O18" s="552">
        <v>3</v>
      </c>
      <c r="P18" s="552">
        <v>3</v>
      </c>
      <c r="Q18" s="552">
        <v>4</v>
      </c>
      <c r="R18" s="552">
        <v>5</v>
      </c>
      <c r="S18" s="552">
        <v>5</v>
      </c>
      <c r="T18" s="552"/>
      <c r="U18" s="552"/>
      <c r="V18" s="552"/>
      <c r="W18" s="552"/>
      <c r="X18" s="552"/>
      <c r="Y18" s="552"/>
      <c r="Z18" s="552"/>
      <c r="AA18" s="552"/>
      <c r="AB18" s="552"/>
      <c r="AC18" s="552"/>
      <c r="AD18" s="552"/>
      <c r="AE18" s="552"/>
    </row>
    <row r="19" spans="1:31" x14ac:dyDescent="0.2">
      <c r="A19" s="7" t="str">
        <f ca="1">IF(AUTOEVENTO="Manual",IF(EVENTOS!$F19&gt;0,"F",""),IF(AND(B19&gt;0,B19&lt;=MAX(CÁLCULO!$M$15:$M$35)),"F",""))</f>
        <v>F</v>
      </c>
      <c r="B19" s="246">
        <f t="shared" ca="1" si="1"/>
        <v>4</v>
      </c>
      <c r="C19" s="513" t="str">
        <f ca="1">IF(AUTOEVENTO="Manual",IF($B19&gt;0,OFFSET(EVENTOS!$D$15,$B19-$B$15,0),0),IF(B19&lt;=MAX(CÁLCULO!$M$15:$M$35),VLOOKUP($B19,CÁLCULO!$M$15:$N$35,2,FALSE),0))</f>
        <v>Sinalização</v>
      </c>
      <c r="D19" s="553"/>
      <c r="E19" s="247"/>
      <c r="F19" t="str">
        <f t="shared" ca="1" si="2"/>
        <v>4. Sinalização</v>
      </c>
      <c r="G19" s="552">
        <v>1</v>
      </c>
      <c r="H19" s="552">
        <v>1</v>
      </c>
      <c r="I19" s="552">
        <v>1</v>
      </c>
      <c r="J19" s="552">
        <v>2</v>
      </c>
      <c r="K19" s="552">
        <v>2</v>
      </c>
      <c r="L19" s="552">
        <v>2</v>
      </c>
      <c r="M19" s="552">
        <v>2</v>
      </c>
      <c r="N19" s="552">
        <v>3</v>
      </c>
      <c r="O19" s="552">
        <v>3</v>
      </c>
      <c r="P19" s="552">
        <v>3</v>
      </c>
      <c r="Q19" s="552">
        <v>4</v>
      </c>
      <c r="R19" s="552">
        <v>5</v>
      </c>
      <c r="S19" s="552">
        <v>5</v>
      </c>
      <c r="T19" s="552"/>
      <c r="U19" s="552"/>
      <c r="V19" s="552"/>
      <c r="W19" s="552"/>
      <c r="X19" s="552"/>
      <c r="Y19" s="552"/>
      <c r="Z19" s="552"/>
      <c r="AA19" s="552"/>
      <c r="AB19" s="552"/>
      <c r="AC19" s="552"/>
      <c r="AD19" s="552"/>
      <c r="AE19" s="552"/>
    </row>
    <row r="20" spans="1:31" ht="5.0999999999999996" customHeight="1" x14ac:dyDescent="0.2">
      <c r="A20" t="s">
        <v>536</v>
      </c>
      <c r="B20" s="637"/>
      <c r="C20" s="432"/>
      <c r="D20" s="554"/>
      <c r="E20" s="261"/>
      <c r="F20" s="261"/>
      <c r="G20" s="637"/>
      <c r="H20" s="638"/>
      <c r="I20" s="638"/>
      <c r="J20" s="638"/>
      <c r="K20" s="638"/>
      <c r="L20" s="638"/>
      <c r="M20" s="638"/>
      <c r="N20" s="638"/>
      <c r="O20" s="638"/>
      <c r="P20" s="638"/>
      <c r="Q20" s="638"/>
      <c r="R20" s="638"/>
      <c r="S20" s="638"/>
      <c r="T20" s="638"/>
      <c r="U20" s="638"/>
      <c r="V20" s="638"/>
      <c r="W20" s="638"/>
      <c r="X20" s="638"/>
      <c r="Y20" s="638"/>
      <c r="Z20" s="638"/>
      <c r="AA20" s="638"/>
      <c r="AB20" s="638"/>
      <c r="AC20" s="638"/>
      <c r="AD20" s="638"/>
      <c r="AE20" s="432"/>
    </row>
    <row r="21" spans="1:31" ht="6" customHeight="1" x14ac:dyDescent="0.2">
      <c r="A21" s="7" t="s">
        <v>536</v>
      </c>
    </row>
    <row r="22" spans="1:31" ht="15" x14ac:dyDescent="0.2">
      <c r="A22" s="7" t="s">
        <v>536</v>
      </c>
      <c r="C22" s="485" t="s">
        <v>779</v>
      </c>
      <c r="H22" s="755">
        <f>(ROW($G22)-ROW($G$22))/8*12+1</f>
        <v>1</v>
      </c>
      <c r="I22" s="755"/>
      <c r="J22" s="755">
        <f>H22+1</f>
        <v>2</v>
      </c>
      <c r="K22" s="755"/>
      <c r="L22" s="755">
        <f>J22+1</f>
        <v>3</v>
      </c>
      <c r="M22" s="755"/>
      <c r="N22" s="755">
        <f>L22+1</f>
        <v>4</v>
      </c>
      <c r="O22" s="755"/>
      <c r="P22" s="755">
        <f>N22+1</f>
        <v>5</v>
      </c>
      <c r="Q22" s="755"/>
      <c r="R22" s="755">
        <f>P22+1</f>
        <v>6</v>
      </c>
      <c r="S22" s="755"/>
      <c r="T22" s="755">
        <f>R22+1</f>
        <v>7</v>
      </c>
      <c r="U22" s="755"/>
      <c r="V22" s="755">
        <f>T22+1</f>
        <v>8</v>
      </c>
      <c r="W22" s="755"/>
      <c r="X22" s="755">
        <f>V22+1</f>
        <v>9</v>
      </c>
      <c r="Y22" s="755"/>
      <c r="Z22" s="755">
        <f>X22+1</f>
        <v>10</v>
      </c>
      <c r="AA22" s="755"/>
      <c r="AB22" s="755">
        <f>Z22+1</f>
        <v>11</v>
      </c>
      <c r="AC22" s="755"/>
      <c r="AD22" s="755">
        <f>AB22+1</f>
        <v>12</v>
      </c>
      <c r="AE22" s="755"/>
    </row>
    <row r="23" spans="1:31" ht="12.75" customHeight="1" x14ac:dyDescent="0.2">
      <c r="A23" s="7" t="s">
        <v>536</v>
      </c>
      <c r="C23" s="742" t="s">
        <v>780</v>
      </c>
      <c r="G23" s="550" t="s">
        <v>781</v>
      </c>
      <c r="H23" s="744">
        <f ca="1">OFFSET(CRONO!$T$30,0,CRONOPLE!H22)</f>
        <v>0.17061297606253426</v>
      </c>
      <c r="I23" s="744"/>
      <c r="J23" s="744">
        <f ca="1">OFFSET(CRONO!$T$30,0,CRONOPLE!J22)</f>
        <v>0.21936802119090398</v>
      </c>
      <c r="K23" s="744"/>
      <c r="L23" s="744">
        <f ca="1">OFFSET(CRONO!$T$30,0,CRONOPLE!L22)</f>
        <v>0.19524354742464006</v>
      </c>
      <c r="M23" s="744"/>
      <c r="N23" s="744">
        <f ca="1">OFFSET(CRONO!$T$30,0,CRONOPLE!N22)</f>
        <v>9.4766387525730328E-2</v>
      </c>
      <c r="O23" s="744"/>
      <c r="P23" s="744">
        <f ca="1">OFFSET(CRONO!$T$30,0,CRONOPLE!P22)</f>
        <v>0.32000906779619137</v>
      </c>
      <c r="Q23" s="744"/>
      <c r="R23" s="744">
        <f ca="1">OFFSET(CRONO!$T$30,0,CRONOPLE!R22)</f>
        <v>0</v>
      </c>
      <c r="S23" s="744"/>
      <c r="T23" s="744">
        <f ca="1">OFFSET(CRONO!$T$30,0,CRONOPLE!T22)</f>
        <v>0</v>
      </c>
      <c r="U23" s="744"/>
      <c r="V23" s="744">
        <f ca="1">OFFSET(CRONO!$T$30,0,CRONOPLE!V22)</f>
        <v>0</v>
      </c>
      <c r="W23" s="744"/>
      <c r="X23" s="744">
        <f ca="1">OFFSET(CRONO!$T$30,0,CRONOPLE!X22)</f>
        <v>0</v>
      </c>
      <c r="Y23" s="744"/>
      <c r="Z23" s="744">
        <f ca="1">OFFSET(CRONO!$T$30,0,CRONOPLE!Z22)</f>
        <v>0</v>
      </c>
      <c r="AA23" s="744"/>
      <c r="AB23" s="744">
        <f ca="1">OFFSET(CRONO!$T$30,0,CRONOPLE!AB22)</f>
        <v>0</v>
      </c>
      <c r="AC23" s="744"/>
      <c r="AD23" s="744">
        <f ca="1">OFFSET(CRONO!$T$30,0,CRONOPLE!AD22)</f>
        <v>0</v>
      </c>
      <c r="AE23" s="744"/>
    </row>
    <row r="24" spans="1:31" ht="12.75" customHeight="1" x14ac:dyDescent="0.2">
      <c r="A24" s="7" t="s">
        <v>536</v>
      </c>
      <c r="C24" s="757"/>
      <c r="G24" s="486" t="s">
        <v>782</v>
      </c>
      <c r="H24" s="758">
        <f ca="1">OFFSET(CRONO!$T$34,0,CRONOPLE!H22)</f>
        <v>527527.31000000006</v>
      </c>
      <c r="I24" s="758"/>
      <c r="J24" s="753">
        <f ca="1">OFFSET(CRONO!$T$34,0,CRONOPLE!J22)</f>
        <v>678275.61999999988</v>
      </c>
      <c r="K24" s="754"/>
      <c r="L24" s="753">
        <f ca="1">OFFSET(CRONO!$T$34,0,CRONOPLE!L22)</f>
        <v>603683.88000000012</v>
      </c>
      <c r="M24" s="754"/>
      <c r="N24" s="753">
        <f ca="1">OFFSET(CRONO!$T$34,0,CRONOPLE!N22)</f>
        <v>293013.21999999974</v>
      </c>
      <c r="O24" s="754"/>
      <c r="P24" s="753">
        <f ca="1">OFFSET(CRONO!$T$34,0,CRONOPLE!P22)</f>
        <v>989453.01000000024</v>
      </c>
      <c r="Q24" s="754"/>
      <c r="R24" s="753">
        <f ca="1">OFFSET(CRONO!$T$34,0,CRONOPLE!R22)</f>
        <v>0</v>
      </c>
      <c r="S24" s="754"/>
      <c r="T24" s="753">
        <f ca="1">OFFSET(CRONO!$T$34,0,CRONOPLE!T22)</f>
        <v>0</v>
      </c>
      <c r="U24" s="754"/>
      <c r="V24" s="753">
        <f ca="1">OFFSET(CRONO!$T$34,0,CRONOPLE!V22)</f>
        <v>0</v>
      </c>
      <c r="W24" s="754"/>
      <c r="X24" s="753">
        <f ca="1">OFFSET(CRONO!$T$34,0,CRONOPLE!X22)</f>
        <v>0</v>
      </c>
      <c r="Y24" s="754"/>
      <c r="Z24" s="753">
        <f ca="1">OFFSET(CRONO!$T$34,0,CRONOPLE!Z22)</f>
        <v>0</v>
      </c>
      <c r="AA24" s="754"/>
      <c r="AB24" s="753">
        <f ca="1">OFFSET(CRONO!$T$34,0,CRONOPLE!AB22)</f>
        <v>0</v>
      </c>
      <c r="AC24" s="754"/>
      <c r="AD24" s="753">
        <f ca="1">OFFSET(CRONO!$T$34,0,CRONOPLE!AD22)</f>
        <v>0</v>
      </c>
      <c r="AE24" s="754"/>
    </row>
    <row r="25" spans="1:31" ht="12.75" customHeight="1" x14ac:dyDescent="0.2">
      <c r="A25" s="7" t="s">
        <v>536</v>
      </c>
      <c r="C25" s="742" t="s">
        <v>783</v>
      </c>
      <c r="G25" s="550" t="s">
        <v>781</v>
      </c>
      <c r="H25" s="744">
        <f ca="1">OFFSET(CRONO!$T$35,0,CRONOPLE!H22)</f>
        <v>0.1706</v>
      </c>
      <c r="I25" s="744"/>
      <c r="J25" s="747">
        <f ca="1">OFFSET(CRONO!$T$35,0,CRONOPLE!J22)</f>
        <v>0.39</v>
      </c>
      <c r="K25" s="748"/>
      <c r="L25" s="747">
        <f ca="1">OFFSET(CRONO!$T$35,0,CRONOPLE!L22)</f>
        <v>0.58520000000000005</v>
      </c>
      <c r="M25" s="748"/>
      <c r="N25" s="747">
        <f ca="1">OFFSET(CRONO!$T$35,0,CRONOPLE!N22)</f>
        <v>0.68</v>
      </c>
      <c r="O25" s="748"/>
      <c r="P25" s="747">
        <f ca="1">OFFSET(CRONO!$T$35,0,CRONOPLE!P22)</f>
        <v>1</v>
      </c>
      <c r="Q25" s="748"/>
      <c r="R25" s="747">
        <f ca="1">OFFSET(CRONO!$T$35,0,CRONOPLE!R22)</f>
        <v>1</v>
      </c>
      <c r="S25" s="748"/>
      <c r="T25" s="747">
        <f ca="1">OFFSET(CRONO!$T$35,0,CRONOPLE!T22)</f>
        <v>1</v>
      </c>
      <c r="U25" s="748"/>
      <c r="V25" s="747">
        <f ca="1">OFFSET(CRONO!$T$35,0,CRONOPLE!V22)</f>
        <v>1</v>
      </c>
      <c r="W25" s="748"/>
      <c r="X25" s="747">
        <f ca="1">OFFSET(CRONO!$T$35,0,CRONOPLE!X22)</f>
        <v>1</v>
      </c>
      <c r="Y25" s="748"/>
      <c r="Z25" s="747">
        <f ca="1">OFFSET(CRONO!$T$35,0,CRONOPLE!Z22)</f>
        <v>1</v>
      </c>
      <c r="AA25" s="748"/>
      <c r="AB25" s="747">
        <f ca="1">OFFSET(CRONO!$T$35,0,CRONOPLE!AB22)</f>
        <v>1</v>
      </c>
      <c r="AC25" s="748"/>
      <c r="AD25" s="747">
        <f ca="1">OFFSET(CRONO!$T$35,0,CRONOPLE!AD22)</f>
        <v>1</v>
      </c>
      <c r="AE25" s="748"/>
    </row>
    <row r="26" spans="1:31" ht="12.75" customHeight="1" x14ac:dyDescent="0.2">
      <c r="A26" s="7" t="s">
        <v>536</v>
      </c>
      <c r="C26" s="743"/>
      <c r="G26" s="486" t="s">
        <v>782</v>
      </c>
      <c r="H26" s="752">
        <f ca="1">OFFSET(CRONO!$T$39,0,CRONOPLE!H22)</f>
        <v>527527.30999999994</v>
      </c>
      <c r="I26" s="752"/>
      <c r="J26" s="750">
        <f ca="1">OFFSET(CRONO!$T$39,0,CRONOPLE!J22)</f>
        <v>1205802.9300000002</v>
      </c>
      <c r="K26" s="751"/>
      <c r="L26" s="750">
        <f ca="1">OFFSET(CRONO!$T$39,0,CRONOPLE!L22)</f>
        <v>1809486.8100000005</v>
      </c>
      <c r="M26" s="751"/>
      <c r="N26" s="750">
        <f ca="1">OFFSET(CRONO!$T$39,0,CRONOPLE!N22)</f>
        <v>2102500.0300000007</v>
      </c>
      <c r="O26" s="751"/>
      <c r="P26" s="750">
        <f ca="1">OFFSET(CRONO!$T$39,0,CRONOPLE!P22)</f>
        <v>3091953.040000001</v>
      </c>
      <c r="Q26" s="751"/>
      <c r="R26" s="750">
        <f ca="1">OFFSET(CRONO!$T$39,0,CRONOPLE!R22)</f>
        <v>3091953.040000001</v>
      </c>
      <c r="S26" s="751"/>
      <c r="T26" s="750">
        <f ca="1">OFFSET(CRONO!$T$39,0,CRONOPLE!T22)</f>
        <v>3091953.040000001</v>
      </c>
      <c r="U26" s="751"/>
      <c r="V26" s="750">
        <f ca="1">OFFSET(CRONO!$T$39,0,CRONOPLE!V22)</f>
        <v>3091953.040000001</v>
      </c>
      <c r="W26" s="751"/>
      <c r="X26" s="750">
        <f ca="1">OFFSET(CRONO!$T$39,0,CRONOPLE!X22)</f>
        <v>3091953.040000001</v>
      </c>
      <c r="Y26" s="751"/>
      <c r="Z26" s="750">
        <f ca="1">OFFSET(CRONO!$T$39,0,CRONOPLE!Z22)</f>
        <v>3091953.040000001</v>
      </c>
      <c r="AA26" s="751"/>
      <c r="AB26" s="750">
        <f ca="1">OFFSET(CRONO!$T$39,0,CRONOPLE!AB22)</f>
        <v>3091953.040000001</v>
      </c>
      <c r="AC26" s="751"/>
      <c r="AD26" s="750">
        <f ca="1">OFFSET(CRONO!$T$39,0,CRONOPLE!AD22)</f>
        <v>3091953.040000001</v>
      </c>
      <c r="AE26" s="751"/>
    </row>
    <row r="27" spans="1:31" ht="12.75" customHeight="1" x14ac:dyDescent="0.2">
      <c r="A27" s="7" t="s">
        <v>536</v>
      </c>
      <c r="C27" s="551" t="s">
        <v>784</v>
      </c>
      <c r="D27" s="549"/>
      <c r="G27" s="550" t="s">
        <v>781</v>
      </c>
      <c r="H27" s="744">
        <f ca="1">OFFSET(CRONO!$T$40,0,CRONOPLE!H22)</f>
        <v>0.15534114269285357</v>
      </c>
      <c r="I27" s="744"/>
      <c r="J27" s="745">
        <f ca="1">OFFSET(CRONO!$T$40,0,CRONOPLE!J22)</f>
        <v>0.35128565108411242</v>
      </c>
      <c r="K27" s="746"/>
      <c r="L27" s="745">
        <f ca="1">OFFSET(CRONO!$T$40,0,CRONOPLE!L22)</f>
        <v>0.56654087530363428</v>
      </c>
      <c r="M27" s="746"/>
      <c r="N27" s="745">
        <f ca="1">OFFSET(CRONO!$T$40,0,CRONOPLE!N22)</f>
        <v>0.64463658480760355</v>
      </c>
      <c r="O27" s="746"/>
      <c r="P27" s="745">
        <f ca="1">OFFSET(CRONO!$T$40,0,CRONOPLE!P22)</f>
        <v>1</v>
      </c>
      <c r="Q27" s="746"/>
      <c r="R27" s="745">
        <f ca="1">OFFSET(CRONO!$T$40,0,CRONOPLE!R22)</f>
        <v>1</v>
      </c>
      <c r="S27" s="746"/>
      <c r="T27" s="745">
        <f ca="1">OFFSET(CRONO!$T$40,0,CRONOPLE!T22)</f>
        <v>1</v>
      </c>
      <c r="U27" s="746"/>
      <c r="V27" s="745">
        <f ca="1">OFFSET(CRONO!$T$40,0,CRONOPLE!V22)</f>
        <v>1</v>
      </c>
      <c r="W27" s="746"/>
      <c r="X27" s="745">
        <f ca="1">OFFSET(CRONO!$T$40,0,CRONOPLE!X22)</f>
        <v>1</v>
      </c>
      <c r="Y27" s="746"/>
      <c r="Z27" s="745">
        <f ca="1">OFFSET(CRONO!$T$40,0,CRONOPLE!Z22)</f>
        <v>1</v>
      </c>
      <c r="AA27" s="746"/>
      <c r="AB27" s="745">
        <f ca="1">OFFSET(CRONO!$T$40,0,CRONOPLE!AB22)</f>
        <v>1</v>
      </c>
      <c r="AC27" s="746"/>
      <c r="AD27" s="745">
        <f ca="1">OFFSET(CRONO!$T$40,0,CRONOPLE!AD22)</f>
        <v>1</v>
      </c>
      <c r="AE27" s="746"/>
    </row>
    <row r="28" spans="1:31" ht="15" customHeight="1" x14ac:dyDescent="0.25">
      <c r="A28" s="7" t="s">
        <v>536</v>
      </c>
      <c r="C28" s="548"/>
      <c r="G28" s="582" t="str">
        <f ca="1">IF(COUNTIF(H28:AF28,"%Adm&gt;%Global")&gt;0,"Verificar proporcionalidade da Administração Local","")</f>
        <v/>
      </c>
      <c r="H28" s="534" t="str">
        <f ca="1">IF(H27="","",IF(ROUND(H27,4)&gt;ROUND(H25,4),"%Adm&gt;%Global",""))</f>
        <v/>
      </c>
      <c r="J28" s="534" t="str">
        <f t="shared" ref="J28" ca="1" si="3">IF(J27="","",IF(ROUND(J27,4)&gt;ROUND(J25,4),"%Adm&gt;%Global",""))</f>
        <v/>
      </c>
      <c r="L28" s="534" t="str">
        <f t="shared" ref="L28" ca="1" si="4">IF(L27="","",IF(ROUND(L27,4)&gt;ROUND(L25,4),"%Adm&gt;%Global",""))</f>
        <v/>
      </c>
      <c r="N28" s="534" t="str">
        <f t="shared" ref="N28" ca="1" si="5">IF(N27="","",IF(ROUND(N27,4)&gt;ROUND(N25,4),"%Adm&gt;%Global",""))</f>
        <v/>
      </c>
      <c r="P28" s="534" t="str">
        <f t="shared" ref="P28" ca="1" si="6">IF(P27="","",IF(ROUND(P27,4)&gt;ROUND(P25,4),"%Adm&gt;%Global",""))</f>
        <v/>
      </c>
      <c r="R28" s="534" t="str">
        <f t="shared" ref="R28" ca="1" si="7">IF(R27="","",IF(ROUND(R27,4)&gt;ROUND(R25,4),"%Adm&gt;%Global",""))</f>
        <v/>
      </c>
      <c r="T28" s="534" t="str">
        <f t="shared" ref="T28" ca="1" si="8">IF(T27="","",IF(ROUND(T27,4)&gt;ROUND(T25,4),"%Adm&gt;%Global",""))</f>
        <v/>
      </c>
      <c r="V28" s="534" t="str">
        <f t="shared" ref="V28" ca="1" si="9">IF(V27="","",IF(ROUND(V27,4)&gt;ROUND(V25,4),"%Adm&gt;%Global",""))</f>
        <v/>
      </c>
      <c r="X28" s="534" t="str">
        <f t="shared" ref="X28" ca="1" si="10">IF(X27="","",IF(ROUND(X27,4)&gt;ROUND(X25,4),"%Adm&gt;%Global",""))</f>
        <v/>
      </c>
      <c r="Z28" s="534" t="str">
        <f t="shared" ref="Z28" ca="1" si="11">IF(Z27="","",IF(ROUND(Z27,4)&gt;ROUND(Z25,4),"%Adm&gt;%Global",""))</f>
        <v/>
      </c>
      <c r="AB28" s="534" t="str">
        <f t="shared" ref="AB28" ca="1" si="12">IF(AB27="","",IF(ROUND(AB27,4)&gt;ROUND(AB25,4),"%Adm&gt;%Global",""))</f>
        <v/>
      </c>
      <c r="AD28" s="534" t="str">
        <f t="shared" ref="AD28" ca="1" si="13">IF(AD27="","",IF(ROUND(AD27,4)&gt;ROUND(AD25,4),"%Adm&gt;%Global",""))</f>
        <v/>
      </c>
    </row>
    <row r="29" spans="1:31" x14ac:dyDescent="0.2">
      <c r="A29" s="7" t="s">
        <v>536</v>
      </c>
    </row>
    <row r="30" spans="1:31" ht="15" x14ac:dyDescent="0.2">
      <c r="A30" s="7" t="s">
        <v>536</v>
      </c>
      <c r="B30" s="137" t="str">
        <f>Import.Município</f>
        <v>Marialva-PR</v>
      </c>
      <c r="C30" s="137"/>
      <c r="E30" s="487"/>
      <c r="F30" s="487"/>
      <c r="G30" s="487"/>
      <c r="H30" s="487"/>
      <c r="I30" s="487"/>
      <c r="J30" s="487"/>
      <c r="K30" s="487"/>
      <c r="L30" s="487"/>
      <c r="V30" s="459"/>
      <c r="W30" s="416"/>
      <c r="X30" s="416"/>
      <c r="Y30" s="416"/>
      <c r="Z30" s="416"/>
      <c r="AA30" s="416"/>
      <c r="AB30" s="416"/>
      <c r="AC30" s="416"/>
      <c r="AD30" s="416"/>
      <c r="AE30" s="416"/>
    </row>
    <row r="31" spans="1:31" x14ac:dyDescent="0.2">
      <c r="A31" s="7" t="s">
        <v>536</v>
      </c>
      <c r="B31" s="9" t="s">
        <v>693</v>
      </c>
      <c r="F31" s="184"/>
      <c r="G31" s="184"/>
      <c r="H31" s="184"/>
      <c r="I31" s="184"/>
      <c r="J31" s="184"/>
      <c r="K31" s="184"/>
      <c r="L31" s="186"/>
      <c r="V31" s="180" t="s">
        <v>696</v>
      </c>
    </row>
    <row r="32" spans="1:31" x14ac:dyDescent="0.2">
      <c r="A32" s="7" t="s">
        <v>536</v>
      </c>
      <c r="F32" s="184"/>
      <c r="G32" s="184"/>
      <c r="H32" s="184"/>
      <c r="I32" s="184"/>
      <c r="J32" s="184"/>
      <c r="K32" s="184"/>
      <c r="L32" s="186"/>
      <c r="V32" s="397" t="str">
        <f t="array" aca="1" ref="V32:V34" ca="1">OFFSET(Import.RespOrçamento,0,-1) &amp; " " &amp; Import.RespOrçamento</f>
        <v>Nome: Fernando Vinicius Moraes Viana</v>
      </c>
    </row>
    <row r="33" spans="1:22" ht="16.5" x14ac:dyDescent="0.3">
      <c r="A33" s="7" t="s">
        <v>536</v>
      </c>
      <c r="B33" s="749">
        <f>DADOS!$C$25</f>
        <v>46295</v>
      </c>
      <c r="C33" s="749"/>
      <c r="F33" s="184"/>
      <c r="G33" s="184"/>
      <c r="H33" s="184"/>
      <c r="I33" s="184"/>
      <c r="J33" s="184"/>
      <c r="K33" s="184"/>
      <c r="L33" s="186"/>
      <c r="V33" s="397" t="str">
        <f ca="1"/>
        <v>CREA/CAU: 144.403/D</v>
      </c>
    </row>
    <row r="34" spans="1:22" x14ac:dyDescent="0.2">
      <c r="A34" s="7" t="s">
        <v>536</v>
      </c>
      <c r="B34" s="9" t="s">
        <v>694</v>
      </c>
      <c r="F34" s="184"/>
      <c r="G34" s="184"/>
      <c r="H34" s="184"/>
      <c r="I34" s="184"/>
      <c r="J34" s="184"/>
      <c r="K34" s="184"/>
      <c r="L34" s="186"/>
      <c r="V34" s="397" t="str">
        <f ca="1"/>
        <v>ART/RRT: 1720265939600</v>
      </c>
    </row>
  </sheetData>
  <sheetProtection algorithmName="SHA-512" hashValue="LGtt7WPJgNaDCZyxZsJ9D/kTwS3N4pX9zoRY91toIzeqtcuo9xRV904bjdmNyEoKp1ugR9dBicaF0XbJAOFkkw==" saltValue="eCysOlYjpxkXzkYgkjpkBA==" spinCount="100000" sheet="1" objects="1" scenarios="1" autoFilter="0"/>
  <autoFilter ref="A13:A34" xr:uid="{00000000-0001-0000-0800-000000000000}"/>
  <mergeCells count="86">
    <mergeCell ref="AB24:AC24"/>
    <mergeCell ref="AB23:AC23"/>
    <mergeCell ref="AD23:AE23"/>
    <mergeCell ref="AD24:AE24"/>
    <mergeCell ref="Z24:AA24"/>
    <mergeCell ref="AB27:AC27"/>
    <mergeCell ref="R24:S24"/>
    <mergeCell ref="X24:Y24"/>
    <mergeCell ref="P24:Q24"/>
    <mergeCell ref="AD25:AE25"/>
    <mergeCell ref="P27:Q27"/>
    <mergeCell ref="AD26:AE26"/>
    <mergeCell ref="AD27:AE27"/>
    <mergeCell ref="R27:S27"/>
    <mergeCell ref="T27:U27"/>
    <mergeCell ref="V27:W27"/>
    <mergeCell ref="X27:Y27"/>
    <mergeCell ref="Z27:AA27"/>
    <mergeCell ref="AB26:AC26"/>
    <mergeCell ref="Z25:AA25"/>
    <mergeCell ref="AB25:AC25"/>
    <mergeCell ref="AC2:AE2"/>
    <mergeCell ref="B4:D4"/>
    <mergeCell ref="G4:I4"/>
    <mergeCell ref="J4:L4"/>
    <mergeCell ref="B5:D5"/>
    <mergeCell ref="G5:I5"/>
    <mergeCell ref="J5:L5"/>
    <mergeCell ref="M5:AE5"/>
    <mergeCell ref="C23:C24"/>
    <mergeCell ref="H23:I23"/>
    <mergeCell ref="J23:K23"/>
    <mergeCell ref="H24:I24"/>
    <mergeCell ref="J24:K24"/>
    <mergeCell ref="AD22:AE22"/>
    <mergeCell ref="X23:Y23"/>
    <mergeCell ref="Z23:AA23"/>
    <mergeCell ref="V23:W23"/>
    <mergeCell ref="AB22:AC22"/>
    <mergeCell ref="X22:Y22"/>
    <mergeCell ref="Z22:AA22"/>
    <mergeCell ref="V22:W22"/>
    <mergeCell ref="H22:I22"/>
    <mergeCell ref="J22:K22"/>
    <mergeCell ref="L22:M22"/>
    <mergeCell ref="T22:U22"/>
    <mergeCell ref="B8:C8"/>
    <mergeCell ref="B12:B13"/>
    <mergeCell ref="C12:C13"/>
    <mergeCell ref="N22:O22"/>
    <mergeCell ref="P22:Q22"/>
    <mergeCell ref="R22:S22"/>
    <mergeCell ref="T24:U24"/>
    <mergeCell ref="V24:W24"/>
    <mergeCell ref="L23:M23"/>
    <mergeCell ref="N23:O23"/>
    <mergeCell ref="L24:M24"/>
    <mergeCell ref="N24:O24"/>
    <mergeCell ref="P23:Q23"/>
    <mergeCell ref="R23:S23"/>
    <mergeCell ref="T23:U23"/>
    <mergeCell ref="Z26:AA26"/>
    <mergeCell ref="H25:I25"/>
    <mergeCell ref="J25:K25"/>
    <mergeCell ref="L25:M25"/>
    <mergeCell ref="N25:O25"/>
    <mergeCell ref="H26:I26"/>
    <mergeCell ref="J26:K26"/>
    <mergeCell ref="N26:O26"/>
    <mergeCell ref="P26:Q26"/>
    <mergeCell ref="R26:S26"/>
    <mergeCell ref="T26:U26"/>
    <mergeCell ref="P25:Q25"/>
    <mergeCell ref="R25:S25"/>
    <mergeCell ref="V25:W25"/>
    <mergeCell ref="L26:M26"/>
    <mergeCell ref="T25:U25"/>
    <mergeCell ref="C25:C26"/>
    <mergeCell ref="H27:I27"/>
    <mergeCell ref="J27:K27"/>
    <mergeCell ref="X25:Y25"/>
    <mergeCell ref="B33:C33"/>
    <mergeCell ref="V26:W26"/>
    <mergeCell ref="X26:Y26"/>
    <mergeCell ref="L27:M27"/>
    <mergeCell ref="N27:O27"/>
  </mergeCells>
  <phoneticPr fontId="38" type="noConversion"/>
  <conditionalFormatting sqref="B8:C8">
    <cfRule type="expression" dxfId="144" priority="506">
      <formula>$B$7=""</formula>
    </cfRule>
  </conditionalFormatting>
  <conditionalFormatting sqref="B15:C15 E15 G15:AF15">
    <cfRule type="expression" dxfId="143" priority="507">
      <formula>$B$15=0</formula>
    </cfRule>
  </conditionalFormatting>
  <conditionalFormatting sqref="E1 G1:AE1">
    <cfRule type="expression" dxfId="142" priority="802" stopIfTrue="1">
      <formula>IF(OR(E$12&gt;CÁLCULO.NúmeroDeFrentes,ACOMPANHAMENTO="BM"),TRUE,CRONOPLE.ValorDoEvento=0)</formula>
    </cfRule>
  </conditionalFormatting>
  <conditionalFormatting sqref="E16:E19 G16:AE19">
    <cfRule type="expression" dxfId="141" priority="6" stopIfTrue="1">
      <formula>IF(OR(E$12&gt;CÁLCULO.NúmeroDeFrentes,ACOMPANHAMENTO="BM"),TRUE,CRONOPLE.ValorDoEvento=0)</formula>
    </cfRule>
  </conditionalFormatting>
  <conditionalFormatting sqref="H27:AE27">
    <cfRule type="expression" dxfId="140" priority="504">
      <formula>ROUND(H27,4)&gt;ROUND(H25,4)</formula>
    </cfRule>
  </conditionalFormatting>
  <conditionalFormatting sqref="J22:AE22">
    <cfRule type="expression" dxfId="139" priority="691" stopIfTrue="1">
      <formula>OFFSET(J22,3,-2)=1</formula>
    </cfRule>
  </conditionalFormatting>
  <conditionalFormatting sqref="J23:AE23">
    <cfRule type="expression" dxfId="138" priority="686" stopIfTrue="1">
      <formula>OFFSET(J23,2,-2)=1</formula>
    </cfRule>
  </conditionalFormatting>
  <conditionalFormatting sqref="J24:AE24">
    <cfRule type="expression" dxfId="137" priority="685" stopIfTrue="1">
      <formula>OFFSET(J24,1,-2)=1</formula>
    </cfRule>
  </conditionalFormatting>
  <conditionalFormatting sqref="J25:AE25">
    <cfRule type="expression" dxfId="136" priority="684" stopIfTrue="1">
      <formula>OFFSET(J25,0,-2)=1</formula>
    </cfRule>
  </conditionalFormatting>
  <conditionalFormatting sqref="J26:AE26">
    <cfRule type="expression" dxfId="135" priority="683" stopIfTrue="1">
      <formula>OFFSET(J26,-1,-2)=1</formula>
    </cfRule>
  </conditionalFormatting>
  <conditionalFormatting sqref="J27:AE27">
    <cfRule type="expression" dxfId="134" priority="505">
      <formula>OFFSET(J27,-2,-2)=1</formula>
    </cfRule>
  </conditionalFormatting>
  <conditionalFormatting sqref="U4:Y4">
    <cfRule type="expression" dxfId="133" priority="692" stopIfTrue="1">
      <formula>QCI.ExisteManual</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19 G16:AE19"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46"/>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5" hidden="1" customWidth="1"/>
    <col min="2" max="4" width="9.140625" style="184" hidden="1" customWidth="1"/>
    <col min="5" max="5" width="11" style="185" hidden="1" customWidth="1"/>
    <col min="6" max="6" width="19" style="184" hidden="1" customWidth="1"/>
    <col min="7" max="7" width="3.5703125" style="185" customWidth="1"/>
    <col min="8" max="8" width="12.5703125" style="184" customWidth="1"/>
    <col min="9" max="9" width="7.140625" style="185" customWidth="1"/>
    <col min="10" max="10" width="11.5703125" style="185" customWidth="1"/>
    <col min="11" max="11" width="12" style="185" customWidth="1"/>
    <col min="12" max="12" width="11" style="185" customWidth="1"/>
    <col min="13" max="18" width="9.140625" style="184" hidden="1" customWidth="1"/>
    <col min="19" max="19" width="11.42578125" style="186" customWidth="1"/>
    <col min="20" max="20" width="9.5703125" style="186" customWidth="1"/>
    <col min="21" max="32" width="11" style="185" customWidth="1"/>
    <col min="33" max="33" width="5.5703125" style="185" hidden="1" customWidth="1"/>
    <col min="34" max="16384" width="9.140625" style="185"/>
  </cols>
  <sheetData>
    <row r="1" spans="1:33" hidden="1" x14ac:dyDescent="0.2">
      <c r="A1" s="185" t="e">
        <f ca="1">IF($M1&gt;1,_xlfn.CONCAT($I1," ",$J1),"")</f>
        <v>#REF!</v>
      </c>
      <c r="B1" s="184" t="e">
        <f ca="1">OFFSET(B1,-3,0)+1</f>
        <v>#REF!</v>
      </c>
      <c r="C1" s="184" t="e">
        <f ca="1">IF($R1&lt;&gt;2,0,IF($S1=0,1,IF(F2&gt;0,OFFSET(QCI!$M$13,SUBSTITUTE(F2,".",""),0),OFFSET(ORÇAMENTO!$AA$15,CRONO!$F1,0))/$S1))</f>
        <v>#REF!</v>
      </c>
      <c r="D1" s="184" t="e">
        <f ca="1">IF($R1&lt;&gt;2,0,IF($S1=0,1,IF(F2&gt;0,OFFSET(QCI!$N$13,SUBSTITUTE(F2,".",""),0),OFFSET(ORÇAMENTO!$AB$15,CRONO!$F1,0))/$S1))</f>
        <v>#REF!</v>
      </c>
      <c r="E1" s="187" t="e" cm="1">
        <f t="array" aca="1" ref="E1" ca="1">IF(AND($R1=2,ACOMPANHAMENTO="BM"),ROUND(E2,4),E3/$S1)</f>
        <v>#REF!</v>
      </c>
      <c r="F1" s="184" t="e" cm="1">
        <f t="array" aca="1" ref="F1" ca="1">IF(B1&lt;=ORÇAMENTO.MáximoListaCrono,MATCH(B1,ORÇAMENTO.ListaCrono,0),NA())</f>
        <v>#REF!</v>
      </c>
      <c r="G1" s="184" t="e">
        <f ca="1">IF(AND($F2&lt;&gt;-1,$S1&gt;0),"F","")</f>
        <v>#REF!</v>
      </c>
      <c r="H1" s="188" t="e" cm="1">
        <f t="array" aca="1" ref="H1" ca="1">IF(OR(S1=0,S1=""),"Linha",IF(AND(OR(ACOMPANHAMENTO="PLE",$R1&lt;&gt;2),$F2=0),"Linha",ROUND(1-SUM(U1:AG1),4)))</f>
        <v>#REF!</v>
      </c>
      <c r="I1" s="189" t="e">
        <f ca="1">IF($F2=0,OFFSET(ORÇAMENTO!O$15,$F1,0),IF($F2&lt;&gt;-1,OFFSET(QCI!$D$13,$F2,0),""))</f>
        <v>#REF!</v>
      </c>
      <c r="J1" s="190" t="e">
        <f ca="1">IF($F2=0,OFFSET(ORÇAMENTO!R$15,$F1,0),IF($F2&lt;&gt;-1,OFFSET(QCI!$G$13,$F2,0),""))</f>
        <v>#REF!</v>
      </c>
      <c r="K1" s="190"/>
      <c r="L1" s="190"/>
      <c r="M1" s="191" t="e">
        <f ca="1">IF($F2=0,OFFSET(ORÇAMENTO!C$15,$F1,0),1)</f>
        <v>#REF!</v>
      </c>
      <c r="N1" s="192" t="e">
        <f ca="1">IF($F2=-1,0,IF(N$13&lt;=$M1,IF(ISERROR(MATCH(N$13,OFFSET($M1,1,0,ROW($M$29)-ROW($M1)-1),0)),ROW($M$29)-ROW($M1)-1,MATCH(N$13,OFFSET($M1,1,0,ROW($M$29)-ROW($M1)-1),0)-1),0))</f>
        <v>#REF!</v>
      </c>
      <c r="O1" s="192" t="e">
        <f ca="1">IF($F2=-1,0,IF(O$13&lt;=$M1,IF(ISERROR(MATCH(O$13,OFFSET($M1,1,0,ROW($M$29)-ROW($M1)-1),0)),ROW($M$29)-ROW($M1)-1,MATCH(O$13,OFFSET($M1,1,0,ROW($M$29)-ROW($M1)-1),0)-1),0))</f>
        <v>#REF!</v>
      </c>
      <c r="P1" s="192" t="e">
        <f ca="1">IF($F2=-1,0,IF(P$13&lt;=$M1,IF(ISERROR(MATCH(P$13,OFFSET($M1,1,0,ROW($M$29)-ROW($M1)-1),0)),ROW($M$29)-ROW($M1)-1,MATCH(P$13,OFFSET($M1,1,0,ROW($M$29)-ROW($M1)-1),0)-1),0))</f>
        <v>#REF!</v>
      </c>
      <c r="Q1" s="192" t="e">
        <f ca="1">IF($F2=-1,0,IF(Q$13&lt;=$M1,IF(ISERROR(MATCH(Q$13,OFFSET($M1,1,0,ROW($M$29)-ROW($M1)-1),0)),ROW($M$29)-ROW($M1)-1,MATCH(Q$13,OFFSET($M1,1,0,ROW($M$29)-ROW($M1)-1),0)-1),0))</f>
        <v>#REF!</v>
      </c>
      <c r="R1" s="192" t="e">
        <f ca="1">MIN(OFFSET(M1,0,1,,M1))</f>
        <v>#REF!</v>
      </c>
      <c r="S1" s="193" t="e">
        <f ca="1">IF($F2=0,OFFSET(ORÇAMENTO!X$15,$F1,0),IF($F2&lt;&gt;-1,OFFSET(QCI!$O$13,$F2,0),""))</f>
        <v>#REF!</v>
      </c>
      <c r="T1" s="194" t="s">
        <v>785</v>
      </c>
      <c r="U1" s="187" t="e" cm="1">
        <f t="array" aca="1" ref="U1" ca="1">IF(AND($R1=2,ACOMPANHAMENTO="BM"),ROUND(U2,4),U3/$S1)</f>
        <v>#REF!</v>
      </c>
      <c r="V1" s="187" t="e" cm="1">
        <f t="array" aca="1" ref="V1" ca="1">IF(AND($R1=2,ACOMPANHAMENTO="BM"),ROUND(V2,4),V3/$S1)</f>
        <v>#REF!</v>
      </c>
      <c r="W1" s="187" t="e" cm="1">
        <f t="array" aca="1" ref="W1" ca="1">IF(AND($R1=2,ACOMPANHAMENTO="BM"),ROUND(W2,4),W3/$S1)</f>
        <v>#REF!</v>
      </c>
      <c r="X1" s="187" t="e" cm="1">
        <f t="array" aca="1" ref="X1" ca="1">IF(AND($R1=2,ACOMPANHAMENTO="BM"),ROUND(X2,4),X3/$S1)</f>
        <v>#REF!</v>
      </c>
      <c r="Y1" s="187" t="e" cm="1">
        <f t="array" aca="1" ref="Y1" ca="1">IF(AND($R1=2,ACOMPANHAMENTO="BM"),ROUND(Y2,4),Y3/$S1)</f>
        <v>#REF!</v>
      </c>
      <c r="Z1" s="187" t="e" cm="1">
        <f t="array" aca="1" ref="Z1" ca="1">IF(AND($R1=2,ACOMPANHAMENTO="BM"),ROUND(Z2,4),Z3/$S1)</f>
        <v>#REF!</v>
      </c>
      <c r="AA1" s="187" t="e" cm="1">
        <f t="array" aca="1" ref="AA1" ca="1">IF(AND($R1=2,ACOMPANHAMENTO="BM"),ROUND(AA2,4),AA3/$S1)</f>
        <v>#REF!</v>
      </c>
      <c r="AB1" s="187" t="e" cm="1">
        <f t="array" aca="1" ref="AB1" ca="1">IF(AND($R1=2,ACOMPANHAMENTO="BM"),ROUND(AB2,4),AB3/$S1)</f>
        <v>#REF!</v>
      </c>
      <c r="AC1" s="187" t="e" cm="1">
        <f t="array" aca="1" ref="AC1" ca="1">IF(AND($R1=2,ACOMPANHAMENTO="BM"),ROUND(AC2,4),AC3/$S1)</f>
        <v>#REF!</v>
      </c>
      <c r="AD1" s="187" t="e" cm="1">
        <f t="array" aca="1" ref="AD1" ca="1">IF(AND($R1=2,ACOMPANHAMENTO="BM"),ROUND(AD2,4),AD3/$S1)</f>
        <v>#REF!</v>
      </c>
      <c r="AE1" s="187" t="e" cm="1">
        <f t="array" aca="1" ref="AE1" ca="1">IF(AND($R1=2,ACOMPANHAMENTO="BM"),ROUND(AE2,4),AE3/$S1)</f>
        <v>#REF!</v>
      </c>
      <c r="AF1" s="187" t="e" cm="1">
        <f t="array" aca="1" ref="AF1" ca="1">IF(AND($R1=2,ACOMPANHAMENTO="BM"),ROUND(AF2,4),AF3/$S1)</f>
        <v>#REF!</v>
      </c>
      <c r="AG1" s="533"/>
    </row>
    <row r="2" spans="1:33" ht="12.75" hidden="1" customHeight="1" x14ac:dyDescent="0.2">
      <c r="E2" s="586"/>
      <c r="F2" s="184" t="e">
        <f ca="1">IF(ISERROR(F1),IF(1+COUNTIF($M$13:OFFSET(M1,-1,0),1)&lt;=MAX(QCI!$D$13:$D$24),1+COUNTIF($M$13:OFFSET(M1,-1,0),1),-1),0)</f>
        <v>#REF!</v>
      </c>
      <c r="G2" s="184" t="str" cm="1">
        <f t="array" aca="1" ref="G2" ca="1">IF(ACOMPANHAMENTO="BM",OFFSET(G2,-1,0),"")</f>
        <v/>
      </c>
      <c r="H2" s="195" t="e" cm="1">
        <f t="array" aca="1" ref="H2" ca="1">IF(OR(S1=0,S1=""),"vazia",IF(AND(OR(ACOMPANHAMENTO="PLE",$R1&lt;&gt;2),$F2=0),"calculada","--&gt;"))</f>
        <v>#REF!</v>
      </c>
      <c r="I2" s="196"/>
      <c r="J2" s="197" t="e">
        <f ca="1">IF(AND(H1&lt;&gt;0,ISNUMBER(H1)),"PREENCHA ESTA LINHA --&gt;","")</f>
        <v>#REF!</v>
      </c>
      <c r="K2" s="197"/>
      <c r="L2" s="197"/>
      <c r="M2" s="198"/>
      <c r="N2" s="198"/>
      <c r="O2" s="198"/>
      <c r="P2" s="198"/>
      <c r="Q2" s="198"/>
      <c r="R2" s="198"/>
      <c r="S2" s="199"/>
      <c r="T2" s="200"/>
      <c r="U2" s="586"/>
      <c r="V2" s="586"/>
      <c r="W2" s="586"/>
      <c r="X2" s="586"/>
      <c r="Y2" s="586"/>
      <c r="Z2" s="586"/>
      <c r="AA2" s="586"/>
      <c r="AB2" s="586"/>
      <c r="AC2" s="586"/>
      <c r="AD2" s="586"/>
      <c r="AE2" s="586"/>
      <c r="AF2" s="586"/>
      <c r="AG2" s="533"/>
    </row>
    <row r="3" spans="1:33" ht="12.75" hidden="1" customHeight="1" x14ac:dyDescent="0.2">
      <c r="D3" s="532"/>
      <c r="E3" s="201" t="e" cm="1">
        <f t="array" aca="1" ref="E3" ca="1">IF($R1=2,
         IF(AND(ACOMPANHAMENTO="PLE",ISNUMBER($F1)),
                SUMIF((OFFSET(CÁLCULO!$BC$15:$BU$15,$F1,0,OFFSET(ORÇAMENTO!$D$15,CRONO!$F1,0))),CRONO!E$12,OFFSET(CÁLCULO!$AJ$15:$BB$15,$F1,0,OFFSET(ORÇAMENTO!$D$15,CRONO!$F1,0)))
                +IF(AND($F3&lt;&gt;"",$F3&lt;&gt;0),
                        SUMIF(CÁLCULO!$BC$15:$BU$35,CRONO!E$12,CÁLCULO!$AJ$15:$BB$35)/(ORÇAMENTO!$X$15-CÁLCULO.TotalAdmLocal)*CRONO!$F3,
                        0),
                 E2*$S1),
          SUMIF(OFFSET($S3,1,0,$R1-2),($M1+1)&amp;"$",OFFSET(E3,1,0,$R1-2)))</f>
        <v>#REF!</v>
      </c>
      <c r="F3" s="184" t="e">
        <f ca="1">IF(OR($R1&lt;&gt;2,AUTOEVENTO&lt;&gt;"manual",$F2&gt;0),"",
        IF(Import.TipoArredondamento="Tradicional",
              SUMIF(OFFSET(CÁLCULO!$M$15,CRONO!$F1,0,OFFSET(ORÇAMENTO!$D$15,CRONO!$F1,0)),1,OFFSET(ORÇAMENTO!$X$15,CRONO!$F1,0,OFFSET(ORÇAMENTO!$D$15,CRONO!$F1,0))),
              0))</f>
        <v>#REF!</v>
      </c>
      <c r="H3" s="202"/>
      <c r="S3" s="203" t="e">
        <f ca="1">M1&amp;"$"</f>
        <v>#REF!</v>
      </c>
      <c r="T3" s="204"/>
      <c r="U3" s="201" t="e" cm="1">
        <f t="array" aca="1" ref="U3" ca="1">IF($R1=2,
         IF(AND(ACOMPANHAMENTO="PLE",ISNUMBER($F1)),
                SUMIF((OFFSET(CÁLCULO!$BC$15:$BU$15,$F1,0,OFFSET(ORÇAMENTO!$D$15,CRONO!$F1,0))),CRONO!U$12,OFFSET(CÁLCULO!$AJ$15:$BB$15,$F1,0,OFFSET(ORÇAMENTO!$D$15,CRONO!$F1,0)))
                +IF(AND($F3&lt;&gt;"",$F3&lt;&gt;0),
                        SUMIF(CÁLCULO!$BC$15:$BU$35,CRONO!U$12,CÁLCULO!$AJ$15:$BB$35)/(ORÇAMENTO!$X$15-CÁLCULO.TotalAdmLocal)*CRONO!$F3,
                        0),
                 U2*$S1),
          SUMIF(OFFSET($S3,1,0,$R1-2),($M1+1)&amp;"$",OFFSET(U3,1,0,$R1-2)))</f>
        <v>#REF!</v>
      </c>
      <c r="V3" s="201" t="e" cm="1">
        <f t="array" aca="1" ref="V3" ca="1">IF($R1=2,
         IF(AND(ACOMPANHAMENTO="PLE",ISNUMBER($F1)),
                SUMIF((OFFSET(CÁLCULO!$BC$15:$BU$15,$F1,0,OFFSET(ORÇAMENTO!$D$15,CRONO!$F1,0))),CRONO!V$12,OFFSET(CÁLCULO!$AJ$15:$BB$15,$F1,0,OFFSET(ORÇAMENTO!$D$15,CRONO!$F1,0)))
                +IF(AND($F3&lt;&gt;"",$F3&lt;&gt;0),
                        SUMIF(CÁLCULO!$BC$15:$BU$35,CRONO!V$12,CÁLCULO!$AJ$15:$BB$35)/(ORÇAMENTO!$X$15-CÁLCULO.TotalAdmLocal)*CRONO!$F3,
                        0),
                 V2*$S1),
          SUMIF(OFFSET($S3,1,0,$R1-2),($M1+1)&amp;"$",OFFSET(V3,1,0,$R1-2)))</f>
        <v>#REF!</v>
      </c>
      <c r="W3" s="201" t="e" cm="1">
        <f t="array" aca="1" ref="W3" ca="1">IF($R1=2,
         IF(AND(ACOMPANHAMENTO="PLE",ISNUMBER($F1)),
                SUMIF((OFFSET(CÁLCULO!$BC$15:$BU$15,$F1,0,OFFSET(ORÇAMENTO!$D$15,CRONO!$F1,0))),CRONO!W$12,OFFSET(CÁLCULO!$AJ$15:$BB$15,$F1,0,OFFSET(ORÇAMENTO!$D$15,CRONO!$F1,0)))
                +IF(AND($F3&lt;&gt;"",$F3&lt;&gt;0),
                        SUMIF(CÁLCULO!$BC$15:$BU$35,CRONO!W$12,CÁLCULO!$AJ$15:$BB$35)/(ORÇAMENTO!$X$15-CÁLCULO.TotalAdmLocal)*CRONO!$F3,
                        0),
                 W2*$S1),
          SUMIF(OFFSET($S3,1,0,$R1-2),($M1+1)&amp;"$",OFFSET(W3,1,0,$R1-2)))</f>
        <v>#REF!</v>
      </c>
      <c r="X3" s="201" t="e" cm="1">
        <f t="array" aca="1" ref="X3" ca="1">IF($R1=2,
         IF(AND(ACOMPANHAMENTO="PLE",ISNUMBER($F1)),
                SUMIF((OFFSET(CÁLCULO!$BC$15:$BU$15,$F1,0,OFFSET(ORÇAMENTO!$D$15,CRONO!$F1,0))),CRONO!X$12,OFFSET(CÁLCULO!$AJ$15:$BB$15,$F1,0,OFFSET(ORÇAMENTO!$D$15,CRONO!$F1,0)))
                +IF(AND($F3&lt;&gt;"",$F3&lt;&gt;0),
                        SUMIF(CÁLCULO!$BC$15:$BU$35,CRONO!X$12,CÁLCULO!$AJ$15:$BB$35)/(ORÇAMENTO!$X$15-CÁLCULO.TotalAdmLocal)*CRONO!$F3,
                        0),
                 X2*$S1),
          SUMIF(OFFSET($S3,1,0,$R1-2),($M1+1)&amp;"$",OFFSET(X3,1,0,$R1-2)))</f>
        <v>#REF!</v>
      </c>
      <c r="Y3" s="201" t="e" cm="1">
        <f t="array" aca="1" ref="Y3" ca="1">IF($R1=2,
         IF(AND(ACOMPANHAMENTO="PLE",ISNUMBER($F1)),
                SUMIF((OFFSET(CÁLCULO!$BC$15:$BU$15,$F1,0,OFFSET(ORÇAMENTO!$D$15,CRONO!$F1,0))),CRONO!Y$12,OFFSET(CÁLCULO!$AJ$15:$BB$15,$F1,0,OFFSET(ORÇAMENTO!$D$15,CRONO!$F1,0)))
                +IF(AND($F3&lt;&gt;"",$F3&lt;&gt;0),
                        SUMIF(CÁLCULO!$BC$15:$BU$35,CRONO!Y$12,CÁLCULO!$AJ$15:$BB$35)/(ORÇAMENTO!$X$15-CÁLCULO.TotalAdmLocal)*CRONO!$F3,
                        0),
                 Y2*$S1),
          SUMIF(OFFSET($S3,1,0,$R1-2),($M1+1)&amp;"$",OFFSET(Y3,1,0,$R1-2)))</f>
        <v>#REF!</v>
      </c>
      <c r="Z3" s="201" t="e" cm="1">
        <f t="array" aca="1" ref="Z3" ca="1">IF($R1=2,
         IF(AND(ACOMPANHAMENTO="PLE",ISNUMBER($F1)),
                SUMIF((OFFSET(CÁLCULO!$BC$15:$BU$15,$F1,0,OFFSET(ORÇAMENTO!$D$15,CRONO!$F1,0))),CRONO!Z$12,OFFSET(CÁLCULO!$AJ$15:$BB$15,$F1,0,OFFSET(ORÇAMENTO!$D$15,CRONO!$F1,0)))
                +IF(AND($F3&lt;&gt;"",$F3&lt;&gt;0),
                        SUMIF(CÁLCULO!$BC$15:$BU$35,CRONO!Z$12,CÁLCULO!$AJ$15:$BB$35)/(ORÇAMENTO!$X$15-CÁLCULO.TotalAdmLocal)*CRONO!$F3,
                        0),
                 Z2*$S1),
          SUMIF(OFFSET($S3,1,0,$R1-2),($M1+1)&amp;"$",OFFSET(Z3,1,0,$R1-2)))</f>
        <v>#REF!</v>
      </c>
      <c r="AA3" s="201" t="e" cm="1">
        <f t="array" aca="1" ref="AA3" ca="1">IF($R1=2,
         IF(AND(ACOMPANHAMENTO="PLE",ISNUMBER($F1)),
                SUMIF((OFFSET(CÁLCULO!$BC$15:$BU$15,$F1,0,OFFSET(ORÇAMENTO!$D$15,CRONO!$F1,0))),CRONO!AA$12,OFFSET(CÁLCULO!$AJ$15:$BB$15,$F1,0,OFFSET(ORÇAMENTO!$D$15,CRONO!$F1,0)))
                +IF(AND($F3&lt;&gt;"",$F3&lt;&gt;0),
                        SUMIF(CÁLCULO!$BC$15:$BU$35,CRONO!AA$12,CÁLCULO!$AJ$15:$BB$35)/(ORÇAMENTO!$X$15-CÁLCULO.TotalAdmLocal)*CRONO!$F3,
                        0),
                 AA2*$S1),
          SUMIF(OFFSET($S3,1,0,$R1-2),($M1+1)&amp;"$",OFFSET(AA3,1,0,$R1-2)))</f>
        <v>#REF!</v>
      </c>
      <c r="AB3" s="201" t="e" cm="1">
        <f t="array" aca="1" ref="AB3" ca="1">IF($R1=2,
         IF(AND(ACOMPANHAMENTO="PLE",ISNUMBER($F1)),
                SUMIF((OFFSET(CÁLCULO!$BC$15:$BU$15,$F1,0,OFFSET(ORÇAMENTO!$D$15,CRONO!$F1,0))),CRONO!AB$12,OFFSET(CÁLCULO!$AJ$15:$BB$15,$F1,0,OFFSET(ORÇAMENTO!$D$15,CRONO!$F1,0)))
                +IF(AND($F3&lt;&gt;"",$F3&lt;&gt;0),
                        SUMIF(CÁLCULO!$BC$15:$BU$35,CRONO!AB$12,CÁLCULO!$AJ$15:$BB$35)/(ORÇAMENTO!$X$15-CÁLCULO.TotalAdmLocal)*CRONO!$F3,
                        0),
                 AB2*$S1),
          SUMIF(OFFSET($S3,1,0,$R1-2),($M1+1)&amp;"$",OFFSET(AB3,1,0,$R1-2)))</f>
        <v>#REF!</v>
      </c>
      <c r="AC3" s="201" t="e" cm="1">
        <f t="array" aca="1" ref="AC3" ca="1">IF($R1=2,
         IF(AND(ACOMPANHAMENTO="PLE",ISNUMBER($F1)),
                SUMIF((OFFSET(CÁLCULO!$BC$15:$BU$15,$F1,0,OFFSET(ORÇAMENTO!$D$15,CRONO!$F1,0))),CRONO!AC$12,OFFSET(CÁLCULO!$AJ$15:$BB$15,$F1,0,OFFSET(ORÇAMENTO!$D$15,CRONO!$F1,0)))
                +IF(AND($F3&lt;&gt;"",$F3&lt;&gt;0),
                        SUMIF(CÁLCULO!$BC$15:$BU$35,CRONO!AC$12,CÁLCULO!$AJ$15:$BB$35)/(ORÇAMENTO!$X$15-CÁLCULO.TotalAdmLocal)*CRONO!$F3,
                        0),
                 AC2*$S1),
          SUMIF(OFFSET($S3,1,0,$R1-2),($M1+1)&amp;"$",OFFSET(AC3,1,0,$R1-2)))</f>
        <v>#REF!</v>
      </c>
      <c r="AD3" s="201" t="e" cm="1">
        <f t="array" aca="1" ref="AD3" ca="1">IF($R1=2,
         IF(AND(ACOMPANHAMENTO="PLE",ISNUMBER($F1)),
                SUMIF((OFFSET(CÁLCULO!$BC$15:$BU$15,$F1,0,OFFSET(ORÇAMENTO!$D$15,CRONO!$F1,0))),CRONO!AD$12,OFFSET(CÁLCULO!$AJ$15:$BB$15,$F1,0,OFFSET(ORÇAMENTO!$D$15,CRONO!$F1,0)))
                +IF(AND($F3&lt;&gt;"",$F3&lt;&gt;0),
                        SUMIF(CÁLCULO!$BC$15:$BU$35,CRONO!AD$12,CÁLCULO!$AJ$15:$BB$35)/(ORÇAMENTO!$X$15-CÁLCULO.TotalAdmLocal)*CRONO!$F3,
                        0),
                 AD2*$S1),
          SUMIF(OFFSET($S3,1,0,$R1-2),($M1+1)&amp;"$",OFFSET(AD3,1,0,$R1-2)))</f>
        <v>#REF!</v>
      </c>
      <c r="AE3" s="201" t="e" cm="1">
        <f t="array" aca="1" ref="AE3" ca="1">IF($R1=2,
         IF(AND(ACOMPANHAMENTO="PLE",ISNUMBER($F1)),
                SUMIF((OFFSET(CÁLCULO!$BC$15:$BU$15,$F1,0,OFFSET(ORÇAMENTO!$D$15,CRONO!$F1,0))),CRONO!AE$12,OFFSET(CÁLCULO!$AJ$15:$BB$15,$F1,0,OFFSET(ORÇAMENTO!$D$15,CRONO!$F1,0)))
                +IF(AND($F3&lt;&gt;"",$F3&lt;&gt;0),
                        SUMIF(CÁLCULO!$BC$15:$BU$35,CRONO!AE$12,CÁLCULO!$AJ$15:$BB$35)/(ORÇAMENTO!$X$15-CÁLCULO.TotalAdmLocal)*CRONO!$F3,
                        0),
                 AE2*$S1),
          SUMIF(OFFSET($S3,1,0,$R1-2),($M1+1)&amp;"$",OFFSET(AE3,1,0,$R1-2)))</f>
        <v>#REF!</v>
      </c>
      <c r="AF3" s="201" t="e" cm="1">
        <f t="array" aca="1" ref="AF3" ca="1">IF($R1=2,
         IF(AND(ACOMPANHAMENTO="PLE",ISNUMBER($F1)),
                SUMIF((OFFSET(CÁLCULO!$BC$15:$BU$15,$F1,0,OFFSET(ORÇAMENTO!$D$15,CRONO!$F1,0))),CRONO!AF$12,OFFSET(CÁLCULO!$AJ$15:$BB$15,$F1,0,OFFSET(ORÇAMENTO!$D$15,CRONO!$F1,0)))
                +IF(AND($F3&lt;&gt;"",$F3&lt;&gt;0),
                        SUMIF(CÁLCULO!$BC$15:$BU$35,CRONO!AF$12,CÁLCULO!$AJ$15:$BB$35)/(ORÇAMENTO!$X$15-CÁLCULO.TotalAdmLocal)*CRONO!$F3,
                        0),
                 AF2*$S1),
          SUMIF(OFFSET($S3,1,0,$R1-2),($M1+1)&amp;"$",OFFSET(AF3,1,0,$R1-2)))</f>
        <v>#REF!</v>
      </c>
      <c r="AG3" s="533"/>
    </row>
    <row r="4" spans="1:33" ht="15" customHeight="1" x14ac:dyDescent="0.25">
      <c r="S4" s="205" t="str" cm="1">
        <f t="array" ref="S4">IF(TIPOORCAMENTO="licitado","CFF - CRONOGRAMA FÍSICO-FINANCEIRO LICITADO","CFF - CRONOGRAMA FÍSICO-FINANCEIRO")</f>
        <v>CFF - CRONOGRAMA FÍSICO-FINANCEIRO</v>
      </c>
      <c r="AE4" s="719" t="s">
        <v>644</v>
      </c>
      <c r="AF4" s="719"/>
    </row>
    <row r="5" spans="1:33" ht="15" x14ac:dyDescent="0.2">
      <c r="S5" s="82" t="str">
        <f>import.recurso</f>
        <v>OGU</v>
      </c>
      <c r="AE5" s="720" t="s">
        <v>647</v>
      </c>
      <c r="AF5" s="720"/>
    </row>
    <row r="6" spans="1:33" ht="12.75" customHeight="1" x14ac:dyDescent="0.2"/>
    <row r="7" spans="1:33" ht="12.75" customHeight="1" x14ac:dyDescent="0.2">
      <c r="F7" s="206"/>
      <c r="H7" s="774" t="s">
        <v>786</v>
      </c>
      <c r="I7" s="207" t="s">
        <v>650</v>
      </c>
      <c r="J7" s="208"/>
      <c r="K7" s="209" t="s">
        <v>787</v>
      </c>
      <c r="L7" s="210" t="s">
        <v>788</v>
      </c>
      <c r="M7" s="185"/>
      <c r="N7" s="185"/>
      <c r="O7" s="185"/>
      <c r="T7" s="211"/>
      <c r="U7" s="207" t="s">
        <v>758</v>
      </c>
      <c r="Y7" s="208"/>
      <c r="Z7" s="207" t="str" cm="1">
        <f t="array" ref="Z7">IF(TIPOORCAMENTO="Licitado","NOME DA EMPRESA","DESCRIÇÃO DO LOTE")</f>
        <v>DESCRIÇÃO DO LOTE</v>
      </c>
      <c r="AF7" s="212" t="str" cm="1">
        <f t="array" ref="AF7">IF(TIPOORCAMENTO="Licitado","Nº CTEF","")</f>
        <v/>
      </c>
    </row>
    <row r="8" spans="1:33" x14ac:dyDescent="0.2">
      <c r="A8" s="185" t="s">
        <v>974</v>
      </c>
      <c r="E8" s="184"/>
      <c r="F8" s="113"/>
      <c r="G8" s="680" t="s">
        <v>655</v>
      </c>
      <c r="H8" s="774"/>
      <c r="I8" s="765" t="str">
        <f>Import.CR</f>
        <v>1091265-71</v>
      </c>
      <c r="J8" s="765"/>
      <c r="K8" s="213" t="str">
        <f>Import.TransfereGOV</f>
        <v>060795/2023</v>
      </c>
      <c r="L8" s="764" t="str">
        <f>Import.Proponente</f>
        <v>PREFEITURA MUNICIPAL DE MARIALVA</v>
      </c>
      <c r="M8" s="764"/>
      <c r="N8" s="764"/>
      <c r="O8" s="764"/>
      <c r="P8" s="764"/>
      <c r="Q8" s="764"/>
      <c r="R8" s="764"/>
      <c r="S8" s="764"/>
      <c r="T8" s="764"/>
      <c r="U8" s="765" t="str">
        <f>Import.Apelido</f>
        <v>RECAPEAMENTO ASFÁLTICO</v>
      </c>
      <c r="V8" s="765"/>
      <c r="W8" s="765"/>
      <c r="X8" s="765"/>
      <c r="Y8" s="765"/>
      <c r="Z8" s="775" t="str" cm="1">
        <f t="array" ref="Z8">IF(TIPOORCAMENTO="Licitado",Import.empresa,Import.DescLote)</f>
        <v>RECAPEAMENTO ASFÁLTICO DE VIAS PÚBLICAS NO MÚNICIPIO DE MARIALVA/PR</v>
      </c>
      <c r="AA8" s="775"/>
      <c r="AB8" s="775"/>
      <c r="AC8" s="775"/>
      <c r="AD8" s="775"/>
      <c r="AE8" s="775"/>
      <c r="AF8" s="202" t="str" cm="1">
        <f t="array" ref="AF8">IF(TIPOORCAMENTO="Licitado",Import.CTEF,"")</f>
        <v/>
      </c>
    </row>
    <row r="9" spans="1:33" x14ac:dyDescent="0.2">
      <c r="A9" s="654">
        <v>2</v>
      </c>
      <c r="F9" s="113"/>
      <c r="G9" s="680"/>
      <c r="H9" s="774"/>
    </row>
    <row r="10" spans="1:33" x14ac:dyDescent="0.2">
      <c r="A10" s="655">
        <v>3</v>
      </c>
      <c r="F10" s="184" cm="1">
        <f t="array" aca="1" ref="F10" ca="1">CRONO.LinhasNecessarias</f>
        <v>5</v>
      </c>
      <c r="G10" s="680"/>
      <c r="H10" s="214">
        <v>2</v>
      </c>
      <c r="K10" s="766" t="str" cm="1">
        <f t="array" aca="1" ref="K10" ca="1">IF(MAX($B$13:$B$29)&lt;CRONO.LinhasNecessarias,"ERRO: NÚMERO DE LINHAS DO CRONOGRAMA INSUFICIENTE. CLIQUE EM ATUALIZAR LINHAS.",IF(AND(ACOMPANHAMENTO="PLE",ROUND(OFFSET($AG$39,0,-1),2)=0),"CRONOGRAMA DEVE SER PREENCHIDO POR EVENTOS",IF(ROUND(OFFSET($AG$39,0,-1),2)&lt;&gt;$R$30,"ERRO: CRONOGRAMA NÃO FECHA 100%","")))</f>
        <v/>
      </c>
      <c r="L10" s="766"/>
      <c r="M10" s="766"/>
      <c r="N10" s="766"/>
      <c r="O10" s="766"/>
      <c r="P10" s="766"/>
      <c r="Q10" s="766"/>
      <c r="R10" s="766"/>
      <c r="S10" s="766"/>
      <c r="T10" s="766"/>
    </row>
    <row r="11" spans="1:33" ht="12.75" customHeight="1" x14ac:dyDescent="0.2">
      <c r="A11" s="656">
        <v>4</v>
      </c>
      <c r="F11" s="184" cm="1">
        <f t="array" aca="1" ref="F11" ca="1">CRONO.ParcelaFinal</f>
        <v>5</v>
      </c>
      <c r="G11" s="680"/>
      <c r="I11" s="215"/>
      <c r="J11" s="215"/>
      <c r="K11" s="766"/>
      <c r="L11" s="766"/>
      <c r="M11" s="766"/>
      <c r="N11" s="766"/>
      <c r="O11" s="766"/>
      <c r="P11" s="766"/>
      <c r="Q11" s="766"/>
      <c r="R11" s="766"/>
      <c r="S11" s="766"/>
      <c r="T11" s="766"/>
    </row>
    <row r="12" spans="1:33" ht="12.75" customHeight="1" x14ac:dyDescent="0.2">
      <c r="A12" s="185" t="s">
        <v>789</v>
      </c>
      <c r="E12" s="216">
        <f ca="1">OFFSET(E12,0,-1)+1</f>
        <v>1</v>
      </c>
      <c r="G12" s="105" t="s">
        <v>660</v>
      </c>
      <c r="H12" s="768" t="s">
        <v>790</v>
      </c>
      <c r="I12" s="769" t="s">
        <v>735</v>
      </c>
      <c r="J12" s="770" t="s">
        <v>118</v>
      </c>
      <c r="K12" s="217"/>
      <c r="L12" s="217"/>
      <c r="M12" s="218"/>
      <c r="N12" s="218"/>
      <c r="O12" s="218"/>
      <c r="P12" s="218"/>
      <c r="Q12" s="218"/>
      <c r="R12" s="218"/>
      <c r="S12" s="773" t="s">
        <v>791</v>
      </c>
      <c r="T12" s="763" t="s">
        <v>792</v>
      </c>
      <c r="U12" s="219">
        <v>1</v>
      </c>
      <c r="V12" s="216">
        <f ca="1">OFFSET(V12,0,-1)+1</f>
        <v>2</v>
      </c>
      <c r="W12" s="216">
        <f t="shared" ref="W12:AF12" ca="1" si="0">OFFSET(W12,0,-1)+1</f>
        <v>3</v>
      </c>
      <c r="X12" s="216">
        <f t="shared" ca="1" si="0"/>
        <v>4</v>
      </c>
      <c r="Y12" s="216">
        <f t="shared" ca="1" si="0"/>
        <v>5</v>
      </c>
      <c r="Z12" s="216">
        <f t="shared" ca="1" si="0"/>
        <v>6</v>
      </c>
      <c r="AA12" s="216">
        <f t="shared" ca="1" si="0"/>
        <v>7</v>
      </c>
      <c r="AB12" s="216">
        <f t="shared" ca="1" si="0"/>
        <v>8</v>
      </c>
      <c r="AC12" s="216">
        <f t="shared" ca="1" si="0"/>
        <v>9</v>
      </c>
      <c r="AD12" s="216">
        <f t="shared" ca="1" si="0"/>
        <v>10</v>
      </c>
      <c r="AE12" s="216">
        <f t="shared" ca="1" si="0"/>
        <v>11</v>
      </c>
      <c r="AF12" s="536">
        <f t="shared" ca="1" si="0"/>
        <v>12</v>
      </c>
      <c r="AG12" s="533"/>
    </row>
    <row r="13" spans="1:33" ht="24.95" customHeight="1" x14ac:dyDescent="0.2">
      <c r="B13" s="220" t="s">
        <v>793</v>
      </c>
      <c r="C13" s="220" t="s">
        <v>456</v>
      </c>
      <c r="D13" s="220" t="s">
        <v>794</v>
      </c>
      <c r="E13" s="221" t="e">
        <f ca="1">OFFSET(E13,0,-1)+41-DAY(OFFSET(E13,0,-1)+40)</f>
        <v>#VALUE!</v>
      </c>
      <c r="F13" s="220" t="s">
        <v>795</v>
      </c>
      <c r="H13" s="768"/>
      <c r="I13" s="769"/>
      <c r="J13" s="770"/>
      <c r="K13" s="222"/>
      <c r="L13" s="222"/>
      <c r="M13" s="223" t="s">
        <v>733</v>
      </c>
      <c r="N13" s="223">
        <v>1</v>
      </c>
      <c r="O13" s="223">
        <v>2</v>
      </c>
      <c r="P13" s="223">
        <v>3</v>
      </c>
      <c r="Q13" s="223">
        <v>4</v>
      </c>
      <c r="R13" s="224" t="s">
        <v>796</v>
      </c>
      <c r="S13" s="773"/>
      <c r="T13" s="763"/>
      <c r="U13" s="225">
        <v>46357</v>
      </c>
      <c r="V13" s="221">
        <f ca="1">OFFSET(V13,0,-1)+41-DAY(OFFSET(V13,0,-1)+40)</f>
        <v>46388</v>
      </c>
      <c r="W13" s="221">
        <f ca="1">OFFSET(W13,0,-1)+41-DAY(OFFSET(W13,0,-1)+40)</f>
        <v>46419</v>
      </c>
      <c r="X13" s="221">
        <f t="shared" ref="X13:AF13" ca="1" si="1">OFFSET(X13,0,-1)+41-DAY(OFFSET(X13,0,-1)+40)</f>
        <v>46447</v>
      </c>
      <c r="Y13" s="221">
        <f t="shared" ca="1" si="1"/>
        <v>46478</v>
      </c>
      <c r="Z13" s="221">
        <f t="shared" ca="1" si="1"/>
        <v>46508</v>
      </c>
      <c r="AA13" s="221">
        <f t="shared" ca="1" si="1"/>
        <v>46539</v>
      </c>
      <c r="AB13" s="221">
        <f t="shared" ca="1" si="1"/>
        <v>46569</v>
      </c>
      <c r="AC13" s="221">
        <f t="shared" ca="1" si="1"/>
        <v>46600</v>
      </c>
      <c r="AD13" s="221">
        <f t="shared" ca="1" si="1"/>
        <v>46631</v>
      </c>
      <c r="AE13" s="221">
        <f t="shared" ca="1" si="1"/>
        <v>46661</v>
      </c>
      <c r="AF13" s="537">
        <f t="shared" ca="1" si="1"/>
        <v>46692</v>
      </c>
      <c r="AG13" s="533"/>
    </row>
    <row r="14" spans="1:33" x14ac:dyDescent="0.2">
      <c r="A14" s="185" t="str">
        <f t="shared" ref="A14" ca="1" si="2">IF($M14&gt;1,_xlfn.CONCAT($I14," ",$J14),"")</f>
        <v/>
      </c>
      <c r="B14" s="184">
        <f t="shared" ref="B14" ca="1" si="3">OFFSET(B14,-3,0)+1</f>
        <v>1</v>
      </c>
      <c r="C14" s="184">
        <f ca="1">IF($R14&lt;&gt;2,0,IF($S14=0,1,IF(F15&gt;0,OFFSET(QCI!$M$13,SUBSTITUTE(F15,".",""),0),OFFSET(ORÇAMENTO!$AA$15,CRONO!$F14,0))/$S14))</f>
        <v>0</v>
      </c>
      <c r="D14" s="184">
        <f ca="1">IF($R14&lt;&gt;2,0,IF($S14=0,1,IF(F15&gt;0,OFFSET(QCI!$N$13,SUBSTITUTE(F15,".",""),0),OFFSET(ORÇAMENTO!$AB$15,CRONO!$F14,0))/$S14))</f>
        <v>0</v>
      </c>
      <c r="E14" s="187" cm="1">
        <f t="array" aca="1" ref="E14" ca="1">IF(AND($R14=2,ACOMPANHAMENTO="BM"),ROUND(E15,4),E16/$S14)</f>
        <v>0.17061297606253423</v>
      </c>
      <c r="F14" s="184" cm="1">
        <f t="array" aca="1" ref="F14" ca="1">IF(B14&lt;=ORÇAMENTO.MáximoListaCrono,MATCH(B14,ORÇAMENTO.ListaCrono,0),NA())</f>
        <v>1</v>
      </c>
      <c r="G14" s="184" t="str">
        <f t="shared" ref="G14" ca="1" si="4">IF(AND($F15&lt;&gt;-1,$S14&gt;0),"F","")</f>
        <v>F</v>
      </c>
      <c r="H14" s="188" t="str" cm="1">
        <f t="array" aca="1" ref="H14" ca="1">IF(OR(S14=0,S14=""),"Linha",IF(AND(OR(ACOMPANHAMENTO="PLE",$R14&lt;&gt;2),$F15=0),"Linha",ROUND(1-SUM(U14:AG14),4)))</f>
        <v>Linha</v>
      </c>
      <c r="I14" s="189" t="str">
        <f ca="1">IF($F15=0,OFFSET(ORÇAMENTO!O$15,$F14,0),IF($F15&lt;&gt;-1,OFFSET(QCI!$D$13,$F15,0),""))</f>
        <v>1.</v>
      </c>
      <c r="J14" s="190" t="str">
        <f ca="1">IF($F15=0,OFFSET(ORÇAMENTO!R$15,$F14,0),IF($F15&lt;&gt;-1,OFFSET(QCI!$G$13,$F15,0),""))</f>
        <v>RECAPEAMENTO ASFÁLTICO DE VIAS PÚBLICAS NO MÚNICIPIO DE MARIALVA/PR</v>
      </c>
      <c r="K14" s="190"/>
      <c r="L14" s="190"/>
      <c r="M14" s="191">
        <f ca="1">IF($F15=0,OFFSET(ORÇAMENTO!C$15,$F14,0),1)</f>
        <v>1</v>
      </c>
      <c r="N14" s="192">
        <f ca="1">IF($F15=-1,0,IF(N$13&lt;=$M14,IF(ISERROR(MATCH(N$13,OFFSET($M14,1,0,ROW($M$29)-ROW($M14)-1),0)),ROW($M$29)-ROW($M14)-1,MATCH(N$13,OFFSET($M14,1,0,ROW($M$29)-ROW($M14)-1),0)-1),0))</f>
        <v>14</v>
      </c>
      <c r="O14" s="192">
        <f ca="1">IF($F15=-1,0,IF(O$13&lt;=$M14,IF(ISERROR(MATCH(O$13,OFFSET($M14,1,0,ROW($M$29)-ROW($M14)-1),0)),ROW($M$29)-ROW($M14)-1,MATCH(O$13,OFFSET($M14,1,0,ROW($M$29)-ROW($M14)-1),0)-1),0))</f>
        <v>0</v>
      </c>
      <c r="P14" s="192">
        <f ca="1">IF($F15=-1,0,IF(P$13&lt;=$M14,IF(ISERROR(MATCH(P$13,OFFSET($M14,1,0,ROW($M$29)-ROW($M14)-1),0)),ROW($M$29)-ROW($M14)-1,MATCH(P$13,OFFSET($M14,1,0,ROW($M$29)-ROW($M14)-1),0)-1),0))</f>
        <v>0</v>
      </c>
      <c r="Q14" s="192">
        <f ca="1">IF($F15=-1,0,IF(Q$13&lt;=$M14,IF(ISERROR(MATCH(Q$13,OFFSET($M14,1,0,ROW($M$29)-ROW($M14)-1),0)),ROW($M$29)-ROW($M14)-1,MATCH(Q$13,OFFSET($M14,1,0,ROW($M$29)-ROW($M14)-1),0)-1),0))</f>
        <v>0</v>
      </c>
      <c r="R14" s="192">
        <f t="shared" ref="R14" ca="1" si="5">MIN(OFFSET(M14,0,1,,M14))</f>
        <v>14</v>
      </c>
      <c r="S14" s="193">
        <f ca="1">IF($F15=0,OFFSET(ORÇAMENTO!X$15,$F14,0),IF($F15&lt;&gt;-1,OFFSET(QCI!$O$13,$F15,0),""))</f>
        <v>3091953.04</v>
      </c>
      <c r="T14" s="194" t="s">
        <v>785</v>
      </c>
      <c r="U14" s="187" cm="1">
        <f t="array" aca="1" ref="U14" ca="1">IF(AND($R14=2,ACOMPANHAMENTO="BM"),ROUND(U15,4),U16/$S14)</f>
        <v>0.17061297606253423</v>
      </c>
      <c r="V14" s="187" cm="1">
        <f t="array" aca="1" ref="V14" ca="1">IF(AND($R14=2,ACOMPANHAMENTO="BM"),ROUND(V15,4),V16/$S14)</f>
        <v>0.21936802119090401</v>
      </c>
      <c r="W14" s="187" cm="1">
        <f t="array" aca="1" ref="W14" ca="1">IF(AND($R14=2,ACOMPANHAMENTO="BM"),ROUND(W15,4),W16/$S14)</f>
        <v>0.19524354742464015</v>
      </c>
      <c r="X14" s="187" cm="1">
        <f t="array" aca="1" ref="X14" ca="1">IF(AND($R14=2,ACOMPANHAMENTO="BM"),ROUND(X15,4),X16/$S14)</f>
        <v>9.4766387525730342E-2</v>
      </c>
      <c r="Y14" s="187" cm="1">
        <f t="array" aca="1" ref="Y14" ca="1">IF(AND($R14=2,ACOMPANHAMENTO="BM"),ROUND(Y15,4),Y16/$S14)</f>
        <v>0.32000906779619137</v>
      </c>
      <c r="Z14" s="187" cm="1">
        <f t="array" aca="1" ref="Z14" ca="1">IF(AND($R14=2,ACOMPANHAMENTO="BM"),ROUND(Z15,4),Z16/$S14)</f>
        <v>0</v>
      </c>
      <c r="AA14" s="187" cm="1">
        <f t="array" aca="1" ref="AA14" ca="1">IF(AND($R14=2,ACOMPANHAMENTO="BM"),ROUND(AA15,4),AA16/$S14)</f>
        <v>0</v>
      </c>
      <c r="AB14" s="187" cm="1">
        <f t="array" aca="1" ref="AB14" ca="1">IF(AND($R14=2,ACOMPANHAMENTO="BM"),ROUND(AB15,4),AB16/$S14)</f>
        <v>0</v>
      </c>
      <c r="AC14" s="187" cm="1">
        <f t="array" aca="1" ref="AC14" ca="1">IF(AND($R14=2,ACOMPANHAMENTO="BM"),ROUND(AC15,4),AC16/$S14)</f>
        <v>0</v>
      </c>
      <c r="AD14" s="187" cm="1">
        <f t="array" aca="1" ref="AD14" ca="1">IF(AND($R14=2,ACOMPANHAMENTO="BM"),ROUND(AD15,4),AD16/$S14)</f>
        <v>0</v>
      </c>
      <c r="AE14" s="187" cm="1">
        <f t="array" aca="1" ref="AE14" ca="1">IF(AND($R14=2,ACOMPANHAMENTO="BM"),ROUND(AE15,4),AE16/$S14)</f>
        <v>0</v>
      </c>
      <c r="AF14" s="187" cm="1">
        <f t="array" aca="1" ref="AF14" ca="1">IF(AND($R14=2,ACOMPANHAMENTO="BM"),ROUND(AF15,4),AF16/$S14)</f>
        <v>0</v>
      </c>
      <c r="AG14" s="533"/>
    </row>
    <row r="15" spans="1:33" ht="12.75" hidden="1" customHeight="1" x14ac:dyDescent="0.2">
      <c r="E15" s="586"/>
      <c r="F15" s="184">
        <f ca="1">IF(ISERROR(F14),IF(1+COUNTIF($M$13:OFFSET(M14,-1,0),1)&lt;=MAX(QCI!$D$13:$D$24),1+COUNTIF($M$13:OFFSET(M14,-1,0),1),-1),0)</f>
        <v>0</v>
      </c>
      <c r="G15" s="184" t="str" cm="1">
        <f t="array" aca="1" ref="G15" ca="1">IF(ACOMPANHAMENTO="BM",OFFSET(G15,-1,0),"")</f>
        <v/>
      </c>
      <c r="H15" s="195" t="str" cm="1">
        <f t="array" aca="1" ref="H15" ca="1">IF(OR(S14=0,S14=""),"vazia",IF(AND(OR(ACOMPANHAMENTO="PLE",$R14&lt;&gt;2),$F15=0),"calculada","--&gt;"))</f>
        <v>calculada</v>
      </c>
      <c r="I15" s="196"/>
      <c r="J15" s="197" t="str">
        <f t="shared" ref="J15" ca="1" si="6">IF(AND(H14&lt;&gt;0,ISNUMBER(H14)),"PREENCHA ESTA LINHA --&gt;","")</f>
        <v/>
      </c>
      <c r="K15" s="197"/>
      <c r="L15" s="197"/>
      <c r="M15" s="198"/>
      <c r="N15" s="198"/>
      <c r="O15" s="198"/>
      <c r="P15" s="198"/>
      <c r="Q15" s="198"/>
      <c r="R15" s="198"/>
      <c r="S15" s="199"/>
      <c r="T15" s="200"/>
      <c r="U15" s="586"/>
      <c r="V15" s="586"/>
      <c r="W15" s="586"/>
      <c r="X15" s="586"/>
      <c r="Y15" s="586"/>
      <c r="Z15" s="586"/>
      <c r="AA15" s="586"/>
      <c r="AB15" s="586"/>
      <c r="AC15" s="586"/>
      <c r="AD15" s="586"/>
      <c r="AE15" s="586"/>
      <c r="AF15" s="586"/>
      <c r="AG15" s="533"/>
    </row>
    <row r="16" spans="1:33" ht="12.75" hidden="1" customHeight="1" x14ac:dyDescent="0.2">
      <c r="D16" s="532"/>
      <c r="E16" s="201" cm="1">
        <f t="array" aca="1" ref="E16" ca="1">IF($R14=2,
         IF(AND(ACOMPANHAMENTO="PLE",ISNUMBER($F14)),
                SUMIF((OFFSET(CÁLCULO!$BC$15:$BU$15,$F14,0,OFFSET(ORÇAMENTO!$D$15,CRONO!$F14,0))),CRONO!E$12,OFFSET(CÁLCULO!$AJ$15:$BB$15,$F14,0,OFFSET(ORÇAMENTO!$D$15,CRONO!$F14,0)))
                +IF(AND($F16&lt;&gt;"",$F16&lt;&gt;0),
                        SUMIF(CÁLCULO!$BC$15:$BU$35,CRONO!E$12,CÁLCULO!$AJ$15:$BB$35)/(ORÇAMENTO!$X$15-CÁLCULO.TotalAdmLocal)*CRONO!$F16,
                        0),
                 E15*$S14),
          SUMIF(OFFSET($S16,1,0,$R14-2),($M14+1)&amp;"$",OFFSET(E16,1,0,$R14-2)))</f>
        <v>527527.30999999994</v>
      </c>
      <c r="F16" s="184" t="str">
        <f ca="1">IF(OR($R14&lt;&gt;2,AUTOEVENTO&lt;&gt;"manual",$F15&gt;0),"",
        IF(Import.TipoArredondamento="Tradicional",
              SUMIF(OFFSET(CÁLCULO!$M$15,CRONO!$F14,0,OFFSET(ORÇAMENTO!$D$15,CRONO!$F14,0)),1,OFFSET(ORÇAMENTO!$X$15,CRONO!$F14,0,OFFSET(ORÇAMENTO!$D$15,CRONO!$F14,0))),
              0))</f>
        <v/>
      </c>
      <c r="H16" s="202"/>
      <c r="S16" s="203" t="str">
        <f t="shared" ref="S16" ca="1" si="7">M14&amp;"$"</f>
        <v>1$</v>
      </c>
      <c r="T16" s="204"/>
      <c r="U16" s="201" cm="1">
        <f t="array" aca="1" ref="U16" ca="1">IF($R14=2,
         IF(AND(ACOMPANHAMENTO="PLE",ISNUMBER($F14)),
                SUMIF((OFFSET(CÁLCULO!$BC$15:$BU$15,$F14,0,OFFSET(ORÇAMENTO!$D$15,CRONO!$F14,0))),CRONO!U$12,OFFSET(CÁLCULO!$AJ$15:$BB$15,$F14,0,OFFSET(ORÇAMENTO!$D$15,CRONO!$F14,0)))
                +IF(AND($F16&lt;&gt;"",$F16&lt;&gt;0),
                        SUMIF(CÁLCULO!$BC$15:$BU$35,CRONO!U$12,CÁLCULO!$AJ$15:$BB$35)/(ORÇAMENTO!$X$15-CÁLCULO.TotalAdmLocal)*CRONO!$F16,
                        0),
                 U15*$S14),
          SUMIF(OFFSET($S16,1,0,$R14-2),($M14+1)&amp;"$",OFFSET(U16,1,0,$R14-2)))</f>
        <v>527527.30999999994</v>
      </c>
      <c r="V16" s="201" cm="1">
        <f t="array" aca="1" ref="V16" ca="1">IF($R14=2,
         IF(AND(ACOMPANHAMENTO="PLE",ISNUMBER($F14)),
                SUMIF((OFFSET(CÁLCULO!$BC$15:$BU$15,$F14,0,OFFSET(ORÇAMENTO!$D$15,CRONO!$F14,0))),CRONO!V$12,OFFSET(CÁLCULO!$AJ$15:$BB$15,$F14,0,OFFSET(ORÇAMENTO!$D$15,CRONO!$F14,0)))
                +IF(AND($F16&lt;&gt;"",$F16&lt;&gt;0),
                        SUMIF(CÁLCULO!$BC$15:$BU$35,CRONO!V$12,CÁLCULO!$AJ$15:$BB$35)/(ORÇAMENTO!$X$15-CÁLCULO.TotalAdmLocal)*CRONO!$F16,
                        0),
                 V15*$S14),
          SUMIF(OFFSET($S16,1,0,$R14-2),($M14+1)&amp;"$",OFFSET(V16,1,0,$R14-2)))</f>
        <v>678275.62000000011</v>
      </c>
      <c r="W16" s="201" cm="1">
        <f t="array" aca="1" ref="W16" ca="1">IF($R14=2,
         IF(AND(ACOMPANHAMENTO="PLE",ISNUMBER($F14)),
                SUMIF((OFFSET(CÁLCULO!$BC$15:$BU$15,$F14,0,OFFSET(ORÇAMENTO!$D$15,CRONO!$F14,0))),CRONO!W$12,OFFSET(CÁLCULO!$AJ$15:$BB$15,$F14,0,OFFSET(ORÇAMENTO!$D$15,CRONO!$F14,0)))
                +IF(AND($F16&lt;&gt;"",$F16&lt;&gt;0),
                        SUMIF(CÁLCULO!$BC$15:$BU$35,CRONO!W$12,CÁLCULO!$AJ$15:$BB$35)/(ORÇAMENTO!$X$15-CÁLCULO.TotalAdmLocal)*CRONO!$F16,
                        0),
                 W15*$S14),
          SUMIF(OFFSET($S16,1,0,$R14-2),($M14+1)&amp;"$",OFFSET(W16,1,0,$R14-2)))</f>
        <v>603683.88000000024</v>
      </c>
      <c r="X16" s="201" cm="1">
        <f t="array" aca="1" ref="X16" ca="1">IF($R14=2,
         IF(AND(ACOMPANHAMENTO="PLE",ISNUMBER($F14)),
                SUMIF((OFFSET(CÁLCULO!$BC$15:$BU$15,$F14,0,OFFSET(ORÇAMENTO!$D$15,CRONO!$F14,0))),CRONO!X$12,OFFSET(CÁLCULO!$AJ$15:$BB$15,$F14,0,OFFSET(ORÇAMENTO!$D$15,CRONO!$F14,0)))
                +IF(AND($F16&lt;&gt;"",$F16&lt;&gt;0),
                        SUMIF(CÁLCULO!$BC$15:$BU$35,CRONO!X$12,CÁLCULO!$AJ$15:$BB$35)/(ORÇAMENTO!$X$15-CÁLCULO.TotalAdmLocal)*CRONO!$F16,
                        0),
                 X15*$S14),
          SUMIF(OFFSET($S16,1,0,$R14-2),($M14+1)&amp;"$",OFFSET(X16,1,0,$R14-2)))</f>
        <v>293013.22000000003</v>
      </c>
      <c r="Y16" s="201" cm="1">
        <f t="array" aca="1" ref="Y16" ca="1">IF($R14=2,
         IF(AND(ACOMPANHAMENTO="PLE",ISNUMBER($F14)),
                SUMIF((OFFSET(CÁLCULO!$BC$15:$BU$15,$F14,0,OFFSET(ORÇAMENTO!$D$15,CRONO!$F14,0))),CRONO!Y$12,OFFSET(CÁLCULO!$AJ$15:$BB$15,$F14,0,OFFSET(ORÇAMENTO!$D$15,CRONO!$F14,0)))
                +IF(AND($F16&lt;&gt;"",$F16&lt;&gt;0),
                        SUMIF(CÁLCULO!$BC$15:$BU$35,CRONO!Y$12,CÁLCULO!$AJ$15:$BB$35)/(ORÇAMENTO!$X$15-CÁLCULO.TotalAdmLocal)*CRONO!$F16,
                        0),
                 Y15*$S14),
          SUMIF(OFFSET($S16,1,0,$R14-2),($M14+1)&amp;"$",OFFSET(Y16,1,0,$R14-2)))</f>
        <v>989453.01</v>
      </c>
      <c r="Z16" s="201" cm="1">
        <f t="array" aca="1" ref="Z16" ca="1">IF($R14=2,
         IF(AND(ACOMPANHAMENTO="PLE",ISNUMBER($F14)),
                SUMIF((OFFSET(CÁLCULO!$BC$15:$BU$15,$F14,0,OFFSET(ORÇAMENTO!$D$15,CRONO!$F14,0))),CRONO!Z$12,OFFSET(CÁLCULO!$AJ$15:$BB$15,$F14,0,OFFSET(ORÇAMENTO!$D$15,CRONO!$F14,0)))
                +IF(AND($F16&lt;&gt;"",$F16&lt;&gt;0),
                        SUMIF(CÁLCULO!$BC$15:$BU$35,CRONO!Z$12,CÁLCULO!$AJ$15:$BB$35)/(ORÇAMENTO!$X$15-CÁLCULO.TotalAdmLocal)*CRONO!$F16,
                        0),
                 Z15*$S14),
          SUMIF(OFFSET($S16,1,0,$R14-2),($M14+1)&amp;"$",OFFSET(Z16,1,0,$R14-2)))</f>
        <v>0</v>
      </c>
      <c r="AA16" s="201" cm="1">
        <f t="array" aca="1" ref="AA16" ca="1">IF($R14=2,
         IF(AND(ACOMPANHAMENTO="PLE",ISNUMBER($F14)),
                SUMIF((OFFSET(CÁLCULO!$BC$15:$BU$15,$F14,0,OFFSET(ORÇAMENTO!$D$15,CRONO!$F14,0))),CRONO!AA$12,OFFSET(CÁLCULO!$AJ$15:$BB$15,$F14,0,OFFSET(ORÇAMENTO!$D$15,CRONO!$F14,0)))
                +IF(AND($F16&lt;&gt;"",$F16&lt;&gt;0),
                        SUMIF(CÁLCULO!$BC$15:$BU$35,CRONO!AA$12,CÁLCULO!$AJ$15:$BB$35)/(ORÇAMENTO!$X$15-CÁLCULO.TotalAdmLocal)*CRONO!$F16,
                        0),
                 AA15*$S14),
          SUMIF(OFFSET($S16,1,0,$R14-2),($M14+1)&amp;"$",OFFSET(AA16,1,0,$R14-2)))</f>
        <v>0</v>
      </c>
      <c r="AB16" s="201" cm="1">
        <f t="array" aca="1" ref="AB16" ca="1">IF($R14=2,
         IF(AND(ACOMPANHAMENTO="PLE",ISNUMBER($F14)),
                SUMIF((OFFSET(CÁLCULO!$BC$15:$BU$15,$F14,0,OFFSET(ORÇAMENTO!$D$15,CRONO!$F14,0))),CRONO!AB$12,OFFSET(CÁLCULO!$AJ$15:$BB$15,$F14,0,OFFSET(ORÇAMENTO!$D$15,CRONO!$F14,0)))
                +IF(AND($F16&lt;&gt;"",$F16&lt;&gt;0),
                        SUMIF(CÁLCULO!$BC$15:$BU$35,CRONO!AB$12,CÁLCULO!$AJ$15:$BB$35)/(ORÇAMENTO!$X$15-CÁLCULO.TotalAdmLocal)*CRONO!$F16,
                        0),
                 AB15*$S14),
          SUMIF(OFFSET($S16,1,0,$R14-2),($M14+1)&amp;"$",OFFSET(AB16,1,0,$R14-2)))</f>
        <v>0</v>
      </c>
      <c r="AC16" s="201" cm="1">
        <f t="array" aca="1" ref="AC16" ca="1">IF($R14=2,
         IF(AND(ACOMPANHAMENTO="PLE",ISNUMBER($F14)),
                SUMIF((OFFSET(CÁLCULO!$BC$15:$BU$15,$F14,0,OFFSET(ORÇAMENTO!$D$15,CRONO!$F14,0))),CRONO!AC$12,OFFSET(CÁLCULO!$AJ$15:$BB$15,$F14,0,OFFSET(ORÇAMENTO!$D$15,CRONO!$F14,0)))
                +IF(AND($F16&lt;&gt;"",$F16&lt;&gt;0),
                        SUMIF(CÁLCULO!$BC$15:$BU$35,CRONO!AC$12,CÁLCULO!$AJ$15:$BB$35)/(ORÇAMENTO!$X$15-CÁLCULO.TotalAdmLocal)*CRONO!$F16,
                        0),
                 AC15*$S14),
          SUMIF(OFFSET($S16,1,0,$R14-2),($M14+1)&amp;"$",OFFSET(AC16,1,0,$R14-2)))</f>
        <v>0</v>
      </c>
      <c r="AD16" s="201" cm="1">
        <f t="array" aca="1" ref="AD16" ca="1">IF($R14=2,
         IF(AND(ACOMPANHAMENTO="PLE",ISNUMBER($F14)),
                SUMIF((OFFSET(CÁLCULO!$BC$15:$BU$15,$F14,0,OFFSET(ORÇAMENTO!$D$15,CRONO!$F14,0))),CRONO!AD$12,OFFSET(CÁLCULO!$AJ$15:$BB$15,$F14,0,OFFSET(ORÇAMENTO!$D$15,CRONO!$F14,0)))
                +IF(AND($F16&lt;&gt;"",$F16&lt;&gt;0),
                        SUMIF(CÁLCULO!$BC$15:$BU$35,CRONO!AD$12,CÁLCULO!$AJ$15:$BB$35)/(ORÇAMENTO!$X$15-CÁLCULO.TotalAdmLocal)*CRONO!$F16,
                        0),
                 AD15*$S14),
          SUMIF(OFFSET($S16,1,0,$R14-2),($M14+1)&amp;"$",OFFSET(AD16,1,0,$R14-2)))</f>
        <v>0</v>
      </c>
      <c r="AE16" s="201" cm="1">
        <f t="array" aca="1" ref="AE16" ca="1">IF($R14=2,
         IF(AND(ACOMPANHAMENTO="PLE",ISNUMBER($F14)),
                SUMIF((OFFSET(CÁLCULO!$BC$15:$BU$15,$F14,0,OFFSET(ORÇAMENTO!$D$15,CRONO!$F14,0))),CRONO!AE$12,OFFSET(CÁLCULO!$AJ$15:$BB$15,$F14,0,OFFSET(ORÇAMENTO!$D$15,CRONO!$F14,0)))
                +IF(AND($F16&lt;&gt;"",$F16&lt;&gt;0),
                        SUMIF(CÁLCULO!$BC$15:$BU$35,CRONO!AE$12,CÁLCULO!$AJ$15:$BB$35)/(ORÇAMENTO!$X$15-CÁLCULO.TotalAdmLocal)*CRONO!$F16,
                        0),
                 AE15*$S14),
          SUMIF(OFFSET($S16,1,0,$R14-2),($M14+1)&amp;"$",OFFSET(AE16,1,0,$R14-2)))</f>
        <v>0</v>
      </c>
      <c r="AF16" s="201" cm="1">
        <f t="array" aca="1" ref="AF16" ca="1">IF($R14=2,
         IF(AND(ACOMPANHAMENTO="PLE",ISNUMBER($F14)),
                SUMIF((OFFSET(CÁLCULO!$BC$15:$BU$15,$F14,0,OFFSET(ORÇAMENTO!$D$15,CRONO!$F14,0))),CRONO!AF$12,OFFSET(CÁLCULO!$AJ$15:$BB$15,$F14,0,OFFSET(ORÇAMENTO!$D$15,CRONO!$F14,0)))
                +IF(AND($F16&lt;&gt;"",$F16&lt;&gt;0),
                        SUMIF(CÁLCULO!$BC$15:$BU$35,CRONO!AF$12,CÁLCULO!$AJ$15:$BB$35)/(ORÇAMENTO!$X$15-CÁLCULO.TotalAdmLocal)*CRONO!$F16,
                        0),
                 AF15*$S14),
          SUMIF(OFFSET($S16,1,0,$R14-2),($M14+1)&amp;"$",OFFSET(AF16,1,0,$R14-2)))</f>
        <v>0</v>
      </c>
      <c r="AG16" s="533"/>
    </row>
    <row r="17" spans="1:33" x14ac:dyDescent="0.2">
      <c r="A17" s="185" t="str">
        <f t="shared" ref="A17" ca="1" si="8">IF($M17&gt;1,_xlfn.CONCAT($I17," ",$J17),"")</f>
        <v>1.1. Serviços preliminares</v>
      </c>
      <c r="B17" s="184">
        <f t="shared" ref="B17" ca="1" si="9">OFFSET(B17,-3,0)+1</f>
        <v>2</v>
      </c>
      <c r="C17" s="184">
        <f ca="1">IF($R17&lt;&gt;2,0,IF($S17=0,1,IF(F18&gt;0,OFFSET(QCI!$M$13,SUBSTITUTE(F18,".",""),0),OFFSET(ORÇAMENTO!$AA$15,CRONO!$F17,0))/$S17))</f>
        <v>7.1716173283149234E-2</v>
      </c>
      <c r="D17" s="184">
        <f ca="1">IF($R17&lt;&gt;2,0,IF($S17=0,1,IF(F18&gt;0,OFFSET(QCI!$N$13,SUBSTITUTE(F18,".",""),0),OFFSET(ORÇAMENTO!$AB$15,CRONO!$F17,0))/$S17))</f>
        <v>0</v>
      </c>
      <c r="E17" s="187" cm="1">
        <f t="array" aca="1" ref="E17" ca="1">IF(AND($R17=2,ACOMPANHAMENTO="BM"),ROUND(E18,4),E19/$S17)</f>
        <v>0.31632208311895876</v>
      </c>
      <c r="F17" s="184" cm="1">
        <f t="array" aca="1" ref="F17" ca="1">IF(B17&lt;=ORÇAMENTO.MáximoListaCrono,MATCH(B17,ORÇAMENTO.ListaCrono,0),NA())</f>
        <v>2</v>
      </c>
      <c r="G17" s="184" t="str">
        <f t="shared" ref="G17" ca="1" si="10">IF(AND($F18&lt;&gt;-1,$S17&gt;0),"F","")</f>
        <v>F</v>
      </c>
      <c r="H17" s="188" t="str" cm="1">
        <f t="array" aca="1" ref="H17" ca="1">IF(OR(S17=0,S17=""),"Linha",IF(AND(OR(ACOMPANHAMENTO="PLE",$R17&lt;&gt;2),$F18=0),"Linha",ROUND(1-SUM(U17:AG17),4)))</f>
        <v>Linha</v>
      </c>
      <c r="I17" s="189" t="str">
        <f ca="1">IF($F18=0,OFFSET(ORÇAMENTO!O$15,$F17,0),IF($F18&lt;&gt;-1,OFFSET(QCI!$D$13,$F18,0),""))</f>
        <v>1.1.</v>
      </c>
      <c r="J17" s="190" t="str">
        <f ca="1">IF($F18=0,OFFSET(ORÇAMENTO!R$15,$F17,0),IF($F18&lt;&gt;-1,OFFSET(QCI!$G$13,$F18,0),""))</f>
        <v>Serviços preliminares</v>
      </c>
      <c r="K17" s="190"/>
      <c r="L17" s="190"/>
      <c r="M17" s="191">
        <f ca="1">IF($F18=0,OFFSET(ORÇAMENTO!C$15,$F17,0),1)</f>
        <v>2</v>
      </c>
      <c r="N17" s="192">
        <f ca="1">IF($F18=-1,0,IF(N$13&lt;=$M17,IF(ISERROR(MATCH(N$13,OFFSET($M17,1,0,ROW($M$29)-ROW($M17)-1),0)),ROW($M$29)-ROW($M17)-1,MATCH(N$13,OFFSET($M17,1,0,ROW($M$29)-ROW($M17)-1),0)-1),0))</f>
        <v>11</v>
      </c>
      <c r="O17" s="192">
        <f ca="1">IF($F18=-1,0,IF(O$13&lt;=$M17,IF(ISERROR(MATCH(O$13,OFFSET($M17,1,0,ROW($M$29)-ROW($M17)-1),0)),ROW($M$29)-ROW($M17)-1,MATCH(O$13,OFFSET($M17,1,0,ROW($M$29)-ROW($M17)-1),0)-1),0))</f>
        <v>2</v>
      </c>
      <c r="P17" s="192">
        <f ca="1">IF($F18=-1,0,IF(P$13&lt;=$M17,IF(ISERROR(MATCH(P$13,OFFSET($M17,1,0,ROW($M$29)-ROW($M17)-1),0)),ROW($M$29)-ROW($M17)-1,MATCH(P$13,OFFSET($M17,1,0,ROW($M$29)-ROW($M17)-1),0)-1),0))</f>
        <v>0</v>
      </c>
      <c r="Q17" s="192">
        <f ca="1">IF($F18=-1,0,IF(Q$13&lt;=$M17,IF(ISERROR(MATCH(Q$13,OFFSET($M17,1,0,ROW($M$29)-ROW($M17)-1),0)),ROW($M$29)-ROW($M17)-1,MATCH(Q$13,OFFSET($M17,1,0,ROW($M$29)-ROW($M17)-1),0)-1),0))</f>
        <v>0</v>
      </c>
      <c r="R17" s="192">
        <f t="shared" ref="R17" ca="1" si="11">MIN(OFFSET(M17,0,1,,M17))</f>
        <v>2</v>
      </c>
      <c r="S17" s="193">
        <f ca="1">IF($F18=0,OFFSET(ORÇAMENTO!X$15,$F17,0),IF($F18&lt;&gt;-1,OFFSET(QCI!$O$13,$F18,0),""))</f>
        <v>151059.64000000001</v>
      </c>
      <c r="T17" s="194" t="s">
        <v>785</v>
      </c>
      <c r="U17" s="187" cm="1">
        <f t="array" aca="1" ref="U17" ca="1">IF(AND($R17=2,ACOMPANHAMENTO="BM"),ROUND(U18,4),U19/$S17)</f>
        <v>0.31632208311895876</v>
      </c>
      <c r="V17" s="187" cm="1">
        <f t="array" aca="1" ref="V17" ca="1">IF(AND($R17=2,ACOMPANHAMENTO="BM"),ROUND(V18,4),V19/$S17)</f>
        <v>0.42888576988532473</v>
      </c>
      <c r="W17" s="187" cm="1">
        <f t="array" aca="1" ref="W17" ca="1">IF(AND($R17=2,ACOMPANHAMENTO="BM"),ROUND(W18,4),W19/$S17)</f>
        <v>0</v>
      </c>
      <c r="X17" s="187" cm="1">
        <f t="array" aca="1" ref="X17" ca="1">IF(AND($R17=2,ACOMPANHAMENTO="BM"),ROUND(X18,4),X19/$S17)</f>
        <v>0.25479214699571634</v>
      </c>
      <c r="Y17" s="187" cm="1">
        <f t="array" aca="1" ref="Y17" ca="1">IF(AND($R17=2,ACOMPANHAMENTO="BM"),ROUND(Y18,4),Y19/$S17)</f>
        <v>0</v>
      </c>
      <c r="Z17" s="187" cm="1">
        <f t="array" aca="1" ref="Z17" ca="1">IF(AND($R17=2,ACOMPANHAMENTO="BM"),ROUND(Z18,4),Z19/$S17)</f>
        <v>0</v>
      </c>
      <c r="AA17" s="187" cm="1">
        <f t="array" aca="1" ref="AA17" ca="1">IF(AND($R17=2,ACOMPANHAMENTO="BM"),ROUND(AA18,4),AA19/$S17)</f>
        <v>0</v>
      </c>
      <c r="AB17" s="187" cm="1">
        <f t="array" aca="1" ref="AB17" ca="1">IF(AND($R17=2,ACOMPANHAMENTO="BM"),ROUND(AB18,4),AB19/$S17)</f>
        <v>0</v>
      </c>
      <c r="AC17" s="187" cm="1">
        <f t="array" aca="1" ref="AC17" ca="1">IF(AND($R17=2,ACOMPANHAMENTO="BM"),ROUND(AC18,4),AC19/$S17)</f>
        <v>0</v>
      </c>
      <c r="AD17" s="187" cm="1">
        <f t="array" aca="1" ref="AD17" ca="1">IF(AND($R17=2,ACOMPANHAMENTO="BM"),ROUND(AD18,4),AD19/$S17)</f>
        <v>0</v>
      </c>
      <c r="AE17" s="187" cm="1">
        <f t="array" aca="1" ref="AE17" ca="1">IF(AND($R17=2,ACOMPANHAMENTO="BM"),ROUND(AE18,4),AE19/$S17)</f>
        <v>0</v>
      </c>
      <c r="AF17" s="187" cm="1">
        <f t="array" aca="1" ref="AF17" ca="1">IF(AND($R17=2,ACOMPANHAMENTO="BM"),ROUND(AF18,4),AF19/$S17)</f>
        <v>0</v>
      </c>
      <c r="AG17" s="533"/>
    </row>
    <row r="18" spans="1:33" ht="12.75" hidden="1" customHeight="1" x14ac:dyDescent="0.2">
      <c r="E18" s="586"/>
      <c r="F18" s="184">
        <f ca="1">IF(ISERROR(F17),IF(1+COUNTIF($M$13:OFFSET(M17,-1,0),1)&lt;=MAX(QCI!$D$13:$D$24),1+COUNTIF($M$13:OFFSET(M17,-1,0),1),-1),0)</f>
        <v>0</v>
      </c>
      <c r="G18" s="184" t="str" cm="1">
        <f t="array" aca="1" ref="G18" ca="1">IF(ACOMPANHAMENTO="BM",OFFSET(G18,-1,0),"")</f>
        <v/>
      </c>
      <c r="H18" s="195" t="str" cm="1">
        <f t="array" aca="1" ref="H18" ca="1">IF(OR(S17=0,S17=""),"vazia",IF(AND(OR(ACOMPANHAMENTO="PLE",$R17&lt;&gt;2),$F18=0),"calculada","--&gt;"))</f>
        <v>calculada</v>
      </c>
      <c r="I18" s="196"/>
      <c r="J18" s="197" t="str">
        <f t="shared" ref="J18" ca="1" si="12">IF(AND(H17&lt;&gt;0,ISNUMBER(H17)),"PREENCHA ESTA LINHA --&gt;","")</f>
        <v/>
      </c>
      <c r="K18" s="197"/>
      <c r="L18" s="197"/>
      <c r="M18" s="198"/>
      <c r="N18" s="198"/>
      <c r="O18" s="198"/>
      <c r="P18" s="198"/>
      <c r="Q18" s="198"/>
      <c r="R18" s="198"/>
      <c r="S18" s="199"/>
      <c r="T18" s="200"/>
      <c r="U18" s="586"/>
      <c r="V18" s="586"/>
      <c r="W18" s="586"/>
      <c r="X18" s="586"/>
      <c r="Y18" s="586"/>
      <c r="Z18" s="586"/>
      <c r="AA18" s="586"/>
      <c r="AB18" s="586"/>
      <c r="AC18" s="586"/>
      <c r="AD18" s="586"/>
      <c r="AE18" s="586"/>
      <c r="AF18" s="586"/>
      <c r="AG18" s="533"/>
    </row>
    <row r="19" spans="1:33" ht="12.75" hidden="1" customHeight="1" x14ac:dyDescent="0.2">
      <c r="D19" s="532"/>
      <c r="E19" s="201" cm="1">
        <f t="array" aca="1" ref="E19" ca="1">IF($R17=2,
         IF(AND(ACOMPANHAMENTO="PLE",ISNUMBER($F17)),
                SUMIF((OFFSET(CÁLCULO!$BC$15:$BU$15,$F17,0,OFFSET(ORÇAMENTO!$D$15,CRONO!$F17,0))),CRONO!E$12,OFFSET(CÁLCULO!$AJ$15:$BB$15,$F17,0,OFFSET(ORÇAMENTO!$D$15,CRONO!$F17,0)))
                +IF(AND($F19&lt;&gt;"",$F19&lt;&gt;0),
                        SUMIF(CÁLCULO!$BC$15:$BU$35,CRONO!E$12,CÁLCULO!$AJ$15:$BB$35)/(ORÇAMENTO!$X$15-CÁLCULO.TotalAdmLocal)*CRONO!$F19,
                        0),
                 E18*$S17),
          SUMIF(OFFSET($S19,1,0,$R17-2),($M17+1)&amp;"$",OFFSET(E19,1,0,$R17-2)))</f>
        <v>47783.499999999993</v>
      </c>
      <c r="F19" s="184" t="str">
        <f ca="1">IF(OR($R17&lt;&gt;2,AUTOEVENTO&lt;&gt;"manual",$F18&gt;0),"",
        IF(Import.TipoArredondamento="Tradicional",
              SUMIF(OFFSET(CÁLCULO!$M$15,CRONO!$F17,0,OFFSET(ORÇAMENTO!$D$15,CRONO!$F17,0)),1,OFFSET(ORÇAMENTO!$X$15,CRONO!$F17,0,OFFSET(ORÇAMENTO!$D$15,CRONO!$F17,0))),
              0))</f>
        <v/>
      </c>
      <c r="H19" s="202"/>
      <c r="S19" s="203" t="str">
        <f t="shared" ref="S19" ca="1" si="13">M17&amp;"$"</f>
        <v>2$</v>
      </c>
      <c r="T19" s="204"/>
      <c r="U19" s="201" cm="1">
        <f t="array" aca="1" ref="U19" ca="1">IF($R17=2,
         IF(AND(ACOMPANHAMENTO="PLE",ISNUMBER($F17)),
                SUMIF((OFFSET(CÁLCULO!$BC$15:$BU$15,$F17,0,OFFSET(ORÇAMENTO!$D$15,CRONO!$F17,0))),CRONO!U$12,OFFSET(CÁLCULO!$AJ$15:$BB$15,$F17,0,OFFSET(ORÇAMENTO!$D$15,CRONO!$F17,0)))
                +IF(AND($F19&lt;&gt;"",$F19&lt;&gt;0),
                        SUMIF(CÁLCULO!$BC$15:$BU$35,CRONO!U$12,CÁLCULO!$AJ$15:$BB$35)/(ORÇAMENTO!$X$15-CÁLCULO.TotalAdmLocal)*CRONO!$F19,
                        0),
                 U18*$S17),
          SUMIF(OFFSET($S19,1,0,$R17-2),($M17+1)&amp;"$",OFFSET(U19,1,0,$R17-2)))</f>
        <v>47783.499999999993</v>
      </c>
      <c r="V19" s="201" cm="1">
        <f t="array" aca="1" ref="V19" ca="1">IF($R17=2,
         IF(AND(ACOMPANHAMENTO="PLE",ISNUMBER($F17)),
                SUMIF((OFFSET(CÁLCULO!$BC$15:$BU$15,$F17,0,OFFSET(ORÇAMENTO!$D$15,CRONO!$F17,0))),CRONO!V$12,OFFSET(CÁLCULO!$AJ$15:$BB$15,$F17,0,OFFSET(ORÇAMENTO!$D$15,CRONO!$F17,0)))
                +IF(AND($F19&lt;&gt;"",$F19&lt;&gt;0),
                        SUMIF(CÁLCULO!$BC$15:$BU$35,CRONO!V$12,CÁLCULO!$AJ$15:$BB$35)/(ORÇAMENTO!$X$15-CÁLCULO.TotalAdmLocal)*CRONO!$F19,
                        0),
                 V18*$S17),
          SUMIF(OFFSET($S19,1,0,$R17-2),($M17+1)&amp;"$",OFFSET(V19,1,0,$R17-2)))</f>
        <v>64787.33</v>
      </c>
      <c r="W19" s="201" cm="1">
        <f t="array" aca="1" ref="W19" ca="1">IF($R17=2,
         IF(AND(ACOMPANHAMENTO="PLE",ISNUMBER($F17)),
                SUMIF((OFFSET(CÁLCULO!$BC$15:$BU$15,$F17,0,OFFSET(ORÇAMENTO!$D$15,CRONO!$F17,0))),CRONO!W$12,OFFSET(CÁLCULO!$AJ$15:$BB$15,$F17,0,OFFSET(ORÇAMENTO!$D$15,CRONO!$F17,0)))
                +IF(AND($F19&lt;&gt;"",$F19&lt;&gt;0),
                        SUMIF(CÁLCULO!$BC$15:$BU$35,CRONO!W$12,CÁLCULO!$AJ$15:$BB$35)/(ORÇAMENTO!$X$15-CÁLCULO.TotalAdmLocal)*CRONO!$F19,
                        0),
                 W18*$S17),
          SUMIF(OFFSET($S19,1,0,$R17-2),($M17+1)&amp;"$",OFFSET(W19,1,0,$R17-2)))</f>
        <v>0</v>
      </c>
      <c r="X19" s="201" cm="1">
        <f t="array" aca="1" ref="X19" ca="1">IF($R17=2,
         IF(AND(ACOMPANHAMENTO="PLE",ISNUMBER($F17)),
                SUMIF((OFFSET(CÁLCULO!$BC$15:$BU$15,$F17,0,OFFSET(ORÇAMENTO!$D$15,CRONO!$F17,0))),CRONO!X$12,OFFSET(CÁLCULO!$AJ$15:$BB$15,$F17,0,OFFSET(ORÇAMENTO!$D$15,CRONO!$F17,0)))
                +IF(AND($F19&lt;&gt;"",$F19&lt;&gt;0),
                        SUMIF(CÁLCULO!$BC$15:$BU$35,CRONO!X$12,CÁLCULO!$AJ$15:$BB$35)/(ORÇAMENTO!$X$15-CÁLCULO.TotalAdmLocal)*CRONO!$F19,
                        0),
                 X18*$S17),
          SUMIF(OFFSET($S19,1,0,$R17-2),($M17+1)&amp;"$",OFFSET(X19,1,0,$R17-2)))</f>
        <v>38488.81</v>
      </c>
      <c r="Y19" s="201" cm="1">
        <f t="array" aca="1" ref="Y19" ca="1">IF($R17=2,
         IF(AND(ACOMPANHAMENTO="PLE",ISNUMBER($F17)),
                SUMIF((OFFSET(CÁLCULO!$BC$15:$BU$15,$F17,0,OFFSET(ORÇAMENTO!$D$15,CRONO!$F17,0))),CRONO!Y$12,OFFSET(CÁLCULO!$AJ$15:$BB$15,$F17,0,OFFSET(ORÇAMENTO!$D$15,CRONO!$F17,0)))
                +IF(AND($F19&lt;&gt;"",$F19&lt;&gt;0),
                        SUMIF(CÁLCULO!$BC$15:$BU$35,CRONO!Y$12,CÁLCULO!$AJ$15:$BB$35)/(ORÇAMENTO!$X$15-CÁLCULO.TotalAdmLocal)*CRONO!$F19,
                        0),
                 Y18*$S17),
          SUMIF(OFFSET($S19,1,0,$R17-2),($M17+1)&amp;"$",OFFSET(Y19,1,0,$R17-2)))</f>
        <v>0</v>
      </c>
      <c r="Z19" s="201" cm="1">
        <f t="array" aca="1" ref="Z19" ca="1">IF($R17=2,
         IF(AND(ACOMPANHAMENTO="PLE",ISNUMBER($F17)),
                SUMIF((OFFSET(CÁLCULO!$BC$15:$BU$15,$F17,0,OFFSET(ORÇAMENTO!$D$15,CRONO!$F17,0))),CRONO!Z$12,OFFSET(CÁLCULO!$AJ$15:$BB$15,$F17,0,OFFSET(ORÇAMENTO!$D$15,CRONO!$F17,0)))
                +IF(AND($F19&lt;&gt;"",$F19&lt;&gt;0),
                        SUMIF(CÁLCULO!$BC$15:$BU$35,CRONO!Z$12,CÁLCULO!$AJ$15:$BB$35)/(ORÇAMENTO!$X$15-CÁLCULO.TotalAdmLocal)*CRONO!$F19,
                        0),
                 Z18*$S17),
          SUMIF(OFFSET($S19,1,0,$R17-2),($M17+1)&amp;"$",OFFSET(Z19,1,0,$R17-2)))</f>
        <v>0</v>
      </c>
      <c r="AA19" s="201" cm="1">
        <f t="array" aca="1" ref="AA19" ca="1">IF($R17=2,
         IF(AND(ACOMPANHAMENTO="PLE",ISNUMBER($F17)),
                SUMIF((OFFSET(CÁLCULO!$BC$15:$BU$15,$F17,0,OFFSET(ORÇAMENTO!$D$15,CRONO!$F17,0))),CRONO!AA$12,OFFSET(CÁLCULO!$AJ$15:$BB$15,$F17,0,OFFSET(ORÇAMENTO!$D$15,CRONO!$F17,0)))
                +IF(AND($F19&lt;&gt;"",$F19&lt;&gt;0),
                        SUMIF(CÁLCULO!$BC$15:$BU$35,CRONO!AA$12,CÁLCULO!$AJ$15:$BB$35)/(ORÇAMENTO!$X$15-CÁLCULO.TotalAdmLocal)*CRONO!$F19,
                        0),
                 AA18*$S17),
          SUMIF(OFFSET($S19,1,0,$R17-2),($M17+1)&amp;"$",OFFSET(AA19,1,0,$R17-2)))</f>
        <v>0</v>
      </c>
      <c r="AB19" s="201" cm="1">
        <f t="array" aca="1" ref="AB19" ca="1">IF($R17=2,
         IF(AND(ACOMPANHAMENTO="PLE",ISNUMBER($F17)),
                SUMIF((OFFSET(CÁLCULO!$BC$15:$BU$15,$F17,0,OFFSET(ORÇAMENTO!$D$15,CRONO!$F17,0))),CRONO!AB$12,OFFSET(CÁLCULO!$AJ$15:$BB$15,$F17,0,OFFSET(ORÇAMENTO!$D$15,CRONO!$F17,0)))
                +IF(AND($F19&lt;&gt;"",$F19&lt;&gt;0),
                        SUMIF(CÁLCULO!$BC$15:$BU$35,CRONO!AB$12,CÁLCULO!$AJ$15:$BB$35)/(ORÇAMENTO!$X$15-CÁLCULO.TotalAdmLocal)*CRONO!$F19,
                        0),
                 AB18*$S17),
          SUMIF(OFFSET($S19,1,0,$R17-2),($M17+1)&amp;"$",OFFSET(AB19,1,0,$R17-2)))</f>
        <v>0</v>
      </c>
      <c r="AC19" s="201" cm="1">
        <f t="array" aca="1" ref="AC19" ca="1">IF($R17=2,
         IF(AND(ACOMPANHAMENTO="PLE",ISNUMBER($F17)),
                SUMIF((OFFSET(CÁLCULO!$BC$15:$BU$15,$F17,0,OFFSET(ORÇAMENTO!$D$15,CRONO!$F17,0))),CRONO!AC$12,OFFSET(CÁLCULO!$AJ$15:$BB$15,$F17,0,OFFSET(ORÇAMENTO!$D$15,CRONO!$F17,0)))
                +IF(AND($F19&lt;&gt;"",$F19&lt;&gt;0),
                        SUMIF(CÁLCULO!$BC$15:$BU$35,CRONO!AC$12,CÁLCULO!$AJ$15:$BB$35)/(ORÇAMENTO!$X$15-CÁLCULO.TotalAdmLocal)*CRONO!$F19,
                        0),
                 AC18*$S17),
          SUMIF(OFFSET($S19,1,0,$R17-2),($M17+1)&amp;"$",OFFSET(AC19,1,0,$R17-2)))</f>
        <v>0</v>
      </c>
      <c r="AD19" s="201" cm="1">
        <f t="array" aca="1" ref="AD19" ca="1">IF($R17=2,
         IF(AND(ACOMPANHAMENTO="PLE",ISNUMBER($F17)),
                SUMIF((OFFSET(CÁLCULO!$BC$15:$BU$15,$F17,0,OFFSET(ORÇAMENTO!$D$15,CRONO!$F17,0))),CRONO!AD$12,OFFSET(CÁLCULO!$AJ$15:$BB$15,$F17,0,OFFSET(ORÇAMENTO!$D$15,CRONO!$F17,0)))
                +IF(AND($F19&lt;&gt;"",$F19&lt;&gt;0),
                        SUMIF(CÁLCULO!$BC$15:$BU$35,CRONO!AD$12,CÁLCULO!$AJ$15:$BB$35)/(ORÇAMENTO!$X$15-CÁLCULO.TotalAdmLocal)*CRONO!$F19,
                        0),
                 AD18*$S17),
          SUMIF(OFFSET($S19,1,0,$R17-2),($M17+1)&amp;"$",OFFSET(AD19,1,0,$R17-2)))</f>
        <v>0</v>
      </c>
      <c r="AE19" s="201" cm="1">
        <f t="array" aca="1" ref="AE19" ca="1">IF($R17=2,
         IF(AND(ACOMPANHAMENTO="PLE",ISNUMBER($F17)),
                SUMIF((OFFSET(CÁLCULO!$BC$15:$BU$15,$F17,0,OFFSET(ORÇAMENTO!$D$15,CRONO!$F17,0))),CRONO!AE$12,OFFSET(CÁLCULO!$AJ$15:$BB$15,$F17,0,OFFSET(ORÇAMENTO!$D$15,CRONO!$F17,0)))
                +IF(AND($F19&lt;&gt;"",$F19&lt;&gt;0),
                        SUMIF(CÁLCULO!$BC$15:$BU$35,CRONO!AE$12,CÁLCULO!$AJ$15:$BB$35)/(ORÇAMENTO!$X$15-CÁLCULO.TotalAdmLocal)*CRONO!$F19,
                        0),
                 AE18*$S17),
          SUMIF(OFFSET($S19,1,0,$R17-2),($M17+1)&amp;"$",OFFSET(AE19,1,0,$R17-2)))</f>
        <v>0</v>
      </c>
      <c r="AF19" s="201" cm="1">
        <f t="array" aca="1" ref="AF19" ca="1">IF($R17=2,
         IF(AND(ACOMPANHAMENTO="PLE",ISNUMBER($F17)),
                SUMIF((OFFSET(CÁLCULO!$BC$15:$BU$15,$F17,0,OFFSET(ORÇAMENTO!$D$15,CRONO!$F17,0))),CRONO!AF$12,OFFSET(CÁLCULO!$AJ$15:$BB$15,$F17,0,OFFSET(ORÇAMENTO!$D$15,CRONO!$F17,0)))
                +IF(AND($F19&lt;&gt;"",$F19&lt;&gt;0),
                        SUMIF(CÁLCULO!$BC$15:$BU$35,CRONO!AF$12,CÁLCULO!$AJ$15:$BB$35)/(ORÇAMENTO!$X$15-CÁLCULO.TotalAdmLocal)*CRONO!$F19,
                        0),
                 AF18*$S17),
          SUMIF(OFFSET($S19,1,0,$R17-2),($M17+1)&amp;"$",OFFSET(AF19,1,0,$R17-2)))</f>
        <v>0</v>
      </c>
      <c r="AG19" s="533"/>
    </row>
    <row r="20" spans="1:33" x14ac:dyDescent="0.2">
      <c r="A20" s="185" t="str">
        <f t="shared" ref="A20" ca="1" si="14">IF($M20&gt;1,_xlfn.CONCAT($I20," ",$J20),"")</f>
        <v>1.2. Base/Sub Base</v>
      </c>
      <c r="B20" s="184">
        <f t="shared" ref="B20" ca="1" si="15">OFFSET(B20,-3,0)+1</f>
        <v>3</v>
      </c>
      <c r="C20" s="184">
        <f ca="1">IF($R20&lt;&gt;2,0,IF($S20=0,1,IF(F21&gt;0,OFFSET(QCI!$M$13,SUBSTITUTE(F21,".",""),0),OFFSET(ORÇAMENTO!$AA$15,CRONO!$F20,0))/$S20))</f>
        <v>7.1716173283149248E-2</v>
      </c>
      <c r="D20" s="184">
        <f ca="1">IF($R20&lt;&gt;2,0,IF($S20=0,1,IF(F21&gt;0,OFFSET(QCI!$N$13,SUBSTITUTE(F21,".",""),0),OFFSET(ORÇAMENTO!$AB$15,CRONO!$F20,0))/$S20))</f>
        <v>0</v>
      </c>
      <c r="E20" s="187" cm="1">
        <f t="array" aca="1" ref="E20" ca="1">IF(AND($R20=2,ACOMPANHAMENTO="BM"),ROUND(E21,4),E22/$S20)</f>
        <v>0.29729503470943375</v>
      </c>
      <c r="F20" s="184" cm="1">
        <f t="array" aca="1" ref="F20" ca="1">IF(B20&lt;=ORÇAMENTO.MáximoListaCrono,MATCH(B20,ORÇAMENTO.ListaCrono,0),NA())</f>
        <v>6</v>
      </c>
      <c r="G20" s="184" t="str">
        <f t="shared" ref="G20" ca="1" si="16">IF(AND($F21&lt;&gt;-1,$S20&gt;0),"F","")</f>
        <v>F</v>
      </c>
      <c r="H20" s="188" t="str" cm="1">
        <f t="array" aca="1" ref="H20" ca="1">IF(OR(S20=0,S20=""),"Linha",IF(AND(OR(ACOMPANHAMENTO="PLE",$R20&lt;&gt;2),$F21=0),"Linha",ROUND(1-SUM(U20:AG20),4)))</f>
        <v>Linha</v>
      </c>
      <c r="I20" s="189" t="str">
        <f ca="1">IF($F21=0,OFFSET(ORÇAMENTO!O$15,$F20,0),IF($F21&lt;&gt;-1,OFFSET(QCI!$D$13,$F21,0),""))</f>
        <v>1.2.</v>
      </c>
      <c r="J20" s="190" t="str">
        <f ca="1">IF($F21=0,OFFSET(ORÇAMENTO!R$15,$F20,0),IF($F21&lt;&gt;-1,OFFSET(QCI!$G$13,$F21,0),""))</f>
        <v>Base/Sub Base</v>
      </c>
      <c r="K20" s="190"/>
      <c r="L20" s="190"/>
      <c r="M20" s="191">
        <f ca="1">IF($F21=0,OFFSET(ORÇAMENTO!C$15,$F20,0),1)</f>
        <v>2</v>
      </c>
      <c r="N20" s="192">
        <f ca="1">IF($F21=-1,0,IF(N$13&lt;=$M20,IF(ISERROR(MATCH(N$13,OFFSET($M20,1,0,ROW($M$29)-ROW($M20)-1),0)),ROW($M$29)-ROW($M20)-1,MATCH(N$13,OFFSET($M20,1,0,ROW($M$29)-ROW($M20)-1),0)-1),0))</f>
        <v>8</v>
      </c>
      <c r="O20" s="192">
        <f ca="1">IF($F21=-1,0,IF(O$13&lt;=$M20,IF(ISERROR(MATCH(O$13,OFFSET($M20,1,0,ROW($M$29)-ROW($M20)-1),0)),ROW($M$29)-ROW($M20)-1,MATCH(O$13,OFFSET($M20,1,0,ROW($M$29)-ROW($M20)-1),0)-1),0))</f>
        <v>2</v>
      </c>
      <c r="P20" s="192">
        <f ca="1">IF($F21=-1,0,IF(P$13&lt;=$M20,IF(ISERROR(MATCH(P$13,OFFSET($M20,1,0,ROW($M$29)-ROW($M20)-1),0)),ROW($M$29)-ROW($M20)-1,MATCH(P$13,OFFSET($M20,1,0,ROW($M$29)-ROW($M20)-1),0)-1),0))</f>
        <v>0</v>
      </c>
      <c r="Q20" s="192">
        <f ca="1">IF($F21=-1,0,IF(Q$13&lt;=$M20,IF(ISERROR(MATCH(Q$13,OFFSET($M20,1,0,ROW($M$29)-ROW($M20)-1),0)),ROW($M$29)-ROW($M20)-1,MATCH(Q$13,OFFSET($M20,1,0,ROW($M$29)-ROW($M20)-1),0)-1),0))</f>
        <v>0</v>
      </c>
      <c r="R20" s="192">
        <f t="shared" ref="R20" ca="1" si="17">MIN(OFFSET(M20,0,1,,M20))</f>
        <v>2</v>
      </c>
      <c r="S20" s="193">
        <f ca="1">IF($F21=0,OFFSET(ORÇAMENTO!X$15,$F20,0),IF($F21&lt;&gt;-1,OFFSET(QCI!$O$13,$F21,0),""))</f>
        <v>142625.49</v>
      </c>
      <c r="T20" s="194" t="s">
        <v>785</v>
      </c>
      <c r="U20" s="187" cm="1">
        <f t="array" aca="1" ref="U20" ca="1">IF(AND($R20=2,ACOMPANHAMENTO="BM"),ROUND(U21,4),U22/$S20)</f>
        <v>0.29729503470943375</v>
      </c>
      <c r="V20" s="187" cm="1">
        <f t="array" aca="1" ref="V20" ca="1">IF(AND($R20=2,ACOMPANHAMENTO="BM"),ROUND(V21,4),V22/$S20)</f>
        <v>0.4408174864114402</v>
      </c>
      <c r="W20" s="187" cm="1">
        <f t="array" aca="1" ref="W20" ca="1">IF(AND($R20=2,ACOMPANHAMENTO="BM"),ROUND(W21,4),W22/$S20)</f>
        <v>0</v>
      </c>
      <c r="X20" s="187" cm="1">
        <f t="array" aca="1" ref="X20" ca="1">IF(AND($R20=2,ACOMPANHAMENTO="BM"),ROUND(X21,4),X22/$S20)</f>
        <v>0.26188747887912606</v>
      </c>
      <c r="Y20" s="187" cm="1">
        <f t="array" aca="1" ref="Y20" ca="1">IF(AND($R20=2,ACOMPANHAMENTO="BM"),ROUND(Y21,4),Y22/$S20)</f>
        <v>0</v>
      </c>
      <c r="Z20" s="187" cm="1">
        <f t="array" aca="1" ref="Z20" ca="1">IF(AND($R20=2,ACOMPANHAMENTO="BM"),ROUND(Z21,4),Z22/$S20)</f>
        <v>0</v>
      </c>
      <c r="AA20" s="187" cm="1">
        <f t="array" aca="1" ref="AA20" ca="1">IF(AND($R20=2,ACOMPANHAMENTO="BM"),ROUND(AA21,4),AA22/$S20)</f>
        <v>0</v>
      </c>
      <c r="AB20" s="187" cm="1">
        <f t="array" aca="1" ref="AB20" ca="1">IF(AND($R20=2,ACOMPANHAMENTO="BM"),ROUND(AB21,4),AB22/$S20)</f>
        <v>0</v>
      </c>
      <c r="AC20" s="187" cm="1">
        <f t="array" aca="1" ref="AC20" ca="1">IF(AND($R20=2,ACOMPANHAMENTO="BM"),ROUND(AC21,4),AC22/$S20)</f>
        <v>0</v>
      </c>
      <c r="AD20" s="187" cm="1">
        <f t="array" aca="1" ref="AD20" ca="1">IF(AND($R20=2,ACOMPANHAMENTO="BM"),ROUND(AD21,4),AD22/$S20)</f>
        <v>0</v>
      </c>
      <c r="AE20" s="187" cm="1">
        <f t="array" aca="1" ref="AE20" ca="1">IF(AND($R20=2,ACOMPANHAMENTO="BM"),ROUND(AE21,4),AE22/$S20)</f>
        <v>0</v>
      </c>
      <c r="AF20" s="187" cm="1">
        <f t="array" aca="1" ref="AF20" ca="1">IF(AND($R20=2,ACOMPANHAMENTO="BM"),ROUND(AF21,4),AF22/$S20)</f>
        <v>0</v>
      </c>
      <c r="AG20" s="533"/>
    </row>
    <row r="21" spans="1:33" ht="12.75" hidden="1" customHeight="1" x14ac:dyDescent="0.2">
      <c r="E21" s="586"/>
      <c r="F21" s="184">
        <f ca="1">IF(ISERROR(F20),IF(1+COUNTIF($M$13:OFFSET(M20,-1,0),1)&lt;=MAX(QCI!$D$13:$D$24),1+COUNTIF($M$13:OFFSET(M20,-1,0),1),-1),0)</f>
        <v>0</v>
      </c>
      <c r="G21" s="184" t="str" cm="1">
        <f t="array" aca="1" ref="G21" ca="1">IF(ACOMPANHAMENTO="BM",OFFSET(G21,-1,0),"")</f>
        <v/>
      </c>
      <c r="H21" s="195" t="str" cm="1">
        <f t="array" aca="1" ref="H21" ca="1">IF(OR(S20=0,S20=""),"vazia",IF(AND(OR(ACOMPANHAMENTO="PLE",$R20&lt;&gt;2),$F21=0),"calculada","--&gt;"))</f>
        <v>calculada</v>
      </c>
      <c r="I21" s="196"/>
      <c r="J21" s="197" t="str">
        <f t="shared" ref="J21" ca="1" si="18">IF(AND(H20&lt;&gt;0,ISNUMBER(H20)),"PREENCHA ESTA LINHA --&gt;","")</f>
        <v/>
      </c>
      <c r="K21" s="197"/>
      <c r="L21" s="197"/>
      <c r="M21" s="198"/>
      <c r="N21" s="198"/>
      <c r="O21" s="198"/>
      <c r="P21" s="198"/>
      <c r="Q21" s="198"/>
      <c r="R21" s="198"/>
      <c r="S21" s="199"/>
      <c r="T21" s="200"/>
      <c r="U21" s="586"/>
      <c r="V21" s="586"/>
      <c r="W21" s="586"/>
      <c r="X21" s="586"/>
      <c r="Y21" s="586"/>
      <c r="Z21" s="586"/>
      <c r="AA21" s="586"/>
      <c r="AB21" s="586"/>
      <c r="AC21" s="586"/>
      <c r="AD21" s="586"/>
      <c r="AE21" s="586"/>
      <c r="AF21" s="586"/>
      <c r="AG21" s="533"/>
    </row>
    <row r="22" spans="1:33" ht="12.75" hidden="1" customHeight="1" x14ac:dyDescent="0.2">
      <c r="D22" s="532"/>
      <c r="E22" s="201" cm="1">
        <f t="array" aca="1" ref="E22" ca="1">IF($R20=2,
         IF(AND(ACOMPANHAMENTO="PLE",ISNUMBER($F20)),
                SUMIF((OFFSET(CÁLCULO!$BC$15:$BU$15,$F20,0,OFFSET(ORÇAMENTO!$D$15,CRONO!$F20,0))),CRONO!E$12,OFFSET(CÁLCULO!$AJ$15:$BB$15,$F20,0,OFFSET(ORÇAMENTO!$D$15,CRONO!$F20,0)))
                +IF(AND($F22&lt;&gt;"",$F22&lt;&gt;0),
                        SUMIF(CÁLCULO!$BC$15:$BU$35,CRONO!E$12,CÁLCULO!$AJ$15:$BB$35)/(ORÇAMENTO!$X$15-CÁLCULO.TotalAdmLocal)*CRONO!$F22,
                        0),
                 E21*$S20),
          SUMIF(OFFSET($S22,1,0,$R20-2),($M20+1)&amp;"$",OFFSET(E22,1,0,$R20-2)))</f>
        <v>42401.849999999991</v>
      </c>
      <c r="F22" s="184" t="str">
        <f ca="1">IF(OR($R20&lt;&gt;2,AUTOEVENTO&lt;&gt;"manual",$F21&gt;0),"",
        IF(Import.TipoArredondamento="Tradicional",
              SUMIF(OFFSET(CÁLCULO!$M$15,CRONO!$F20,0,OFFSET(ORÇAMENTO!$D$15,CRONO!$F20,0)),1,OFFSET(ORÇAMENTO!$X$15,CRONO!$F20,0,OFFSET(ORÇAMENTO!$D$15,CRONO!$F20,0))),
              0))</f>
        <v/>
      </c>
      <c r="H22" s="202"/>
      <c r="S22" s="203" t="str">
        <f t="shared" ref="S22" ca="1" si="19">M20&amp;"$"</f>
        <v>2$</v>
      </c>
      <c r="T22" s="204"/>
      <c r="U22" s="201" cm="1">
        <f t="array" aca="1" ref="U22" ca="1">IF($R20=2,
         IF(AND(ACOMPANHAMENTO="PLE",ISNUMBER($F20)),
                SUMIF((OFFSET(CÁLCULO!$BC$15:$BU$15,$F20,0,OFFSET(ORÇAMENTO!$D$15,CRONO!$F20,0))),CRONO!U$12,OFFSET(CÁLCULO!$AJ$15:$BB$15,$F20,0,OFFSET(ORÇAMENTO!$D$15,CRONO!$F20,0)))
                +IF(AND($F22&lt;&gt;"",$F22&lt;&gt;0),
                        SUMIF(CÁLCULO!$BC$15:$BU$35,CRONO!U$12,CÁLCULO!$AJ$15:$BB$35)/(ORÇAMENTO!$X$15-CÁLCULO.TotalAdmLocal)*CRONO!$F22,
                        0),
                 U21*$S20),
          SUMIF(OFFSET($S22,1,0,$R20-2),($M20+1)&amp;"$",OFFSET(U22,1,0,$R20-2)))</f>
        <v>42401.849999999991</v>
      </c>
      <c r="V22" s="201" cm="1">
        <f t="array" aca="1" ref="V22" ca="1">IF($R20=2,
         IF(AND(ACOMPANHAMENTO="PLE",ISNUMBER($F20)),
                SUMIF((OFFSET(CÁLCULO!$BC$15:$BU$15,$F20,0,OFFSET(ORÇAMENTO!$D$15,CRONO!$F20,0))),CRONO!V$12,OFFSET(CÁLCULO!$AJ$15:$BB$15,$F20,0,OFFSET(ORÇAMENTO!$D$15,CRONO!$F20,0)))
                +IF(AND($F22&lt;&gt;"",$F22&lt;&gt;0),
                        SUMIF(CÁLCULO!$BC$15:$BU$35,CRONO!V$12,CÁLCULO!$AJ$15:$BB$35)/(ORÇAMENTO!$X$15-CÁLCULO.TotalAdmLocal)*CRONO!$F22,
                        0),
                 V21*$S20),
          SUMIF(OFFSET($S22,1,0,$R20-2),($M20+1)&amp;"$",OFFSET(V22,1,0,$R20-2)))</f>
        <v>62871.81</v>
      </c>
      <c r="W22" s="201" cm="1">
        <f t="array" aca="1" ref="W22" ca="1">IF($R20=2,
         IF(AND(ACOMPANHAMENTO="PLE",ISNUMBER($F20)),
                SUMIF((OFFSET(CÁLCULO!$BC$15:$BU$15,$F20,0,OFFSET(ORÇAMENTO!$D$15,CRONO!$F20,0))),CRONO!W$12,OFFSET(CÁLCULO!$AJ$15:$BB$15,$F20,0,OFFSET(ORÇAMENTO!$D$15,CRONO!$F20,0)))
                +IF(AND($F22&lt;&gt;"",$F22&lt;&gt;0),
                        SUMIF(CÁLCULO!$BC$15:$BU$35,CRONO!W$12,CÁLCULO!$AJ$15:$BB$35)/(ORÇAMENTO!$X$15-CÁLCULO.TotalAdmLocal)*CRONO!$F22,
                        0),
                 W21*$S20),
          SUMIF(OFFSET($S22,1,0,$R20-2),($M20+1)&amp;"$",OFFSET(W22,1,0,$R20-2)))</f>
        <v>0</v>
      </c>
      <c r="X22" s="201" cm="1">
        <f t="array" aca="1" ref="X22" ca="1">IF($R20=2,
         IF(AND(ACOMPANHAMENTO="PLE",ISNUMBER($F20)),
                SUMIF((OFFSET(CÁLCULO!$BC$15:$BU$15,$F20,0,OFFSET(ORÇAMENTO!$D$15,CRONO!$F20,0))),CRONO!X$12,OFFSET(CÁLCULO!$AJ$15:$BB$15,$F20,0,OFFSET(ORÇAMENTO!$D$15,CRONO!$F20,0)))
                +IF(AND($F22&lt;&gt;"",$F22&lt;&gt;0),
                        SUMIF(CÁLCULO!$BC$15:$BU$35,CRONO!X$12,CÁLCULO!$AJ$15:$BB$35)/(ORÇAMENTO!$X$15-CÁLCULO.TotalAdmLocal)*CRONO!$F22,
                        0),
                 X21*$S20),
          SUMIF(OFFSET($S22,1,0,$R20-2),($M20+1)&amp;"$",OFFSET(X22,1,0,$R20-2)))</f>
        <v>37351.83</v>
      </c>
      <c r="Y22" s="201" cm="1">
        <f t="array" aca="1" ref="Y22" ca="1">IF($R20=2,
         IF(AND(ACOMPANHAMENTO="PLE",ISNUMBER($F20)),
                SUMIF((OFFSET(CÁLCULO!$BC$15:$BU$15,$F20,0,OFFSET(ORÇAMENTO!$D$15,CRONO!$F20,0))),CRONO!Y$12,OFFSET(CÁLCULO!$AJ$15:$BB$15,$F20,0,OFFSET(ORÇAMENTO!$D$15,CRONO!$F20,0)))
                +IF(AND($F22&lt;&gt;"",$F22&lt;&gt;0),
                        SUMIF(CÁLCULO!$BC$15:$BU$35,CRONO!Y$12,CÁLCULO!$AJ$15:$BB$35)/(ORÇAMENTO!$X$15-CÁLCULO.TotalAdmLocal)*CRONO!$F22,
                        0),
                 Y21*$S20),
          SUMIF(OFFSET($S22,1,0,$R20-2),($M20+1)&amp;"$",OFFSET(Y22,1,0,$R20-2)))</f>
        <v>0</v>
      </c>
      <c r="Z22" s="201" cm="1">
        <f t="array" aca="1" ref="Z22" ca="1">IF($R20=2,
         IF(AND(ACOMPANHAMENTO="PLE",ISNUMBER($F20)),
                SUMIF((OFFSET(CÁLCULO!$BC$15:$BU$15,$F20,0,OFFSET(ORÇAMENTO!$D$15,CRONO!$F20,0))),CRONO!Z$12,OFFSET(CÁLCULO!$AJ$15:$BB$15,$F20,0,OFFSET(ORÇAMENTO!$D$15,CRONO!$F20,0)))
                +IF(AND($F22&lt;&gt;"",$F22&lt;&gt;0),
                        SUMIF(CÁLCULO!$BC$15:$BU$35,CRONO!Z$12,CÁLCULO!$AJ$15:$BB$35)/(ORÇAMENTO!$X$15-CÁLCULO.TotalAdmLocal)*CRONO!$F22,
                        0),
                 Z21*$S20),
          SUMIF(OFFSET($S22,1,0,$R20-2),($M20+1)&amp;"$",OFFSET(Z22,1,0,$R20-2)))</f>
        <v>0</v>
      </c>
      <c r="AA22" s="201" cm="1">
        <f t="array" aca="1" ref="AA22" ca="1">IF($R20=2,
         IF(AND(ACOMPANHAMENTO="PLE",ISNUMBER($F20)),
                SUMIF((OFFSET(CÁLCULO!$BC$15:$BU$15,$F20,0,OFFSET(ORÇAMENTO!$D$15,CRONO!$F20,0))),CRONO!AA$12,OFFSET(CÁLCULO!$AJ$15:$BB$15,$F20,0,OFFSET(ORÇAMENTO!$D$15,CRONO!$F20,0)))
                +IF(AND($F22&lt;&gt;"",$F22&lt;&gt;0),
                        SUMIF(CÁLCULO!$BC$15:$BU$35,CRONO!AA$12,CÁLCULO!$AJ$15:$BB$35)/(ORÇAMENTO!$X$15-CÁLCULO.TotalAdmLocal)*CRONO!$F22,
                        0),
                 AA21*$S20),
          SUMIF(OFFSET($S22,1,0,$R20-2),($M20+1)&amp;"$",OFFSET(AA22,1,0,$R20-2)))</f>
        <v>0</v>
      </c>
      <c r="AB22" s="201" cm="1">
        <f t="array" aca="1" ref="AB22" ca="1">IF($R20=2,
         IF(AND(ACOMPANHAMENTO="PLE",ISNUMBER($F20)),
                SUMIF((OFFSET(CÁLCULO!$BC$15:$BU$15,$F20,0,OFFSET(ORÇAMENTO!$D$15,CRONO!$F20,0))),CRONO!AB$12,OFFSET(CÁLCULO!$AJ$15:$BB$15,$F20,0,OFFSET(ORÇAMENTO!$D$15,CRONO!$F20,0)))
                +IF(AND($F22&lt;&gt;"",$F22&lt;&gt;0),
                        SUMIF(CÁLCULO!$BC$15:$BU$35,CRONO!AB$12,CÁLCULO!$AJ$15:$BB$35)/(ORÇAMENTO!$X$15-CÁLCULO.TotalAdmLocal)*CRONO!$F22,
                        0),
                 AB21*$S20),
          SUMIF(OFFSET($S22,1,0,$R20-2),($M20+1)&amp;"$",OFFSET(AB22,1,0,$R20-2)))</f>
        <v>0</v>
      </c>
      <c r="AC22" s="201" cm="1">
        <f t="array" aca="1" ref="AC22" ca="1">IF($R20=2,
         IF(AND(ACOMPANHAMENTO="PLE",ISNUMBER($F20)),
                SUMIF((OFFSET(CÁLCULO!$BC$15:$BU$15,$F20,0,OFFSET(ORÇAMENTO!$D$15,CRONO!$F20,0))),CRONO!AC$12,OFFSET(CÁLCULO!$AJ$15:$BB$15,$F20,0,OFFSET(ORÇAMENTO!$D$15,CRONO!$F20,0)))
                +IF(AND($F22&lt;&gt;"",$F22&lt;&gt;0),
                        SUMIF(CÁLCULO!$BC$15:$BU$35,CRONO!AC$12,CÁLCULO!$AJ$15:$BB$35)/(ORÇAMENTO!$X$15-CÁLCULO.TotalAdmLocal)*CRONO!$F22,
                        0),
                 AC21*$S20),
          SUMIF(OFFSET($S22,1,0,$R20-2),($M20+1)&amp;"$",OFFSET(AC22,1,0,$R20-2)))</f>
        <v>0</v>
      </c>
      <c r="AD22" s="201" cm="1">
        <f t="array" aca="1" ref="AD22" ca="1">IF($R20=2,
         IF(AND(ACOMPANHAMENTO="PLE",ISNUMBER($F20)),
                SUMIF((OFFSET(CÁLCULO!$BC$15:$BU$15,$F20,0,OFFSET(ORÇAMENTO!$D$15,CRONO!$F20,0))),CRONO!AD$12,OFFSET(CÁLCULO!$AJ$15:$BB$15,$F20,0,OFFSET(ORÇAMENTO!$D$15,CRONO!$F20,0)))
                +IF(AND($F22&lt;&gt;"",$F22&lt;&gt;0),
                        SUMIF(CÁLCULO!$BC$15:$BU$35,CRONO!AD$12,CÁLCULO!$AJ$15:$BB$35)/(ORÇAMENTO!$X$15-CÁLCULO.TotalAdmLocal)*CRONO!$F22,
                        0),
                 AD21*$S20),
          SUMIF(OFFSET($S22,1,0,$R20-2),($M20+1)&amp;"$",OFFSET(AD22,1,0,$R20-2)))</f>
        <v>0</v>
      </c>
      <c r="AE22" s="201" cm="1">
        <f t="array" aca="1" ref="AE22" ca="1">IF($R20=2,
         IF(AND(ACOMPANHAMENTO="PLE",ISNUMBER($F20)),
                SUMIF((OFFSET(CÁLCULO!$BC$15:$BU$15,$F20,0,OFFSET(ORÇAMENTO!$D$15,CRONO!$F20,0))),CRONO!AE$12,OFFSET(CÁLCULO!$AJ$15:$BB$15,$F20,0,OFFSET(ORÇAMENTO!$D$15,CRONO!$F20,0)))
                +IF(AND($F22&lt;&gt;"",$F22&lt;&gt;0),
                        SUMIF(CÁLCULO!$BC$15:$BU$35,CRONO!AE$12,CÁLCULO!$AJ$15:$BB$35)/(ORÇAMENTO!$X$15-CÁLCULO.TotalAdmLocal)*CRONO!$F22,
                        0),
                 AE21*$S20),
          SUMIF(OFFSET($S22,1,0,$R20-2),($M20+1)&amp;"$",OFFSET(AE22,1,0,$R20-2)))</f>
        <v>0</v>
      </c>
      <c r="AF22" s="201" cm="1">
        <f t="array" aca="1" ref="AF22" ca="1">IF($R20=2,
         IF(AND(ACOMPANHAMENTO="PLE",ISNUMBER($F20)),
                SUMIF((OFFSET(CÁLCULO!$BC$15:$BU$15,$F20,0,OFFSET(ORÇAMENTO!$D$15,CRONO!$F20,0))),CRONO!AF$12,OFFSET(CÁLCULO!$AJ$15:$BB$15,$F20,0,OFFSET(ORÇAMENTO!$D$15,CRONO!$F20,0)))
                +IF(AND($F22&lt;&gt;"",$F22&lt;&gt;0),
                        SUMIF(CÁLCULO!$BC$15:$BU$35,CRONO!AF$12,CÁLCULO!$AJ$15:$BB$35)/(ORÇAMENTO!$X$15-CÁLCULO.TotalAdmLocal)*CRONO!$F22,
                        0),
                 AF21*$S20),
          SUMIF(OFFSET($S22,1,0,$R20-2),($M20+1)&amp;"$",OFFSET(AF22,1,0,$R20-2)))</f>
        <v>0</v>
      </c>
      <c r="AG22" s="533"/>
    </row>
    <row r="23" spans="1:33" x14ac:dyDescent="0.2">
      <c r="A23" s="185" t="str">
        <f t="shared" ref="A23" ca="1" si="20">IF($M23&gt;1,_xlfn.CONCAT($I23," ",$J23),"")</f>
        <v>1.3. Revestimento</v>
      </c>
      <c r="B23" s="184">
        <f t="shared" ref="B23" ca="1" si="21">OFFSET(B23,-3,0)+1</f>
        <v>4</v>
      </c>
      <c r="C23" s="184">
        <f ca="1">IF($R23&lt;&gt;2,0,IF($S23=0,1,IF(F24&gt;0,OFFSET(QCI!$M$13,SUBSTITUTE(F24,".",""),0),OFFSET(ORÇAMENTO!$AA$15,CRONO!$F23,0))/$S23))</f>
        <v>7.1716173283149248E-2</v>
      </c>
      <c r="D23" s="184">
        <f ca="1">IF($R23&lt;&gt;2,0,IF($S23=0,1,IF(F24&gt;0,OFFSET(QCI!$N$13,SUBSTITUTE(F24,".",""),0),OFFSET(ORÇAMENTO!$AB$15,CRONO!$F23,0))/$S23))</f>
        <v>0</v>
      </c>
      <c r="E23" s="187" cm="1">
        <f t="array" aca="1" ref="E23" ca="1">IF(AND($R23=2,ACOMPANHAMENTO="BM"),ROUND(E24,4),E25/$S23)</f>
        <v>0.15534114269285357</v>
      </c>
      <c r="F23" s="184" cm="1">
        <f t="array" aca="1" ref="F23" ca="1">IF(B23&lt;=ORÇAMENTO.MáximoListaCrono,MATCH(B23,ORÇAMENTO.ListaCrono,0),NA())</f>
        <v>11</v>
      </c>
      <c r="G23" s="184" t="str">
        <f t="shared" ref="G23" ca="1" si="22">IF(AND($F24&lt;&gt;-1,$S23&gt;0),"F","")</f>
        <v>F</v>
      </c>
      <c r="H23" s="188" t="str" cm="1">
        <f t="array" aca="1" ref="H23" ca="1">IF(OR(S23=0,S23=""),"Linha",IF(AND(OR(ACOMPANHAMENTO="PLE",$R23&lt;&gt;2),$F24=0),"Linha",ROUND(1-SUM(U23:AG23),4)))</f>
        <v>Linha</v>
      </c>
      <c r="I23" s="189" t="str">
        <f ca="1">IF($F24=0,OFFSET(ORÇAMENTO!O$15,$F23,0),IF($F24&lt;&gt;-1,OFFSET(QCI!$D$13,$F24,0),""))</f>
        <v>1.3.</v>
      </c>
      <c r="J23" s="190" t="str">
        <f ca="1">IF($F24=0,OFFSET(ORÇAMENTO!R$15,$F23,0),IF($F24&lt;&gt;-1,OFFSET(QCI!$G$13,$F24,0),""))</f>
        <v>Revestimento</v>
      </c>
      <c r="K23" s="190"/>
      <c r="L23" s="190"/>
      <c r="M23" s="191">
        <f ca="1">IF($F24=0,OFFSET(ORÇAMENTO!C$15,$F23,0),1)</f>
        <v>2</v>
      </c>
      <c r="N23" s="192">
        <f ca="1">IF($F24=-1,0,IF(N$13&lt;=$M23,IF(ISERROR(MATCH(N$13,OFFSET($M23,1,0,ROW($M$29)-ROW($M23)-1),0)),ROW($M$29)-ROW($M23)-1,MATCH(N$13,OFFSET($M23,1,0,ROW($M$29)-ROW($M23)-1),0)-1),0))</f>
        <v>5</v>
      </c>
      <c r="O23" s="192">
        <f ca="1">IF($F24=-1,0,IF(O$13&lt;=$M23,IF(ISERROR(MATCH(O$13,OFFSET($M23,1,0,ROW($M$29)-ROW($M23)-1),0)),ROW($M$29)-ROW($M23)-1,MATCH(O$13,OFFSET($M23,1,0,ROW($M$29)-ROW($M23)-1),0)-1),0))</f>
        <v>2</v>
      </c>
      <c r="P23" s="192">
        <f ca="1">IF($F24=-1,0,IF(P$13&lt;=$M23,IF(ISERROR(MATCH(P$13,OFFSET($M23,1,0,ROW($M$29)-ROW($M23)-1),0)),ROW($M$29)-ROW($M23)-1,MATCH(P$13,OFFSET($M23,1,0,ROW($M$29)-ROW($M23)-1),0)-1),0))</f>
        <v>0</v>
      </c>
      <c r="Q23" s="192">
        <f ca="1">IF($F24=-1,0,IF(Q$13&lt;=$M23,IF(ISERROR(MATCH(Q$13,OFFSET($M23,1,0,ROW($M$29)-ROW($M23)-1),0)),ROW($M$29)-ROW($M23)-1,MATCH(Q$13,OFFSET($M23,1,0,ROW($M$29)-ROW($M23)-1),0)-1),0))</f>
        <v>0</v>
      </c>
      <c r="R23" s="192">
        <f t="shared" ref="R23" ca="1" si="23">MIN(OFFSET(M23,0,1,,M23))</f>
        <v>2</v>
      </c>
      <c r="S23" s="193">
        <f ca="1">IF($F24=0,OFFSET(ORÇAMENTO!X$15,$F23,0),IF($F24&lt;&gt;-1,OFFSET(QCI!$O$13,$F24,0),""))</f>
        <v>2751105.68</v>
      </c>
      <c r="T23" s="194" t="s">
        <v>785</v>
      </c>
      <c r="U23" s="187" cm="1">
        <f t="array" aca="1" ref="U23" ca="1">IF(AND($R23=2,ACOMPANHAMENTO="BM"),ROUND(U24,4),U25/$S23)</f>
        <v>0.15534114269285357</v>
      </c>
      <c r="V23" s="187" cm="1">
        <f t="array" aca="1" ref="V23" ca="1">IF(AND($R23=2,ACOMPANHAMENTO="BM"),ROUND(V24,4),V25/$S23)</f>
        <v>0.1959445083912589</v>
      </c>
      <c r="W23" s="187" cm="1">
        <f t="array" aca="1" ref="W23" ca="1">IF(AND($R23=2,ACOMPANHAMENTO="BM"),ROUND(W24,4),W25/$S23)</f>
        <v>0.21525522421952187</v>
      </c>
      <c r="X23" s="187" cm="1">
        <f t="array" aca="1" ref="X23" ca="1">IF(AND($R23=2,ACOMPANHAMENTO="BM"),ROUND(X24,4),X25/$S23)</f>
        <v>7.8095709503969324E-2</v>
      </c>
      <c r="Y23" s="187" cm="1">
        <f t="array" aca="1" ref="Y23" ca="1">IF(AND($R23=2,ACOMPANHAMENTO="BM"),ROUND(Y24,4),Y25/$S23)</f>
        <v>0.35536341519239639</v>
      </c>
      <c r="Z23" s="187" cm="1">
        <f t="array" aca="1" ref="Z23" ca="1">IF(AND($R23=2,ACOMPANHAMENTO="BM"),ROUND(Z24,4),Z25/$S23)</f>
        <v>0</v>
      </c>
      <c r="AA23" s="187" cm="1">
        <f t="array" aca="1" ref="AA23" ca="1">IF(AND($R23=2,ACOMPANHAMENTO="BM"),ROUND(AA24,4),AA25/$S23)</f>
        <v>0</v>
      </c>
      <c r="AB23" s="187" cm="1">
        <f t="array" aca="1" ref="AB23" ca="1">IF(AND($R23=2,ACOMPANHAMENTO="BM"),ROUND(AB24,4),AB25/$S23)</f>
        <v>0</v>
      </c>
      <c r="AC23" s="187" cm="1">
        <f t="array" aca="1" ref="AC23" ca="1">IF(AND($R23=2,ACOMPANHAMENTO="BM"),ROUND(AC24,4),AC25/$S23)</f>
        <v>0</v>
      </c>
      <c r="AD23" s="187" cm="1">
        <f t="array" aca="1" ref="AD23" ca="1">IF(AND($R23=2,ACOMPANHAMENTO="BM"),ROUND(AD24,4),AD25/$S23)</f>
        <v>0</v>
      </c>
      <c r="AE23" s="187" cm="1">
        <f t="array" aca="1" ref="AE23" ca="1">IF(AND($R23=2,ACOMPANHAMENTO="BM"),ROUND(AE24,4),AE25/$S23)</f>
        <v>0</v>
      </c>
      <c r="AF23" s="187" cm="1">
        <f t="array" aca="1" ref="AF23" ca="1">IF(AND($R23=2,ACOMPANHAMENTO="BM"),ROUND(AF24,4),AF25/$S23)</f>
        <v>0</v>
      </c>
      <c r="AG23" s="533"/>
    </row>
    <row r="24" spans="1:33" ht="12.75" hidden="1" customHeight="1" x14ac:dyDescent="0.2">
      <c r="E24" s="586"/>
      <c r="F24" s="184">
        <f ca="1">IF(ISERROR(F23),IF(1+COUNTIF($M$13:OFFSET(M23,-1,0),1)&lt;=MAX(QCI!$D$13:$D$24),1+COUNTIF($M$13:OFFSET(M23,-1,0),1),-1),0)</f>
        <v>0</v>
      </c>
      <c r="G24" s="184" t="str" cm="1">
        <f t="array" aca="1" ref="G24" ca="1">IF(ACOMPANHAMENTO="BM",OFFSET(G24,-1,0),"")</f>
        <v/>
      </c>
      <c r="H24" s="195" t="str" cm="1">
        <f t="array" aca="1" ref="H24" ca="1">IF(OR(S23=0,S23=""),"vazia",IF(AND(OR(ACOMPANHAMENTO="PLE",$R23&lt;&gt;2),$F24=0),"calculada","--&gt;"))</f>
        <v>calculada</v>
      </c>
      <c r="I24" s="196"/>
      <c r="J24" s="197" t="str">
        <f t="shared" ref="J24" ca="1" si="24">IF(AND(H23&lt;&gt;0,ISNUMBER(H23)),"PREENCHA ESTA LINHA --&gt;","")</f>
        <v/>
      </c>
      <c r="K24" s="197"/>
      <c r="L24" s="197"/>
      <c r="M24" s="198"/>
      <c r="N24" s="198"/>
      <c r="O24" s="198"/>
      <c r="P24" s="198"/>
      <c r="Q24" s="198"/>
      <c r="R24" s="198"/>
      <c r="S24" s="199"/>
      <c r="T24" s="200"/>
      <c r="U24" s="586"/>
      <c r="V24" s="586"/>
      <c r="W24" s="586"/>
      <c r="X24" s="586"/>
      <c r="Y24" s="586"/>
      <c r="Z24" s="586"/>
      <c r="AA24" s="586"/>
      <c r="AB24" s="586"/>
      <c r="AC24" s="586"/>
      <c r="AD24" s="586"/>
      <c r="AE24" s="586"/>
      <c r="AF24" s="586"/>
      <c r="AG24" s="533"/>
    </row>
    <row r="25" spans="1:33" ht="12.75" hidden="1" customHeight="1" x14ac:dyDescent="0.2">
      <c r="D25" s="532"/>
      <c r="E25" s="201" cm="1">
        <f t="array" aca="1" ref="E25" ca="1">IF($R23=2,
         IF(AND(ACOMPANHAMENTO="PLE",ISNUMBER($F23)),
                SUMIF((OFFSET(CÁLCULO!$BC$15:$BU$15,$F23,0,OFFSET(ORÇAMENTO!$D$15,CRONO!$F23,0))),CRONO!E$12,OFFSET(CÁLCULO!$AJ$15:$BB$15,$F23,0,OFFSET(ORÇAMENTO!$D$15,CRONO!$F23,0)))
                +IF(AND($F25&lt;&gt;"",$F25&lt;&gt;0),
                        SUMIF(CÁLCULO!$BC$15:$BU$35,CRONO!E$12,CÁLCULO!$AJ$15:$BB$35)/(ORÇAMENTO!$X$15-CÁLCULO.TotalAdmLocal)*CRONO!$F25,
                        0),
                 E24*$S23),
          SUMIF(OFFSET($S25,1,0,$R23-2),($M23+1)&amp;"$",OFFSET(E25,1,0,$R23-2)))</f>
        <v>427359.89999999997</v>
      </c>
      <c r="F25" s="184" t="str">
        <f ca="1">IF(OR($R23&lt;&gt;2,AUTOEVENTO&lt;&gt;"manual",$F24&gt;0),"",
        IF(Import.TipoArredondamento="Tradicional",
              SUMIF(OFFSET(CÁLCULO!$M$15,CRONO!$F23,0,OFFSET(ORÇAMENTO!$D$15,CRONO!$F23,0)),1,OFFSET(ORÇAMENTO!$X$15,CRONO!$F23,0,OFFSET(ORÇAMENTO!$D$15,CRONO!$F23,0))),
              0))</f>
        <v/>
      </c>
      <c r="H25" s="202"/>
      <c r="S25" s="203" t="str">
        <f t="shared" ref="S25" ca="1" si="25">M23&amp;"$"</f>
        <v>2$</v>
      </c>
      <c r="T25" s="204"/>
      <c r="U25" s="201" cm="1">
        <f t="array" aca="1" ref="U25" ca="1">IF($R23=2,
         IF(AND(ACOMPANHAMENTO="PLE",ISNUMBER($F23)),
                SUMIF((OFFSET(CÁLCULO!$BC$15:$BU$15,$F23,0,OFFSET(ORÇAMENTO!$D$15,CRONO!$F23,0))),CRONO!U$12,OFFSET(CÁLCULO!$AJ$15:$BB$15,$F23,0,OFFSET(ORÇAMENTO!$D$15,CRONO!$F23,0)))
                +IF(AND($F25&lt;&gt;"",$F25&lt;&gt;0),
                        SUMIF(CÁLCULO!$BC$15:$BU$35,CRONO!U$12,CÁLCULO!$AJ$15:$BB$35)/(ORÇAMENTO!$X$15-CÁLCULO.TotalAdmLocal)*CRONO!$F25,
                        0),
                 U24*$S23),
          SUMIF(OFFSET($S25,1,0,$R23-2),($M23+1)&amp;"$",OFFSET(U25,1,0,$R23-2)))</f>
        <v>427359.89999999997</v>
      </c>
      <c r="V25" s="201" cm="1">
        <f t="array" aca="1" ref="V25" ca="1">IF($R23=2,
         IF(AND(ACOMPANHAMENTO="PLE",ISNUMBER($F23)),
                SUMIF((OFFSET(CÁLCULO!$BC$15:$BU$15,$F23,0,OFFSET(ORÇAMENTO!$D$15,CRONO!$F23,0))),CRONO!V$12,OFFSET(CÁLCULO!$AJ$15:$BB$15,$F23,0,OFFSET(ORÇAMENTO!$D$15,CRONO!$F23,0)))
                +IF(AND($F25&lt;&gt;"",$F25&lt;&gt;0),
                        SUMIF(CÁLCULO!$BC$15:$BU$35,CRONO!V$12,CÁLCULO!$AJ$15:$BB$35)/(ORÇAMENTO!$X$15-CÁLCULO.TotalAdmLocal)*CRONO!$F25,
                        0),
                 V24*$S23),
          SUMIF(OFFSET($S25,1,0,$R23-2),($M23+1)&amp;"$",OFFSET(V25,1,0,$R23-2)))</f>
        <v>539064.05000000005</v>
      </c>
      <c r="W25" s="201" cm="1">
        <f t="array" aca="1" ref="W25" ca="1">IF($R23=2,
         IF(AND(ACOMPANHAMENTO="PLE",ISNUMBER($F23)),
                SUMIF((OFFSET(CÁLCULO!$BC$15:$BU$15,$F23,0,OFFSET(ORÇAMENTO!$D$15,CRONO!$F23,0))),CRONO!W$12,OFFSET(CÁLCULO!$AJ$15:$BB$15,$F23,0,OFFSET(ORÇAMENTO!$D$15,CRONO!$F23,0)))
                +IF(AND($F25&lt;&gt;"",$F25&lt;&gt;0),
                        SUMIF(CÁLCULO!$BC$15:$BU$35,CRONO!W$12,CÁLCULO!$AJ$15:$BB$35)/(ORÇAMENTO!$X$15-CÁLCULO.TotalAdmLocal)*CRONO!$F25,
                        0),
                 W24*$S23),
          SUMIF(OFFSET($S25,1,0,$R23-2),($M23+1)&amp;"$",OFFSET(W25,1,0,$R23-2)))</f>
        <v>592189.87000000023</v>
      </c>
      <c r="X25" s="201" cm="1">
        <f t="array" aca="1" ref="X25" ca="1">IF($R23=2,
         IF(AND(ACOMPANHAMENTO="PLE",ISNUMBER($F23)),
                SUMIF((OFFSET(CÁLCULO!$BC$15:$BU$15,$F23,0,OFFSET(ORÇAMENTO!$D$15,CRONO!$F23,0))),CRONO!X$12,OFFSET(CÁLCULO!$AJ$15:$BB$15,$F23,0,OFFSET(ORÇAMENTO!$D$15,CRONO!$F23,0)))
                +IF(AND($F25&lt;&gt;"",$F25&lt;&gt;0),
                        SUMIF(CÁLCULO!$BC$15:$BU$35,CRONO!X$12,CÁLCULO!$AJ$15:$BB$35)/(ORÇAMENTO!$X$15-CÁLCULO.TotalAdmLocal)*CRONO!$F25,
                        0),
                 X24*$S23),
          SUMIF(OFFSET($S25,1,0,$R23-2),($M23+1)&amp;"$",OFFSET(X25,1,0,$R23-2)))</f>
        <v>214849.55</v>
      </c>
      <c r="Y25" s="201" cm="1">
        <f t="array" aca="1" ref="Y25" ca="1">IF($R23=2,
         IF(AND(ACOMPANHAMENTO="PLE",ISNUMBER($F23)),
                SUMIF((OFFSET(CÁLCULO!$BC$15:$BU$15,$F23,0,OFFSET(ORÇAMENTO!$D$15,CRONO!$F23,0))),CRONO!Y$12,OFFSET(CÁLCULO!$AJ$15:$BB$15,$F23,0,OFFSET(ORÇAMENTO!$D$15,CRONO!$F23,0)))
                +IF(AND($F25&lt;&gt;"",$F25&lt;&gt;0),
                        SUMIF(CÁLCULO!$BC$15:$BU$35,CRONO!Y$12,CÁLCULO!$AJ$15:$BB$35)/(ORÇAMENTO!$X$15-CÁLCULO.TotalAdmLocal)*CRONO!$F25,
                        0),
                 Y24*$S23),
          SUMIF(OFFSET($S25,1,0,$R23-2),($M23+1)&amp;"$",OFFSET(Y25,1,0,$R23-2)))</f>
        <v>977642.31</v>
      </c>
      <c r="Z25" s="201" cm="1">
        <f t="array" aca="1" ref="Z25" ca="1">IF($R23=2,
         IF(AND(ACOMPANHAMENTO="PLE",ISNUMBER($F23)),
                SUMIF((OFFSET(CÁLCULO!$BC$15:$BU$15,$F23,0,OFFSET(ORÇAMENTO!$D$15,CRONO!$F23,0))),CRONO!Z$12,OFFSET(CÁLCULO!$AJ$15:$BB$15,$F23,0,OFFSET(ORÇAMENTO!$D$15,CRONO!$F23,0)))
                +IF(AND($F25&lt;&gt;"",$F25&lt;&gt;0),
                        SUMIF(CÁLCULO!$BC$15:$BU$35,CRONO!Z$12,CÁLCULO!$AJ$15:$BB$35)/(ORÇAMENTO!$X$15-CÁLCULO.TotalAdmLocal)*CRONO!$F25,
                        0),
                 Z24*$S23),
          SUMIF(OFFSET($S25,1,0,$R23-2),($M23+1)&amp;"$",OFFSET(Z25,1,0,$R23-2)))</f>
        <v>0</v>
      </c>
      <c r="AA25" s="201" cm="1">
        <f t="array" aca="1" ref="AA25" ca="1">IF($R23=2,
         IF(AND(ACOMPANHAMENTO="PLE",ISNUMBER($F23)),
                SUMIF((OFFSET(CÁLCULO!$BC$15:$BU$15,$F23,0,OFFSET(ORÇAMENTO!$D$15,CRONO!$F23,0))),CRONO!AA$12,OFFSET(CÁLCULO!$AJ$15:$BB$15,$F23,0,OFFSET(ORÇAMENTO!$D$15,CRONO!$F23,0)))
                +IF(AND($F25&lt;&gt;"",$F25&lt;&gt;0),
                        SUMIF(CÁLCULO!$BC$15:$BU$35,CRONO!AA$12,CÁLCULO!$AJ$15:$BB$35)/(ORÇAMENTO!$X$15-CÁLCULO.TotalAdmLocal)*CRONO!$F25,
                        0),
                 AA24*$S23),
          SUMIF(OFFSET($S25,1,0,$R23-2),($M23+1)&amp;"$",OFFSET(AA25,1,0,$R23-2)))</f>
        <v>0</v>
      </c>
      <c r="AB25" s="201" cm="1">
        <f t="array" aca="1" ref="AB25" ca="1">IF($R23=2,
         IF(AND(ACOMPANHAMENTO="PLE",ISNUMBER($F23)),
                SUMIF((OFFSET(CÁLCULO!$BC$15:$BU$15,$F23,0,OFFSET(ORÇAMENTO!$D$15,CRONO!$F23,0))),CRONO!AB$12,OFFSET(CÁLCULO!$AJ$15:$BB$15,$F23,0,OFFSET(ORÇAMENTO!$D$15,CRONO!$F23,0)))
                +IF(AND($F25&lt;&gt;"",$F25&lt;&gt;0),
                        SUMIF(CÁLCULO!$BC$15:$BU$35,CRONO!AB$12,CÁLCULO!$AJ$15:$BB$35)/(ORÇAMENTO!$X$15-CÁLCULO.TotalAdmLocal)*CRONO!$F25,
                        0),
                 AB24*$S23),
          SUMIF(OFFSET($S25,1,0,$R23-2),($M23+1)&amp;"$",OFFSET(AB25,1,0,$R23-2)))</f>
        <v>0</v>
      </c>
      <c r="AC25" s="201" cm="1">
        <f t="array" aca="1" ref="AC25" ca="1">IF($R23=2,
         IF(AND(ACOMPANHAMENTO="PLE",ISNUMBER($F23)),
                SUMIF((OFFSET(CÁLCULO!$BC$15:$BU$15,$F23,0,OFFSET(ORÇAMENTO!$D$15,CRONO!$F23,0))),CRONO!AC$12,OFFSET(CÁLCULO!$AJ$15:$BB$15,$F23,0,OFFSET(ORÇAMENTO!$D$15,CRONO!$F23,0)))
                +IF(AND($F25&lt;&gt;"",$F25&lt;&gt;0),
                        SUMIF(CÁLCULO!$BC$15:$BU$35,CRONO!AC$12,CÁLCULO!$AJ$15:$BB$35)/(ORÇAMENTO!$X$15-CÁLCULO.TotalAdmLocal)*CRONO!$F25,
                        0),
                 AC24*$S23),
          SUMIF(OFFSET($S25,1,0,$R23-2),($M23+1)&amp;"$",OFFSET(AC25,1,0,$R23-2)))</f>
        <v>0</v>
      </c>
      <c r="AD25" s="201" cm="1">
        <f t="array" aca="1" ref="AD25" ca="1">IF($R23=2,
         IF(AND(ACOMPANHAMENTO="PLE",ISNUMBER($F23)),
                SUMIF((OFFSET(CÁLCULO!$BC$15:$BU$15,$F23,0,OFFSET(ORÇAMENTO!$D$15,CRONO!$F23,0))),CRONO!AD$12,OFFSET(CÁLCULO!$AJ$15:$BB$15,$F23,0,OFFSET(ORÇAMENTO!$D$15,CRONO!$F23,0)))
                +IF(AND($F25&lt;&gt;"",$F25&lt;&gt;0),
                        SUMIF(CÁLCULO!$BC$15:$BU$35,CRONO!AD$12,CÁLCULO!$AJ$15:$BB$35)/(ORÇAMENTO!$X$15-CÁLCULO.TotalAdmLocal)*CRONO!$F25,
                        0),
                 AD24*$S23),
          SUMIF(OFFSET($S25,1,0,$R23-2),($M23+1)&amp;"$",OFFSET(AD25,1,0,$R23-2)))</f>
        <v>0</v>
      </c>
      <c r="AE25" s="201" cm="1">
        <f t="array" aca="1" ref="AE25" ca="1">IF($R23=2,
         IF(AND(ACOMPANHAMENTO="PLE",ISNUMBER($F23)),
                SUMIF((OFFSET(CÁLCULO!$BC$15:$BU$15,$F23,0,OFFSET(ORÇAMENTO!$D$15,CRONO!$F23,0))),CRONO!AE$12,OFFSET(CÁLCULO!$AJ$15:$BB$15,$F23,0,OFFSET(ORÇAMENTO!$D$15,CRONO!$F23,0)))
                +IF(AND($F25&lt;&gt;"",$F25&lt;&gt;0),
                        SUMIF(CÁLCULO!$BC$15:$BU$35,CRONO!AE$12,CÁLCULO!$AJ$15:$BB$35)/(ORÇAMENTO!$X$15-CÁLCULO.TotalAdmLocal)*CRONO!$F25,
                        0),
                 AE24*$S23),
          SUMIF(OFFSET($S25,1,0,$R23-2),($M23+1)&amp;"$",OFFSET(AE25,1,0,$R23-2)))</f>
        <v>0</v>
      </c>
      <c r="AF25" s="201" cm="1">
        <f t="array" aca="1" ref="AF25" ca="1">IF($R23=2,
         IF(AND(ACOMPANHAMENTO="PLE",ISNUMBER($F23)),
                SUMIF((OFFSET(CÁLCULO!$BC$15:$BU$15,$F23,0,OFFSET(ORÇAMENTO!$D$15,CRONO!$F23,0))),CRONO!AF$12,OFFSET(CÁLCULO!$AJ$15:$BB$15,$F23,0,OFFSET(ORÇAMENTO!$D$15,CRONO!$F23,0)))
                +IF(AND($F25&lt;&gt;"",$F25&lt;&gt;0),
                        SUMIF(CÁLCULO!$BC$15:$BU$35,CRONO!AF$12,CÁLCULO!$AJ$15:$BB$35)/(ORÇAMENTO!$X$15-CÁLCULO.TotalAdmLocal)*CRONO!$F25,
                        0),
                 AF24*$S23),
          SUMIF(OFFSET($S25,1,0,$R23-2),($M23+1)&amp;"$",OFFSET(AF25,1,0,$R23-2)))</f>
        <v>0</v>
      </c>
      <c r="AG25" s="533"/>
    </row>
    <row r="26" spans="1:33" x14ac:dyDescent="0.2">
      <c r="A26" s="185" t="str">
        <f t="shared" ref="A26" ca="1" si="26">IF($M26&gt;1,_xlfn.CONCAT($I26," ",$J26),"")</f>
        <v>1.4. Sinalização</v>
      </c>
      <c r="B26" s="184">
        <f t="shared" ref="B26" ca="1" si="27">OFFSET(B26,-3,0)+1</f>
        <v>5</v>
      </c>
      <c r="C26" s="184">
        <f ca="1">IF($R26&lt;&gt;2,0,IF($S26=0,1,IF(F27&gt;0,OFFSET(QCI!$M$13,SUBSTITUTE(F27,".",""),0),OFFSET(ORÇAMENTO!$AA$15,CRONO!$F26,0))/$S26))</f>
        <v>7.171617328314922E-2</v>
      </c>
      <c r="D26" s="184">
        <f ca="1">IF($R26&lt;&gt;2,0,IF($S26=0,1,IF(F27&gt;0,OFFSET(QCI!$N$13,SUBSTITUTE(F27,".",""),0),OFFSET(ORÇAMENTO!$AB$15,CRONO!$F26,0))/$S26))</f>
        <v>0</v>
      </c>
      <c r="E26" s="187" cm="1">
        <f t="array" aca="1" ref="E26" ca="1">IF(AND($R26=2,ACOMPANHAMENTO="BM"),ROUND(E27,4),E28/$S26)</f>
        <v>0.21165368982764382</v>
      </c>
      <c r="F26" s="184" cm="1">
        <f t="array" aca="1" ref="F26" ca="1">IF(B26&lt;=ORÇAMENTO.MáximoListaCrono,MATCH(B26,ORÇAMENTO.ListaCrono,0),NA())</f>
        <v>18</v>
      </c>
      <c r="G26" s="184" t="str">
        <f t="shared" ref="G26" ca="1" si="28">IF(AND($F27&lt;&gt;-1,$S26&gt;0),"F","")</f>
        <v>F</v>
      </c>
      <c r="H26" s="188" t="str" cm="1">
        <f t="array" aca="1" ref="H26" ca="1">IF(OR(S26=0,S26=""),"Linha",IF(AND(OR(ACOMPANHAMENTO="PLE",$R26&lt;&gt;2),$F27=0),"Linha",ROUND(1-SUM(U26:AG26),4)))</f>
        <v>Linha</v>
      </c>
      <c r="I26" s="189" t="str">
        <f ca="1">IF($F27=0,OFFSET(ORÇAMENTO!O$15,$F26,0),IF($F27&lt;&gt;-1,OFFSET(QCI!$D$13,$F27,0),""))</f>
        <v>1.4.</v>
      </c>
      <c r="J26" s="190" t="str">
        <f ca="1">IF($F27=0,OFFSET(ORÇAMENTO!R$15,$F26,0),IF($F27&lt;&gt;-1,OFFSET(QCI!$G$13,$F27,0),""))</f>
        <v>Sinalização</v>
      </c>
      <c r="K26" s="190"/>
      <c r="L26" s="190"/>
      <c r="M26" s="191">
        <f ca="1">IF($F27=0,OFFSET(ORÇAMENTO!C$15,$F26,0),1)</f>
        <v>2</v>
      </c>
      <c r="N26" s="192">
        <f ca="1">IF($F27=-1,0,IF(N$13&lt;=$M26,IF(ISERROR(MATCH(N$13,OFFSET($M26,1,0,ROW($M$29)-ROW($M26)-1),0)),ROW($M$29)-ROW($M26)-1,MATCH(N$13,OFFSET($M26,1,0,ROW($M$29)-ROW($M26)-1),0)-1),0))</f>
        <v>2</v>
      </c>
      <c r="O26" s="192">
        <f ca="1">IF($F27=-1,0,IF(O$13&lt;=$M26,IF(ISERROR(MATCH(O$13,OFFSET($M26,1,0,ROW($M$29)-ROW($M26)-1),0)),ROW($M$29)-ROW($M26)-1,MATCH(O$13,OFFSET($M26,1,0,ROW($M$29)-ROW($M26)-1),0)-1),0))</f>
        <v>2</v>
      </c>
      <c r="P26" s="192">
        <f ca="1">IF($F27=-1,0,IF(P$13&lt;=$M26,IF(ISERROR(MATCH(P$13,OFFSET($M26,1,0,ROW($M$29)-ROW($M26)-1),0)),ROW($M$29)-ROW($M26)-1,MATCH(P$13,OFFSET($M26,1,0,ROW($M$29)-ROW($M26)-1),0)-1),0))</f>
        <v>0</v>
      </c>
      <c r="Q26" s="192">
        <f ca="1">IF($F27=-1,0,IF(Q$13&lt;=$M26,IF(ISERROR(MATCH(Q$13,OFFSET($M26,1,0,ROW($M$29)-ROW($M26)-1),0)),ROW($M$29)-ROW($M26)-1,MATCH(Q$13,OFFSET($M26,1,0,ROW($M$29)-ROW($M26)-1),0)-1),0))</f>
        <v>0</v>
      </c>
      <c r="R26" s="192">
        <f t="shared" ref="R26" ca="1" si="29">MIN(OFFSET(M26,0,1,,M26))</f>
        <v>2</v>
      </c>
      <c r="S26" s="193">
        <f ca="1">IF($F27=0,OFFSET(ORÇAMENTO!X$15,$F26,0),IF($F27&lt;&gt;-1,OFFSET(QCI!$O$13,$F27,0),""))</f>
        <v>47162.23</v>
      </c>
      <c r="T26" s="194" t="s">
        <v>785</v>
      </c>
      <c r="U26" s="187" cm="1">
        <f t="array" aca="1" ref="U26" ca="1">IF(AND($R26=2,ACOMPANHAMENTO="BM"),ROUND(U27,4),U28/$S26)</f>
        <v>0.21165368982764382</v>
      </c>
      <c r="V26" s="187" cm="1">
        <f t="array" aca="1" ref="V26" ca="1">IF(AND($R26=2,ACOMPANHAMENTO="BM"),ROUND(V27,4),V28/$S26)</f>
        <v>0.24495088548611885</v>
      </c>
      <c r="W26" s="187" cm="1">
        <f t="array" aca="1" ref="W26" ca="1">IF(AND($R26=2,ACOMPANHAMENTO="BM"),ROUND(W27,4),W28/$S26)</f>
        <v>0.24371218239680353</v>
      </c>
      <c r="X26" s="187" cm="1">
        <f t="array" aca="1" ref="X26" ca="1">IF(AND($R26=2,ACOMPANHAMENTO="BM"),ROUND(X27,4),X28/$S26)</f>
        <v>4.9256152645877856E-2</v>
      </c>
      <c r="Y26" s="187" cm="1">
        <f t="array" aca="1" ref="Y26" ca="1">IF(AND($R26=2,ACOMPANHAMENTO="BM"),ROUND(Y27,4),Y28/$S26)</f>
        <v>0.25042708964355587</v>
      </c>
      <c r="Z26" s="187" cm="1">
        <f t="array" aca="1" ref="Z26" ca="1">IF(AND($R26=2,ACOMPANHAMENTO="BM"),ROUND(Z27,4),Z28/$S26)</f>
        <v>0</v>
      </c>
      <c r="AA26" s="187" cm="1">
        <f t="array" aca="1" ref="AA26" ca="1">IF(AND($R26=2,ACOMPANHAMENTO="BM"),ROUND(AA27,4),AA28/$S26)</f>
        <v>0</v>
      </c>
      <c r="AB26" s="187" cm="1">
        <f t="array" aca="1" ref="AB26" ca="1">IF(AND($R26=2,ACOMPANHAMENTO="BM"),ROUND(AB27,4),AB28/$S26)</f>
        <v>0</v>
      </c>
      <c r="AC26" s="187" cm="1">
        <f t="array" aca="1" ref="AC26" ca="1">IF(AND($R26=2,ACOMPANHAMENTO="BM"),ROUND(AC27,4),AC28/$S26)</f>
        <v>0</v>
      </c>
      <c r="AD26" s="187" cm="1">
        <f t="array" aca="1" ref="AD26" ca="1">IF(AND($R26=2,ACOMPANHAMENTO="BM"),ROUND(AD27,4),AD28/$S26)</f>
        <v>0</v>
      </c>
      <c r="AE26" s="187" cm="1">
        <f t="array" aca="1" ref="AE26" ca="1">IF(AND($R26=2,ACOMPANHAMENTO="BM"),ROUND(AE27,4),AE28/$S26)</f>
        <v>0</v>
      </c>
      <c r="AF26" s="187" cm="1">
        <f t="array" aca="1" ref="AF26" ca="1">IF(AND($R26=2,ACOMPANHAMENTO="BM"),ROUND(AF27,4),AF28/$S26)</f>
        <v>0</v>
      </c>
      <c r="AG26" s="533"/>
    </row>
    <row r="27" spans="1:33" ht="12.75" hidden="1" customHeight="1" x14ac:dyDescent="0.2">
      <c r="E27" s="586"/>
      <c r="F27" s="184">
        <f ca="1">IF(ISERROR(F26),IF(1+COUNTIF($M$13:OFFSET(M26,-1,0),1)&lt;=MAX(QCI!$D$13:$D$24),1+COUNTIF($M$13:OFFSET(M26,-1,0),1),-1),0)</f>
        <v>0</v>
      </c>
      <c r="G27" s="184" t="str" cm="1">
        <f t="array" aca="1" ref="G27" ca="1">IF(ACOMPANHAMENTO="BM",OFFSET(G27,-1,0),"")</f>
        <v/>
      </c>
      <c r="H27" s="195" t="str" cm="1">
        <f t="array" aca="1" ref="H27" ca="1">IF(OR(S26=0,S26=""),"vazia",IF(AND(OR(ACOMPANHAMENTO="PLE",$R26&lt;&gt;2),$F27=0),"calculada","--&gt;"))</f>
        <v>calculada</v>
      </c>
      <c r="I27" s="196"/>
      <c r="J27" s="197" t="str">
        <f t="shared" ref="J27" ca="1" si="30">IF(AND(H26&lt;&gt;0,ISNUMBER(H26)),"PREENCHA ESTA LINHA --&gt;","")</f>
        <v/>
      </c>
      <c r="K27" s="197"/>
      <c r="L27" s="197"/>
      <c r="M27" s="198"/>
      <c r="N27" s="198"/>
      <c r="O27" s="198"/>
      <c r="P27" s="198"/>
      <c r="Q27" s="198"/>
      <c r="R27" s="198"/>
      <c r="S27" s="199"/>
      <c r="T27" s="200"/>
      <c r="U27" s="586"/>
      <c r="V27" s="586"/>
      <c r="W27" s="586"/>
      <c r="X27" s="586"/>
      <c r="Y27" s="586"/>
      <c r="Z27" s="586"/>
      <c r="AA27" s="586"/>
      <c r="AB27" s="586"/>
      <c r="AC27" s="586"/>
      <c r="AD27" s="586"/>
      <c r="AE27" s="586"/>
      <c r="AF27" s="586"/>
      <c r="AG27" s="533"/>
    </row>
    <row r="28" spans="1:33" ht="12.75" hidden="1" customHeight="1" x14ac:dyDescent="0.2">
      <c r="D28" s="532"/>
      <c r="E28" s="201" cm="1">
        <f t="array" aca="1" ref="E28" ca="1">IF($R26=2,
         IF(AND(ACOMPANHAMENTO="PLE",ISNUMBER($F26)),
                SUMIF((OFFSET(CÁLCULO!$BC$15:$BU$15,$F26,0,OFFSET(ORÇAMENTO!$D$15,CRONO!$F26,0))),CRONO!E$12,OFFSET(CÁLCULO!$AJ$15:$BB$15,$F26,0,OFFSET(ORÇAMENTO!$D$15,CRONO!$F26,0)))
                +IF(AND($F28&lt;&gt;"",$F28&lt;&gt;0),
                        SUMIF(CÁLCULO!$BC$15:$BU$35,CRONO!E$12,CÁLCULO!$AJ$15:$BB$35)/(ORÇAMENTO!$X$15-CÁLCULO.TotalAdmLocal)*CRONO!$F28,
                        0),
                 E27*$S26),
          SUMIF(OFFSET($S28,1,0,$R26-2),($M26+1)&amp;"$",OFFSET(E28,1,0,$R26-2)))</f>
        <v>9982.06</v>
      </c>
      <c r="F28" s="184" t="str">
        <f ca="1">IF(OR($R26&lt;&gt;2,AUTOEVENTO&lt;&gt;"manual",$F27&gt;0),"",
        IF(Import.TipoArredondamento="Tradicional",
              SUMIF(OFFSET(CÁLCULO!$M$15,CRONO!$F26,0,OFFSET(ORÇAMENTO!$D$15,CRONO!$F26,0)),1,OFFSET(ORÇAMENTO!$X$15,CRONO!$F26,0,OFFSET(ORÇAMENTO!$D$15,CRONO!$F26,0))),
              0))</f>
        <v/>
      </c>
      <c r="H28" s="202"/>
      <c r="S28" s="203" t="str">
        <f t="shared" ref="S28" ca="1" si="31">M26&amp;"$"</f>
        <v>2$</v>
      </c>
      <c r="T28" s="204"/>
      <c r="U28" s="201" cm="1">
        <f t="array" aca="1" ref="U28" ca="1">IF($R26=2,
         IF(AND(ACOMPANHAMENTO="PLE",ISNUMBER($F26)),
                SUMIF((OFFSET(CÁLCULO!$BC$15:$BU$15,$F26,0,OFFSET(ORÇAMENTO!$D$15,CRONO!$F26,0))),CRONO!U$12,OFFSET(CÁLCULO!$AJ$15:$BB$15,$F26,0,OFFSET(ORÇAMENTO!$D$15,CRONO!$F26,0)))
                +IF(AND($F28&lt;&gt;"",$F28&lt;&gt;0),
                        SUMIF(CÁLCULO!$BC$15:$BU$35,CRONO!U$12,CÁLCULO!$AJ$15:$BB$35)/(ORÇAMENTO!$X$15-CÁLCULO.TotalAdmLocal)*CRONO!$F28,
                        0),
                 U27*$S26),
          SUMIF(OFFSET($S28,1,0,$R26-2),($M26+1)&amp;"$",OFFSET(U28,1,0,$R26-2)))</f>
        <v>9982.06</v>
      </c>
      <c r="V28" s="201" cm="1">
        <f t="array" aca="1" ref="V28" ca="1">IF($R26=2,
         IF(AND(ACOMPANHAMENTO="PLE",ISNUMBER($F26)),
                SUMIF((OFFSET(CÁLCULO!$BC$15:$BU$15,$F26,0,OFFSET(ORÇAMENTO!$D$15,CRONO!$F26,0))),CRONO!V$12,OFFSET(CÁLCULO!$AJ$15:$BB$15,$F26,0,OFFSET(ORÇAMENTO!$D$15,CRONO!$F26,0)))
                +IF(AND($F28&lt;&gt;"",$F28&lt;&gt;0),
                        SUMIF(CÁLCULO!$BC$15:$BU$35,CRONO!V$12,CÁLCULO!$AJ$15:$BB$35)/(ORÇAMENTO!$X$15-CÁLCULO.TotalAdmLocal)*CRONO!$F28,
                        0),
                 V27*$S26),
          SUMIF(OFFSET($S28,1,0,$R26-2),($M26+1)&amp;"$",OFFSET(V28,1,0,$R26-2)))</f>
        <v>11552.43</v>
      </c>
      <c r="W28" s="201" cm="1">
        <f t="array" aca="1" ref="W28" ca="1">IF($R26=2,
         IF(AND(ACOMPANHAMENTO="PLE",ISNUMBER($F26)),
                SUMIF((OFFSET(CÁLCULO!$BC$15:$BU$15,$F26,0,OFFSET(ORÇAMENTO!$D$15,CRONO!$F26,0))),CRONO!W$12,OFFSET(CÁLCULO!$AJ$15:$BB$15,$F26,0,OFFSET(ORÇAMENTO!$D$15,CRONO!$F26,0)))
                +IF(AND($F28&lt;&gt;"",$F28&lt;&gt;0),
                        SUMIF(CÁLCULO!$BC$15:$BU$35,CRONO!W$12,CÁLCULO!$AJ$15:$BB$35)/(ORÇAMENTO!$X$15-CÁLCULO.TotalAdmLocal)*CRONO!$F28,
                        0),
                 W27*$S26),
          SUMIF(OFFSET($S28,1,0,$R26-2),($M26+1)&amp;"$",OFFSET(W28,1,0,$R26-2)))</f>
        <v>11494.01</v>
      </c>
      <c r="X28" s="201" cm="1">
        <f t="array" aca="1" ref="X28" ca="1">IF($R26=2,
         IF(AND(ACOMPANHAMENTO="PLE",ISNUMBER($F26)),
                SUMIF((OFFSET(CÁLCULO!$BC$15:$BU$15,$F26,0,OFFSET(ORÇAMENTO!$D$15,CRONO!$F26,0))),CRONO!X$12,OFFSET(CÁLCULO!$AJ$15:$BB$15,$F26,0,OFFSET(ORÇAMENTO!$D$15,CRONO!$F26,0)))
                +IF(AND($F28&lt;&gt;"",$F28&lt;&gt;0),
                        SUMIF(CÁLCULO!$BC$15:$BU$35,CRONO!X$12,CÁLCULO!$AJ$15:$BB$35)/(ORÇAMENTO!$X$15-CÁLCULO.TotalAdmLocal)*CRONO!$F28,
                        0),
                 X27*$S26),
          SUMIF(OFFSET($S28,1,0,$R26-2),($M26+1)&amp;"$",OFFSET(X28,1,0,$R26-2)))</f>
        <v>2323.0300000000002</v>
      </c>
      <c r="Y28" s="201" cm="1">
        <f t="array" aca="1" ref="Y28" ca="1">IF($R26=2,
         IF(AND(ACOMPANHAMENTO="PLE",ISNUMBER($F26)),
                SUMIF((OFFSET(CÁLCULO!$BC$15:$BU$15,$F26,0,OFFSET(ORÇAMENTO!$D$15,CRONO!$F26,0))),CRONO!Y$12,OFFSET(CÁLCULO!$AJ$15:$BB$15,$F26,0,OFFSET(ORÇAMENTO!$D$15,CRONO!$F26,0)))
                +IF(AND($F28&lt;&gt;"",$F28&lt;&gt;0),
                        SUMIF(CÁLCULO!$BC$15:$BU$35,CRONO!Y$12,CÁLCULO!$AJ$15:$BB$35)/(ORÇAMENTO!$X$15-CÁLCULO.TotalAdmLocal)*CRONO!$F28,
                        0),
                 Y27*$S26),
          SUMIF(OFFSET($S28,1,0,$R26-2),($M26+1)&amp;"$",OFFSET(Y28,1,0,$R26-2)))</f>
        <v>11810.7</v>
      </c>
      <c r="Z28" s="201" cm="1">
        <f t="array" aca="1" ref="Z28" ca="1">IF($R26=2,
         IF(AND(ACOMPANHAMENTO="PLE",ISNUMBER($F26)),
                SUMIF((OFFSET(CÁLCULO!$BC$15:$BU$15,$F26,0,OFFSET(ORÇAMENTO!$D$15,CRONO!$F26,0))),CRONO!Z$12,OFFSET(CÁLCULO!$AJ$15:$BB$15,$F26,0,OFFSET(ORÇAMENTO!$D$15,CRONO!$F26,0)))
                +IF(AND($F28&lt;&gt;"",$F28&lt;&gt;0),
                        SUMIF(CÁLCULO!$BC$15:$BU$35,CRONO!Z$12,CÁLCULO!$AJ$15:$BB$35)/(ORÇAMENTO!$X$15-CÁLCULO.TotalAdmLocal)*CRONO!$F28,
                        0),
                 Z27*$S26),
          SUMIF(OFFSET($S28,1,0,$R26-2),($M26+1)&amp;"$",OFFSET(Z28,1,0,$R26-2)))</f>
        <v>0</v>
      </c>
      <c r="AA28" s="201" cm="1">
        <f t="array" aca="1" ref="AA28" ca="1">IF($R26=2,
         IF(AND(ACOMPANHAMENTO="PLE",ISNUMBER($F26)),
                SUMIF((OFFSET(CÁLCULO!$BC$15:$BU$15,$F26,0,OFFSET(ORÇAMENTO!$D$15,CRONO!$F26,0))),CRONO!AA$12,OFFSET(CÁLCULO!$AJ$15:$BB$15,$F26,0,OFFSET(ORÇAMENTO!$D$15,CRONO!$F26,0)))
                +IF(AND($F28&lt;&gt;"",$F28&lt;&gt;0),
                        SUMIF(CÁLCULO!$BC$15:$BU$35,CRONO!AA$12,CÁLCULO!$AJ$15:$BB$35)/(ORÇAMENTO!$X$15-CÁLCULO.TotalAdmLocal)*CRONO!$F28,
                        0),
                 AA27*$S26),
          SUMIF(OFFSET($S28,1,0,$R26-2),($M26+1)&amp;"$",OFFSET(AA28,1,0,$R26-2)))</f>
        <v>0</v>
      </c>
      <c r="AB28" s="201" cm="1">
        <f t="array" aca="1" ref="AB28" ca="1">IF($R26=2,
         IF(AND(ACOMPANHAMENTO="PLE",ISNUMBER($F26)),
                SUMIF((OFFSET(CÁLCULO!$BC$15:$BU$15,$F26,0,OFFSET(ORÇAMENTO!$D$15,CRONO!$F26,0))),CRONO!AB$12,OFFSET(CÁLCULO!$AJ$15:$BB$15,$F26,0,OFFSET(ORÇAMENTO!$D$15,CRONO!$F26,0)))
                +IF(AND($F28&lt;&gt;"",$F28&lt;&gt;0),
                        SUMIF(CÁLCULO!$BC$15:$BU$35,CRONO!AB$12,CÁLCULO!$AJ$15:$BB$35)/(ORÇAMENTO!$X$15-CÁLCULO.TotalAdmLocal)*CRONO!$F28,
                        0),
                 AB27*$S26),
          SUMIF(OFFSET($S28,1,0,$R26-2),($M26+1)&amp;"$",OFFSET(AB28,1,0,$R26-2)))</f>
        <v>0</v>
      </c>
      <c r="AC28" s="201" cm="1">
        <f t="array" aca="1" ref="AC28" ca="1">IF($R26=2,
         IF(AND(ACOMPANHAMENTO="PLE",ISNUMBER($F26)),
                SUMIF((OFFSET(CÁLCULO!$BC$15:$BU$15,$F26,0,OFFSET(ORÇAMENTO!$D$15,CRONO!$F26,0))),CRONO!AC$12,OFFSET(CÁLCULO!$AJ$15:$BB$15,$F26,0,OFFSET(ORÇAMENTO!$D$15,CRONO!$F26,0)))
                +IF(AND($F28&lt;&gt;"",$F28&lt;&gt;0),
                        SUMIF(CÁLCULO!$BC$15:$BU$35,CRONO!AC$12,CÁLCULO!$AJ$15:$BB$35)/(ORÇAMENTO!$X$15-CÁLCULO.TotalAdmLocal)*CRONO!$F28,
                        0),
                 AC27*$S26),
          SUMIF(OFFSET($S28,1,0,$R26-2),($M26+1)&amp;"$",OFFSET(AC28,1,0,$R26-2)))</f>
        <v>0</v>
      </c>
      <c r="AD28" s="201" cm="1">
        <f t="array" aca="1" ref="AD28" ca="1">IF($R26=2,
         IF(AND(ACOMPANHAMENTO="PLE",ISNUMBER($F26)),
                SUMIF((OFFSET(CÁLCULO!$BC$15:$BU$15,$F26,0,OFFSET(ORÇAMENTO!$D$15,CRONO!$F26,0))),CRONO!AD$12,OFFSET(CÁLCULO!$AJ$15:$BB$15,$F26,0,OFFSET(ORÇAMENTO!$D$15,CRONO!$F26,0)))
                +IF(AND($F28&lt;&gt;"",$F28&lt;&gt;0),
                        SUMIF(CÁLCULO!$BC$15:$BU$35,CRONO!AD$12,CÁLCULO!$AJ$15:$BB$35)/(ORÇAMENTO!$X$15-CÁLCULO.TotalAdmLocal)*CRONO!$F28,
                        0),
                 AD27*$S26),
          SUMIF(OFFSET($S28,1,0,$R26-2),($M26+1)&amp;"$",OFFSET(AD28,1,0,$R26-2)))</f>
        <v>0</v>
      </c>
      <c r="AE28" s="201" cm="1">
        <f t="array" aca="1" ref="AE28" ca="1">IF($R26=2,
         IF(AND(ACOMPANHAMENTO="PLE",ISNUMBER($F26)),
                SUMIF((OFFSET(CÁLCULO!$BC$15:$BU$15,$F26,0,OFFSET(ORÇAMENTO!$D$15,CRONO!$F26,0))),CRONO!AE$12,OFFSET(CÁLCULO!$AJ$15:$BB$15,$F26,0,OFFSET(ORÇAMENTO!$D$15,CRONO!$F26,0)))
                +IF(AND($F28&lt;&gt;"",$F28&lt;&gt;0),
                        SUMIF(CÁLCULO!$BC$15:$BU$35,CRONO!AE$12,CÁLCULO!$AJ$15:$BB$35)/(ORÇAMENTO!$X$15-CÁLCULO.TotalAdmLocal)*CRONO!$F28,
                        0),
                 AE27*$S26),
          SUMIF(OFFSET($S28,1,0,$R26-2),($M26+1)&amp;"$",OFFSET(AE28,1,0,$R26-2)))</f>
        <v>0</v>
      </c>
      <c r="AF28" s="201" cm="1">
        <f t="array" aca="1" ref="AF28" ca="1">IF($R26=2,
         IF(AND(ACOMPANHAMENTO="PLE",ISNUMBER($F26)),
                SUMIF((OFFSET(CÁLCULO!$BC$15:$BU$15,$F26,0,OFFSET(ORÇAMENTO!$D$15,CRONO!$F26,0))),CRONO!AF$12,OFFSET(CÁLCULO!$AJ$15:$BB$15,$F26,0,OFFSET(ORÇAMENTO!$D$15,CRONO!$F26,0)))
                +IF(AND($F28&lt;&gt;"",$F28&lt;&gt;0),
                        SUMIF(CÁLCULO!$BC$15:$BU$35,CRONO!AF$12,CÁLCULO!$AJ$15:$BB$35)/(ORÇAMENTO!$X$15-CÁLCULO.TotalAdmLocal)*CRONO!$F28,
                        0),
                 AF27*$S26),
          SUMIF(OFFSET($S28,1,0,$R26-2),($M26+1)&amp;"$",OFFSET(AF28,1,0,$R26-2)))</f>
        <v>0</v>
      </c>
      <c r="AG28" s="533"/>
    </row>
    <row r="29" spans="1:33" ht="5.0999999999999996" customHeight="1" x14ac:dyDescent="0.2">
      <c r="E29" s="639"/>
      <c r="G29" s="184" t="s">
        <v>536</v>
      </c>
      <c r="H29" s="431"/>
      <c r="I29" s="640"/>
      <c r="J29" s="641"/>
      <c r="K29" s="641"/>
      <c r="L29" s="641"/>
      <c r="M29" s="642" t="s">
        <v>797</v>
      </c>
      <c r="N29" s="642"/>
      <c r="O29" s="642"/>
      <c r="P29" s="642"/>
      <c r="Q29" s="642"/>
      <c r="R29" s="642"/>
      <c r="S29" s="643"/>
      <c r="T29" s="643"/>
      <c r="U29" s="641"/>
      <c r="V29" s="641"/>
      <c r="W29" s="641"/>
      <c r="X29" s="641"/>
      <c r="Y29" s="641"/>
      <c r="Z29" s="641"/>
      <c r="AA29" s="641"/>
      <c r="AB29" s="641"/>
      <c r="AC29" s="641"/>
      <c r="AD29" s="641"/>
      <c r="AE29" s="641"/>
      <c r="AF29" s="641"/>
      <c r="AG29" s="533"/>
    </row>
    <row r="30" spans="1:33" ht="12.75" customHeight="1" x14ac:dyDescent="0.2">
      <c r="E30" s="527">
        <f ca="1">E34/$R$30</f>
        <v>0.17061297606253426</v>
      </c>
      <c r="G30" s="184" t="s">
        <v>536</v>
      </c>
      <c r="I30" s="767" t="str">
        <f ca="1">"Total:    R$ "&amp;TEXT(R30,"#.##0,00")</f>
        <v>Total:    R$ 3.091.953,04</v>
      </c>
      <c r="J30" s="767"/>
      <c r="K30" s="767"/>
      <c r="L30" s="226"/>
      <c r="R30" s="227">
        <f ca="1">SUMIF(M12:M29,1,S12:S29)</f>
        <v>3091953.04</v>
      </c>
      <c r="S30" s="228"/>
      <c r="T30" s="229" t="s">
        <v>798</v>
      </c>
      <c r="U30" s="527">
        <f t="shared" ref="U30:AF30" ca="1" si="32">ROUND(U34,2)/$R$30</f>
        <v>0.17061297606253426</v>
      </c>
      <c r="V30" s="527">
        <f t="shared" ca="1" si="32"/>
        <v>0.21936802119090398</v>
      </c>
      <c r="W30" s="527">
        <f t="shared" ca="1" si="32"/>
        <v>0.19524354742464006</v>
      </c>
      <c r="X30" s="527">
        <f t="shared" ca="1" si="32"/>
        <v>9.4766387525730328E-2</v>
      </c>
      <c r="Y30" s="527">
        <f t="shared" ca="1" si="32"/>
        <v>0.32000906779619137</v>
      </c>
      <c r="Z30" s="527">
        <f t="shared" ca="1" si="32"/>
        <v>0</v>
      </c>
      <c r="AA30" s="527">
        <f t="shared" ca="1" si="32"/>
        <v>0</v>
      </c>
      <c r="AB30" s="527">
        <f t="shared" ca="1" si="32"/>
        <v>0</v>
      </c>
      <c r="AC30" s="527">
        <f t="shared" ca="1" si="32"/>
        <v>0</v>
      </c>
      <c r="AD30" s="527">
        <f t="shared" ca="1" si="32"/>
        <v>0</v>
      </c>
      <c r="AE30" s="527">
        <f t="shared" ca="1" si="32"/>
        <v>0</v>
      </c>
      <c r="AF30" s="538">
        <f t="shared" ca="1" si="32"/>
        <v>0</v>
      </c>
      <c r="AG30" s="533"/>
    </row>
    <row r="31" spans="1:33" ht="15" customHeight="1" x14ac:dyDescent="0.2">
      <c r="E31" s="230">
        <f ca="1">IF(E$12=1,ROUND(E36,2),ROUND(E36,2)-ROUND(D36,2))</f>
        <v>489695.07</v>
      </c>
      <c r="G31" s="184" t="s">
        <v>536</v>
      </c>
      <c r="I31" s="767"/>
      <c r="J31" s="767"/>
      <c r="K31" s="767"/>
      <c r="L31" s="231"/>
      <c r="R31" s="227"/>
      <c r="S31" s="232"/>
      <c r="T31" s="233" t="str">
        <f>IF(import.recurso="FGTS","Financiamento:","Repasse:")</f>
        <v>Repasse:</v>
      </c>
      <c r="U31" s="230">
        <f t="shared" ref="U31:AF31" ca="1" si="33">IF(U$12=1,ROUND(U36,2),ROUND(U36,2)-ROUND(T36,2))</f>
        <v>489695.07</v>
      </c>
      <c r="V31" s="230">
        <f t="shared" ca="1" si="33"/>
        <v>629632.29</v>
      </c>
      <c r="W31" s="230">
        <f t="shared" ca="1" si="33"/>
        <v>560389.98</v>
      </c>
      <c r="X31" s="230">
        <f t="shared" ca="1" si="33"/>
        <v>271999.42999999993</v>
      </c>
      <c r="Y31" s="230">
        <f t="shared" ca="1" si="33"/>
        <v>918493.23</v>
      </c>
      <c r="Z31" s="230">
        <f t="shared" ca="1" si="33"/>
        <v>0</v>
      </c>
      <c r="AA31" s="230">
        <f t="shared" ca="1" si="33"/>
        <v>0</v>
      </c>
      <c r="AB31" s="230">
        <f t="shared" ca="1" si="33"/>
        <v>0</v>
      </c>
      <c r="AC31" s="230">
        <f t="shared" ca="1" si="33"/>
        <v>0</v>
      </c>
      <c r="AD31" s="230">
        <f t="shared" ca="1" si="33"/>
        <v>0</v>
      </c>
      <c r="AE31" s="230">
        <f t="shared" ca="1" si="33"/>
        <v>0</v>
      </c>
      <c r="AF31" s="230">
        <f t="shared" ca="1" si="33"/>
        <v>0</v>
      </c>
      <c r="AG31" s="533"/>
    </row>
    <row r="32" spans="1:33" ht="12.75" customHeight="1" x14ac:dyDescent="0.2">
      <c r="E32" s="528">
        <f ca="1">IF(E$12=1,ROUND(E37,2),ROUND(E37,2)-ROUND(D37,2))</f>
        <v>37832.239999999998</v>
      </c>
      <c r="G32" s="184" t="s">
        <v>536</v>
      </c>
      <c r="I32" s="234"/>
      <c r="L32" s="235" t="s">
        <v>799</v>
      </c>
      <c r="R32" s="227"/>
      <c r="S32" s="236"/>
      <c r="T32" s="237" t="s">
        <v>800</v>
      </c>
      <c r="U32" s="528">
        <f t="shared" ref="U32:AF32" ca="1" si="34">IF(U$12=1,ROUND(U37,2),ROUND(U37,2)-ROUND(T37,2))</f>
        <v>37832.239999999998</v>
      </c>
      <c r="V32" s="528">
        <f t="shared" ca="1" si="34"/>
        <v>48643.330000000009</v>
      </c>
      <c r="W32" s="528">
        <f t="shared" ca="1" si="34"/>
        <v>43293.899999999994</v>
      </c>
      <c r="X32" s="528">
        <f t="shared" ca="1" si="34"/>
        <v>21013.790000000008</v>
      </c>
      <c r="Y32" s="528">
        <f t="shared" ca="1" si="34"/>
        <v>70959.78</v>
      </c>
      <c r="Z32" s="528">
        <f t="shared" ca="1" si="34"/>
        <v>0</v>
      </c>
      <c r="AA32" s="528">
        <f t="shared" ca="1" si="34"/>
        <v>0</v>
      </c>
      <c r="AB32" s="528">
        <f t="shared" ca="1" si="34"/>
        <v>0</v>
      </c>
      <c r="AC32" s="528">
        <f t="shared" ca="1" si="34"/>
        <v>0</v>
      </c>
      <c r="AD32" s="528">
        <f t="shared" ca="1" si="34"/>
        <v>0</v>
      </c>
      <c r="AE32" s="528">
        <f t="shared" ca="1" si="34"/>
        <v>0</v>
      </c>
      <c r="AF32" s="528">
        <f t="shared" ca="1" si="34"/>
        <v>0</v>
      </c>
      <c r="AG32" s="533"/>
    </row>
    <row r="33" spans="4:33" x14ac:dyDescent="0.2">
      <c r="E33" s="238">
        <f ca="1">IF(E$12=1,ROUND(E38,2),ROUND(E38,2)-ROUND(D38,2))</f>
        <v>0</v>
      </c>
      <c r="G33" s="184" t="s">
        <v>536</v>
      </c>
      <c r="I33" s="234"/>
      <c r="L33" s="235"/>
      <c r="R33" s="227"/>
      <c r="S33" s="239"/>
      <c r="T33" s="240" t="s">
        <v>801</v>
      </c>
      <c r="U33" s="238">
        <f t="shared" ref="U33:AF33" ca="1" si="35">IF(U$12=1,ROUND(U38,2),ROUND(U38,2)-ROUND(T38,2))</f>
        <v>0</v>
      </c>
      <c r="V33" s="238">
        <f t="shared" ca="1" si="35"/>
        <v>0</v>
      </c>
      <c r="W33" s="238">
        <f t="shared" ca="1" si="35"/>
        <v>0</v>
      </c>
      <c r="X33" s="238">
        <f t="shared" ca="1" si="35"/>
        <v>0</v>
      </c>
      <c r="Y33" s="238">
        <f t="shared" ca="1" si="35"/>
        <v>0</v>
      </c>
      <c r="Z33" s="238">
        <f t="shared" ca="1" si="35"/>
        <v>0</v>
      </c>
      <c r="AA33" s="238">
        <f t="shared" ca="1" si="35"/>
        <v>0</v>
      </c>
      <c r="AB33" s="238">
        <f t="shared" ca="1" si="35"/>
        <v>0</v>
      </c>
      <c r="AC33" s="238">
        <f t="shared" ca="1" si="35"/>
        <v>0</v>
      </c>
      <c r="AD33" s="238">
        <f t="shared" ca="1" si="35"/>
        <v>0</v>
      </c>
      <c r="AE33" s="238">
        <f t="shared" ca="1" si="35"/>
        <v>0</v>
      </c>
      <c r="AF33" s="238">
        <f t="shared" ca="1" si="35"/>
        <v>0</v>
      </c>
      <c r="AG33" s="533"/>
    </row>
    <row r="34" spans="4:33" x14ac:dyDescent="0.2">
      <c r="E34" s="529">
        <f ca="1">IF(E$12=1,ROUND(E39,2),ROUND(E39,2)-ROUND(D39,2))</f>
        <v>527527.31000000006</v>
      </c>
      <c r="G34" s="184" t="s">
        <v>536</v>
      </c>
      <c r="H34" s="535"/>
      <c r="L34" s="241"/>
      <c r="S34" s="242"/>
      <c r="T34" s="243" t="s">
        <v>802</v>
      </c>
      <c r="U34" s="529">
        <f t="shared" ref="U34:AF34" ca="1" si="36">IF(U$12=1,ROUND(U39,2),ROUND(U39,2)-ROUND(T39,2))</f>
        <v>527527.31000000006</v>
      </c>
      <c r="V34" s="529">
        <f t="shared" ca="1" si="36"/>
        <v>678275.61999999988</v>
      </c>
      <c r="W34" s="529">
        <f t="shared" ca="1" si="36"/>
        <v>603683.88000000012</v>
      </c>
      <c r="X34" s="529">
        <f t="shared" ca="1" si="36"/>
        <v>293013.21999999974</v>
      </c>
      <c r="Y34" s="529">
        <f t="shared" ca="1" si="36"/>
        <v>989453.01000000024</v>
      </c>
      <c r="Z34" s="529">
        <f t="shared" ca="1" si="36"/>
        <v>0</v>
      </c>
      <c r="AA34" s="529">
        <f t="shared" ca="1" si="36"/>
        <v>0</v>
      </c>
      <c r="AB34" s="529">
        <f t="shared" ca="1" si="36"/>
        <v>0</v>
      </c>
      <c r="AC34" s="529">
        <f t="shared" ca="1" si="36"/>
        <v>0</v>
      </c>
      <c r="AD34" s="529">
        <f t="shared" ca="1" si="36"/>
        <v>0</v>
      </c>
      <c r="AE34" s="529">
        <f t="shared" ca="1" si="36"/>
        <v>0</v>
      </c>
      <c r="AF34" s="529">
        <f t="shared" ca="1" si="36"/>
        <v>0</v>
      </c>
      <c r="AG34" s="533"/>
    </row>
    <row r="35" spans="4:33" x14ac:dyDescent="0.2">
      <c r="E35" s="527">
        <f ca="1">ROUND(ROUND(E39,2)/$R$30,4)</f>
        <v>0.1706</v>
      </c>
      <c r="G35" s="184" t="s">
        <v>536</v>
      </c>
      <c r="L35" s="226"/>
      <c r="S35" s="228"/>
      <c r="T35" s="229" t="s">
        <v>798</v>
      </c>
      <c r="U35" s="527">
        <f t="shared" ref="U35:AF35" ca="1" si="37">ROUND(ROUND(U39,2)/$R$30,4)</f>
        <v>0.1706</v>
      </c>
      <c r="V35" s="527">
        <f t="shared" ca="1" si="37"/>
        <v>0.39</v>
      </c>
      <c r="W35" s="527">
        <f t="shared" ca="1" si="37"/>
        <v>0.58520000000000005</v>
      </c>
      <c r="X35" s="527">
        <f t="shared" ca="1" si="37"/>
        <v>0.68</v>
      </c>
      <c r="Y35" s="527">
        <f t="shared" ca="1" si="37"/>
        <v>1</v>
      </c>
      <c r="Z35" s="527">
        <f t="shared" ca="1" si="37"/>
        <v>1</v>
      </c>
      <c r="AA35" s="527">
        <f t="shared" ca="1" si="37"/>
        <v>1</v>
      </c>
      <c r="AB35" s="527">
        <f t="shared" ca="1" si="37"/>
        <v>1</v>
      </c>
      <c r="AC35" s="527">
        <f t="shared" ca="1" si="37"/>
        <v>1</v>
      </c>
      <c r="AD35" s="527">
        <f t="shared" ca="1" si="37"/>
        <v>1</v>
      </c>
      <c r="AE35" s="527">
        <f t="shared" ca="1" si="37"/>
        <v>1</v>
      </c>
      <c r="AF35" s="527">
        <f t="shared" ca="1" si="37"/>
        <v>1</v>
      </c>
      <c r="AG35" s="533"/>
    </row>
    <row r="36" spans="4:33" x14ac:dyDescent="0.2">
      <c r="E36" s="230">
        <f ca="1">ROUND(E39-E38-E37,2)</f>
        <v>489695.07</v>
      </c>
      <c r="G36" s="184" t="s">
        <v>536</v>
      </c>
      <c r="L36" s="231"/>
      <c r="S36" s="232"/>
      <c r="T36" s="233" t="str">
        <f>IF(import.recurso="FGTS","Financiamento:","Repasse:")</f>
        <v>Repasse:</v>
      </c>
      <c r="U36" s="230">
        <f t="shared" ref="U36:AF36" ca="1" si="38">ROUND(U39-U38-U37,2)</f>
        <v>489695.07</v>
      </c>
      <c r="V36" s="230">
        <f t="shared" ca="1" si="38"/>
        <v>1119327.3600000001</v>
      </c>
      <c r="W36" s="230">
        <f t="shared" ca="1" si="38"/>
        <v>1679717.34</v>
      </c>
      <c r="X36" s="230">
        <f t="shared" ca="1" si="38"/>
        <v>1951716.77</v>
      </c>
      <c r="Y36" s="230">
        <f t="shared" ca="1" si="38"/>
        <v>2870210</v>
      </c>
      <c r="Z36" s="230">
        <f t="shared" ca="1" si="38"/>
        <v>2870210</v>
      </c>
      <c r="AA36" s="230">
        <f t="shared" ca="1" si="38"/>
        <v>2870210</v>
      </c>
      <c r="AB36" s="230">
        <f t="shared" ca="1" si="38"/>
        <v>2870210</v>
      </c>
      <c r="AC36" s="230">
        <f t="shared" ca="1" si="38"/>
        <v>2870210</v>
      </c>
      <c r="AD36" s="230">
        <f t="shared" ca="1" si="38"/>
        <v>2870210</v>
      </c>
      <c r="AE36" s="230">
        <f t="shared" ca="1" si="38"/>
        <v>2870210</v>
      </c>
      <c r="AF36" s="230">
        <f t="shared" ca="1" si="38"/>
        <v>2870210</v>
      </c>
      <c r="AG36" s="533"/>
    </row>
    <row r="37" spans="4:33" x14ac:dyDescent="0.2">
      <c r="E37" s="528" cm="1">
        <f t="array" aca="1" ref="E37" ca="1">IF(E$12=1,0,OFFSET(E37,0,-1))+SUM((OFFSET($C$13,1,0):OFFSET($C$29,-3,0))*IF(ISNUMBER(OFFSET(E$11,5,0):OFFSET(E$29,-1,0)),OFFSET(E$11,5,0):OFFSET(E$29,-1,0),0))</f>
        <v>37832.239975553588</v>
      </c>
      <c r="G37" s="184" t="s">
        <v>536</v>
      </c>
      <c r="L37" s="235" t="s">
        <v>803</v>
      </c>
      <c r="S37" s="236"/>
      <c r="T37" s="237" t="s">
        <v>800</v>
      </c>
      <c r="U37" s="528" cm="1">
        <f t="array" aca="1" ref="U37" ca="1">IF(U$12=1,0,OFFSET(U37,0,-1))+SUM((OFFSET($C$13,1,0):OFFSET($C$29,-3,0))*IF(ISNUMBER(OFFSET(U$11,5,0):OFFSET(U$29,-1,0)),OFFSET(U$11,5,0):OFFSET(U$29,-1,0),0))</f>
        <v>37832.239975553588</v>
      </c>
      <c r="V37" s="528" cm="1">
        <f t="array" aca="1" ref="V37" ca="1">IF(V$12=1,0,OFFSET(V37,0,-1))+SUM((OFFSET($C$13,1,0):OFFSET($C$29,-3,0))*IF(ISNUMBER(OFFSET(V$11,5,0):OFFSET(V$29,-1,0)),OFFSET(V$11,5,0):OFFSET(V$29,-1,0),0))</f>
        <v>86475.571873209075</v>
      </c>
      <c r="W37" s="528" cm="1">
        <f t="array" aca="1" ref="W37" ca="1">IF(W$12=1,0,OFFSET(W37,0,-1))+SUM((OFFSET($C$13,1,0):OFFSET($C$29,-3,0))*IF(ISNUMBER(OFFSET(W$11,5,0):OFFSET(W$29,-1,0)),OFFSET(W$11,5,0):OFFSET(W$29,-1,0),0))</f>
        <v>129769.46961953296</v>
      </c>
      <c r="X37" s="528" cm="1">
        <f t="array" aca="1" ref="X37" ca="1">IF(X$12=1,0,OFFSET(X37,0,-1))+SUM((OFFSET($C$13,1,0):OFFSET($C$29,-3,0))*IF(ISNUMBER(OFFSET(X$11,5,0):OFFSET(X$29,-1,0)),OFFSET(X$11,5,0):OFFSET(X$29,-1,0),0))</f>
        <v>150783.2564793065</v>
      </c>
      <c r="Y37" s="528" cm="1">
        <f t="array" aca="1" ref="Y37" ca="1">IF(Y$12=1,0,OFFSET(Y37,0,-1))+SUM((OFFSET($C$13,1,0):OFFSET($C$29,-3,0))*IF(ISNUMBER(OFFSET(Y$11,5,0):OFFSET(Y$29,-1,0)),OFFSET(Y$11,5,0):OFFSET(Y$29,-1,0),0))</f>
        <v>221743.0400000001</v>
      </c>
      <c r="Z37" s="528" cm="1">
        <f t="array" aca="1" ref="Z37" ca="1">IF(Z$12=1,0,OFFSET(Z37,0,-1))+SUM((OFFSET($C$13,1,0):OFFSET($C$29,-3,0))*IF(ISNUMBER(OFFSET(Z$11,5,0):OFFSET(Z$29,-1,0)),OFFSET(Z$11,5,0):OFFSET(Z$29,-1,0),0))</f>
        <v>221743.0400000001</v>
      </c>
      <c r="AA37" s="528" cm="1">
        <f t="array" aca="1" ref="AA37" ca="1">IF(AA$12=1,0,OFFSET(AA37,0,-1))+SUM((OFFSET($C$13,1,0):OFFSET($C$29,-3,0))*IF(ISNUMBER(OFFSET(AA$11,5,0):OFFSET(AA$29,-1,0)),OFFSET(AA$11,5,0):OFFSET(AA$29,-1,0),0))</f>
        <v>221743.0400000001</v>
      </c>
      <c r="AB37" s="528" cm="1">
        <f t="array" aca="1" ref="AB37" ca="1">IF(AB$12=1,0,OFFSET(AB37,0,-1))+SUM((OFFSET($C$13,1,0):OFFSET($C$29,-3,0))*IF(ISNUMBER(OFFSET(AB$11,5,0):OFFSET(AB$29,-1,0)),OFFSET(AB$11,5,0):OFFSET(AB$29,-1,0),0))</f>
        <v>221743.0400000001</v>
      </c>
      <c r="AC37" s="528" cm="1">
        <f t="array" aca="1" ref="AC37" ca="1">IF(AC$12=1,0,OFFSET(AC37,0,-1))+SUM((OFFSET($C$13,1,0):OFFSET($C$29,-3,0))*IF(ISNUMBER(OFFSET(AC$11,5,0):OFFSET(AC$29,-1,0)),OFFSET(AC$11,5,0):OFFSET(AC$29,-1,0),0))</f>
        <v>221743.0400000001</v>
      </c>
      <c r="AD37" s="528" cm="1">
        <f t="array" aca="1" ref="AD37" ca="1">IF(AD$12=1,0,OFFSET(AD37,0,-1))+SUM((OFFSET($C$13,1,0):OFFSET($C$29,-3,0))*IF(ISNUMBER(OFFSET(AD$11,5,0):OFFSET(AD$29,-1,0)),OFFSET(AD$11,5,0):OFFSET(AD$29,-1,0),0))</f>
        <v>221743.0400000001</v>
      </c>
      <c r="AE37" s="528" cm="1">
        <f t="array" aca="1" ref="AE37" ca="1">IF(AE$12=1,0,OFFSET(AE37,0,-1))+SUM((OFFSET($C$13,1,0):OFFSET($C$29,-3,0))*IF(ISNUMBER(OFFSET(AE$11,5,0):OFFSET(AE$29,-1,0)),OFFSET(AE$11,5,0):OFFSET(AE$29,-1,0),0))</f>
        <v>221743.0400000001</v>
      </c>
      <c r="AF37" s="528" cm="1">
        <f t="array" aca="1" ref="AF37" ca="1">IF(AF$12=1,0,OFFSET(AF37,0,-1))+SUM((OFFSET($C$13,1,0):OFFSET($C$29,-3,0))*IF(ISNUMBER(OFFSET(AF$11,5,0):OFFSET(AF$29,-1,0)),OFFSET(AF$11,5,0):OFFSET(AF$29,-1,0),0))</f>
        <v>221743.0400000001</v>
      </c>
      <c r="AG37" s="533"/>
    </row>
    <row r="38" spans="4:33" x14ac:dyDescent="0.2">
      <c r="E38" s="238" cm="1">
        <f t="array" aca="1" ref="E38" ca="1">IF(E$12=1,0,OFFSET(E38,0,-1))+SUM((OFFSET($D$13,1,0):OFFSET($D$29,-3,0))*IF(ISNUMBER(OFFSET(E$11,5,0):OFFSET(E$29,-1,0)),OFFSET(E$11,5,0):OFFSET(E$29,-1,0),0))</f>
        <v>0</v>
      </c>
      <c r="G38" s="184" t="s">
        <v>536</v>
      </c>
      <c r="L38" s="235"/>
      <c r="S38" s="239"/>
      <c r="T38" s="240" t="s">
        <v>801</v>
      </c>
      <c r="U38" s="238" cm="1">
        <f t="array" aca="1" ref="U38" ca="1">IF(U$12=1,0,OFFSET(U38,0,-1))+SUM((OFFSET($D$13,1,0):OFFSET($D$29,-3,0))*IF(ISNUMBER(OFFSET(U$11,5,0):OFFSET(U$29,-1,0)),OFFSET(U$11,5,0):OFFSET(U$29,-1,0),0))</f>
        <v>0</v>
      </c>
      <c r="V38" s="238" cm="1">
        <f t="array" aca="1" ref="V38" ca="1">IF(V$12=1,0,OFFSET(V38,0,-1))+SUM((OFFSET($D$13,1,0):OFFSET($D$29,-3,0))*IF(ISNUMBER(OFFSET(V$11,5,0):OFFSET(V$29,-1,0)),OFFSET(V$11,5,0):OFFSET(V$29,-1,0),0))</f>
        <v>0</v>
      </c>
      <c r="W38" s="238" cm="1">
        <f t="array" aca="1" ref="W38" ca="1">IF(W$12=1,0,OFFSET(W38,0,-1))+SUM((OFFSET($D$13,1,0):OFFSET($D$29,-3,0))*IF(ISNUMBER(OFFSET(W$11,5,0):OFFSET(W$29,-1,0)),OFFSET(W$11,5,0):OFFSET(W$29,-1,0),0))</f>
        <v>0</v>
      </c>
      <c r="X38" s="238" cm="1">
        <f t="array" aca="1" ref="X38" ca="1">IF(X$12=1,0,OFFSET(X38,0,-1))+SUM((OFFSET($D$13,1,0):OFFSET($D$29,-3,0))*IF(ISNUMBER(OFFSET(X$11,5,0):OFFSET(X$29,-1,0)),OFFSET(X$11,5,0):OFFSET(X$29,-1,0),0))</f>
        <v>0</v>
      </c>
      <c r="Y38" s="238" cm="1">
        <f t="array" aca="1" ref="Y38" ca="1">IF(Y$12=1,0,OFFSET(Y38,0,-1))+SUM((OFFSET($D$13,1,0):OFFSET($D$29,-3,0))*IF(ISNUMBER(OFFSET(Y$11,5,0):OFFSET(Y$29,-1,0)),OFFSET(Y$11,5,0):OFFSET(Y$29,-1,0),0))</f>
        <v>0</v>
      </c>
      <c r="Z38" s="238" cm="1">
        <f t="array" aca="1" ref="Z38" ca="1">IF(Z$12=1,0,OFFSET(Z38,0,-1))+SUM((OFFSET($D$13,1,0):OFFSET($D$29,-3,0))*IF(ISNUMBER(OFFSET(Z$11,5,0):OFFSET(Z$29,-1,0)),OFFSET(Z$11,5,0):OFFSET(Z$29,-1,0),0))</f>
        <v>0</v>
      </c>
      <c r="AA38" s="238" cm="1">
        <f t="array" aca="1" ref="AA38" ca="1">IF(AA$12=1,0,OFFSET(AA38,0,-1))+SUM((OFFSET($D$13,1,0):OFFSET($D$29,-3,0))*IF(ISNUMBER(OFFSET(AA$11,5,0):OFFSET(AA$29,-1,0)),OFFSET(AA$11,5,0):OFFSET(AA$29,-1,0),0))</f>
        <v>0</v>
      </c>
      <c r="AB38" s="238" cm="1">
        <f t="array" aca="1" ref="AB38" ca="1">IF(AB$12=1,0,OFFSET(AB38,0,-1))+SUM((OFFSET($D$13,1,0):OFFSET($D$29,-3,0))*IF(ISNUMBER(OFFSET(AB$11,5,0):OFFSET(AB$29,-1,0)),OFFSET(AB$11,5,0):OFFSET(AB$29,-1,0),0))</f>
        <v>0</v>
      </c>
      <c r="AC38" s="238" cm="1">
        <f t="array" aca="1" ref="AC38" ca="1">IF(AC$12=1,0,OFFSET(AC38,0,-1))+SUM((OFFSET($D$13,1,0):OFFSET($D$29,-3,0))*IF(ISNUMBER(OFFSET(AC$11,5,0):OFFSET(AC$29,-1,0)),OFFSET(AC$11,5,0):OFFSET(AC$29,-1,0),0))</f>
        <v>0</v>
      </c>
      <c r="AD38" s="238" cm="1">
        <f t="array" aca="1" ref="AD38" ca="1">IF(AD$12=1,0,OFFSET(AD38,0,-1))+SUM((OFFSET($D$13,1,0):OFFSET($D$29,-3,0))*IF(ISNUMBER(OFFSET(AD$11,5,0):OFFSET(AD$29,-1,0)),OFFSET(AD$11,5,0):OFFSET(AD$29,-1,0),0))</f>
        <v>0</v>
      </c>
      <c r="AE38" s="238" cm="1">
        <f t="array" aca="1" ref="AE38" ca="1">IF(AE$12=1,0,OFFSET(AE38,0,-1))+SUM((OFFSET($D$13,1,0):OFFSET($D$29,-3,0))*IF(ISNUMBER(OFFSET(AE$11,5,0):OFFSET(AE$29,-1,0)),OFFSET(AE$11,5,0):OFFSET(AE$29,-1,0),0))</f>
        <v>0</v>
      </c>
      <c r="AF38" s="238" cm="1">
        <f t="array" aca="1" ref="AF38" ca="1">IF(AF$12=1,0,OFFSET(AF38,0,-1))+SUM((OFFSET($D$13,1,0):OFFSET($D$29,-3,0))*IF(ISNUMBER(OFFSET(AF$11,5,0):OFFSET(AF$29,-1,0)),OFFSET(AF$11,5,0):OFFSET(AF$29,-1,0),0))</f>
        <v>0</v>
      </c>
      <c r="AG38" s="533"/>
    </row>
    <row r="39" spans="4:33" ht="13.5" thickBot="1" x14ac:dyDescent="0.25">
      <c r="D39" s="532"/>
      <c r="E39" s="530">
        <f ca="1">SUMIF($S$12:$S$29,"1$",E12:E29)+IF(E$12&gt;1,OFFSET(E39,0,-1),0)</f>
        <v>527527.30999999994</v>
      </c>
      <c r="G39" s="184" t="s">
        <v>536</v>
      </c>
      <c r="H39" s="521" t="str" cm="1">
        <f t="array" ref="H39">IF(ACOMPANHAMENTO="BM","Selecione o Macrosserviço da Administração Local:","")</f>
        <v/>
      </c>
      <c r="I39"/>
      <c r="L39" s="235"/>
      <c r="S39" s="236"/>
      <c r="T39" s="525" t="s">
        <v>802</v>
      </c>
      <c r="U39" s="530">
        <f t="shared" ref="U39:AF39" ca="1" si="39">SUMIF($S$12:$S$29,"1$",U12:U29)+IF(U$12&gt;1,OFFSET(U39,0,-1),0)</f>
        <v>527527.30999999994</v>
      </c>
      <c r="V39" s="530">
        <f t="shared" ca="1" si="39"/>
        <v>1205802.9300000002</v>
      </c>
      <c r="W39" s="530">
        <f t="shared" ca="1" si="39"/>
        <v>1809486.8100000005</v>
      </c>
      <c r="X39" s="530">
        <f t="shared" ca="1" si="39"/>
        <v>2102500.0300000007</v>
      </c>
      <c r="Y39" s="530">
        <f t="shared" ca="1" si="39"/>
        <v>3091953.040000001</v>
      </c>
      <c r="Z39" s="530">
        <f t="shared" ca="1" si="39"/>
        <v>3091953.040000001</v>
      </c>
      <c r="AA39" s="530">
        <f t="shared" ca="1" si="39"/>
        <v>3091953.040000001</v>
      </c>
      <c r="AB39" s="530">
        <f t="shared" ca="1" si="39"/>
        <v>3091953.040000001</v>
      </c>
      <c r="AC39" s="530">
        <f t="shared" ca="1" si="39"/>
        <v>3091953.040000001</v>
      </c>
      <c r="AD39" s="530">
        <f t="shared" ca="1" si="39"/>
        <v>3091953.040000001</v>
      </c>
      <c r="AE39" s="530">
        <f t="shared" ca="1" si="39"/>
        <v>3091953.040000001</v>
      </c>
      <c r="AF39" s="539">
        <f t="shared" ca="1" si="39"/>
        <v>3091953.040000001</v>
      </c>
      <c r="AG39" s="533"/>
    </row>
    <row r="40" spans="4:33" ht="13.5" thickBot="1" x14ac:dyDescent="0.25">
      <c r="D40" s="532"/>
      <c r="E40" s="531">
        <f ca="1">IF($F$40="","",
  IF(ACOMPANHAMENTO="PLE",
     IF(AUTOEVENTO="Manual",
         IF(AdmLocal="Automática",
              E35,
              SUMIF(OFFSET(CRONOPLE!$F$14,CRONOPLE!$A$8+1,1,1,OFFSET(CRONOPLE!$AF$12,0,-1)),"&lt;="&amp;E$12,OFFSET(EVENTOS!$G$14,CRONOPLE!$A$8+1,1,1,OFFSET(CRONOPLE!$AF$12,0,-1)))/OFFSET(EVENTOS!$G$14,CRONOPLE!$A$8+1,-1)),
         SUMIFS(OFFSET(CÁLCULO!$AI$15,$F$40,1,OFFSET(ORÇAMENTO!$D$15,$F$40,0),CÁLCULO.FrentesPreenchidas),OFFSET(CÁLCULO!$BB$15,$F$40,1,OFFSET(ORÇAMENTO!$D$15,$F$40,0),CÁLCULO.FrentesPreenchidas),"&lt;="&amp;E$12)/OFFSET(ORÇAMENTO!$X$15,$F$40,0)),
     IF(ACOMPANHAMENTO="BM",SUM(OFFSET($T$13,$F$40+2,1,1,E$12))/OFFSET($S$13,$F$40,0),"")))</f>
        <v>0.15534114269285357</v>
      </c>
      <c r="F40" s="184">
        <f ca="1">IF(ACOMPANHAMENTO="PLE",
    IF(AUTOEVENTO="Manual",
        IF(AdmLocal="Automática",1,IF(CRONOPLE!$D$8&lt;&gt;"","",MATCH(Import.EventoAdmLocal,EVENTOS!$B$15:$B$20,0))),
        IF(CRONOPLE!$D$8&lt;&gt;"","",CRONOPLE!$A$10)),
    IF($H$41&lt;&gt;"","",MATCH(Import.MacrosserviçoAdmLocal,$A$13:$A$29,0)-1))</f>
        <v>11</v>
      </c>
      <c r="G40" s="184" t="s">
        <v>536</v>
      </c>
      <c r="H40" s="732"/>
      <c r="I40" s="772"/>
      <c r="J40" s="733"/>
      <c r="L40" s="241"/>
      <c r="S40" s="524"/>
      <c r="T40" s="526" t="s">
        <v>804</v>
      </c>
      <c r="U40" s="531">
        <f ca="1">IF($F$40="","",
  IF(ACOMPANHAMENTO="PLE",
     IF(AUTOEVENTO="Manual",
         IF(AdmLocal="Automática",
              U35,
              SUMIF(OFFSET(CRONOPLE!$F$14,CRONOPLE!$A$8+1,1,1,OFFSET(CRONOPLE!$AF$12,0,-1)),"&lt;="&amp;U$12,OFFSET(EVENTOS!$G$14,CRONOPLE!$A$8+1,1,1,OFFSET(CRONOPLE!$AF$12,0,-1)))/OFFSET(EVENTOS!$G$14,CRONOPLE!$A$8+1,-1)),
         SUMIFS(OFFSET(CÁLCULO!$AI$15,$F$40,1,OFFSET(ORÇAMENTO!$D$15,$F$40,0),CÁLCULO.FrentesPreenchidas),OFFSET(CÁLCULO!$BB$15,$F$40,1,OFFSET(ORÇAMENTO!$D$15,$F$40,0),CÁLCULO.FrentesPreenchidas),"&lt;="&amp;U$12)/OFFSET(ORÇAMENTO!$X$15,$F$40,0)),
     IF(ACOMPANHAMENTO="BM",SUM(OFFSET($T$13,$F$40+2,1,1,U$12))/OFFSET($S$13,$F$40,0),"")))</f>
        <v>0.15534114269285357</v>
      </c>
      <c r="V40" s="531">
        <f ca="1">IF($F$40="","",
  IF(ACOMPANHAMENTO="PLE",
     IF(AUTOEVENTO="Manual",
         IF(AdmLocal="Automática",
              V35,
              SUMIF(OFFSET(CRONOPLE!$F$14,CRONOPLE!$A$8+1,1,1,OFFSET(CRONOPLE!$AF$12,0,-1)),"&lt;="&amp;V$12,OFFSET(EVENTOS!$G$14,CRONOPLE!$A$8+1,1,1,OFFSET(CRONOPLE!$AF$12,0,-1)))/OFFSET(EVENTOS!$G$14,CRONOPLE!$A$8+1,-1)),
         SUMIFS(OFFSET(CÁLCULO!$AI$15,$F$40,1,OFFSET(ORÇAMENTO!$D$15,$F$40,0),CÁLCULO.FrentesPreenchidas),OFFSET(CÁLCULO!$BB$15,$F$40,1,OFFSET(ORÇAMENTO!$D$15,$F$40,0),CÁLCULO.FrentesPreenchidas),"&lt;="&amp;V$12)/OFFSET(ORÇAMENTO!$X$15,$F$40,0)),
     IF(ACOMPANHAMENTO="BM",SUM(OFFSET($T$13,$F$40+2,1,1,V$12))/OFFSET($S$13,$F$40,0),"")))</f>
        <v>0.35128565108411242</v>
      </c>
      <c r="W40" s="531">
        <f ca="1">IF($F$40="","",
  IF(ACOMPANHAMENTO="PLE",
     IF(AUTOEVENTO="Manual",
         IF(AdmLocal="Automática",
              W35,
              SUMIF(OFFSET(CRONOPLE!$F$14,CRONOPLE!$A$8+1,1,1,OFFSET(CRONOPLE!$AF$12,0,-1)),"&lt;="&amp;W$12,OFFSET(EVENTOS!$G$14,CRONOPLE!$A$8+1,1,1,OFFSET(CRONOPLE!$AF$12,0,-1)))/OFFSET(EVENTOS!$G$14,CRONOPLE!$A$8+1,-1)),
         SUMIFS(OFFSET(CÁLCULO!$AI$15,$F$40,1,OFFSET(ORÇAMENTO!$D$15,$F$40,0),CÁLCULO.FrentesPreenchidas),OFFSET(CÁLCULO!$BB$15,$F$40,1,OFFSET(ORÇAMENTO!$D$15,$F$40,0),CÁLCULO.FrentesPreenchidas),"&lt;="&amp;W$12)/OFFSET(ORÇAMENTO!$X$15,$F$40,0)),
     IF(ACOMPANHAMENTO="BM",SUM(OFFSET($T$13,$F$40+2,1,1,W$12))/OFFSET($S$13,$F$40,0),"")))</f>
        <v>0.56654087530363428</v>
      </c>
      <c r="X40" s="531">
        <f ca="1">IF($F$40="","",
  IF(ACOMPANHAMENTO="PLE",
     IF(AUTOEVENTO="Manual",
         IF(AdmLocal="Automática",
              X35,
              SUMIF(OFFSET(CRONOPLE!$F$14,CRONOPLE!$A$8+1,1,1,OFFSET(CRONOPLE!$AF$12,0,-1)),"&lt;="&amp;X$12,OFFSET(EVENTOS!$G$14,CRONOPLE!$A$8+1,1,1,OFFSET(CRONOPLE!$AF$12,0,-1)))/OFFSET(EVENTOS!$G$14,CRONOPLE!$A$8+1,-1)),
         SUMIFS(OFFSET(CÁLCULO!$AI$15,$F$40,1,OFFSET(ORÇAMENTO!$D$15,$F$40,0),CÁLCULO.FrentesPreenchidas),OFFSET(CÁLCULO!$BB$15,$F$40,1,OFFSET(ORÇAMENTO!$D$15,$F$40,0),CÁLCULO.FrentesPreenchidas),"&lt;="&amp;X$12)/OFFSET(ORÇAMENTO!$X$15,$F$40,0)),
     IF(ACOMPANHAMENTO="BM",SUM(OFFSET($T$13,$F$40+2,1,1,X$12))/OFFSET($S$13,$F$40,0),"")))</f>
        <v>0.64463658480760355</v>
      </c>
      <c r="Y40" s="531">
        <f ca="1">IF($F$40="","",
  IF(ACOMPANHAMENTO="PLE",
     IF(AUTOEVENTO="Manual",
         IF(AdmLocal="Automática",
              Y35,
              SUMIF(OFFSET(CRONOPLE!$F$14,CRONOPLE!$A$8+1,1,1,OFFSET(CRONOPLE!$AF$12,0,-1)),"&lt;="&amp;Y$12,OFFSET(EVENTOS!$G$14,CRONOPLE!$A$8+1,1,1,OFFSET(CRONOPLE!$AF$12,0,-1)))/OFFSET(EVENTOS!$G$14,CRONOPLE!$A$8+1,-1)),
         SUMIFS(OFFSET(CÁLCULO!$AI$15,$F$40,1,OFFSET(ORÇAMENTO!$D$15,$F$40,0),CÁLCULO.FrentesPreenchidas),OFFSET(CÁLCULO!$BB$15,$F$40,1,OFFSET(ORÇAMENTO!$D$15,$F$40,0),CÁLCULO.FrentesPreenchidas),"&lt;="&amp;Y$12)/OFFSET(ORÇAMENTO!$X$15,$F$40,0)),
     IF(ACOMPANHAMENTO="BM",SUM(OFFSET($T$13,$F$40+2,1,1,Y$12))/OFFSET($S$13,$F$40,0),"")))</f>
        <v>1</v>
      </c>
      <c r="Z40" s="531">
        <f ca="1">IF($F$40="","",
  IF(ACOMPANHAMENTO="PLE",
     IF(AUTOEVENTO="Manual",
         IF(AdmLocal="Automática",
              Z35,
              SUMIF(OFFSET(CRONOPLE!$F$14,CRONOPLE!$A$8+1,1,1,OFFSET(CRONOPLE!$AF$12,0,-1)),"&lt;="&amp;Z$12,OFFSET(EVENTOS!$G$14,CRONOPLE!$A$8+1,1,1,OFFSET(CRONOPLE!$AF$12,0,-1)))/OFFSET(EVENTOS!$G$14,CRONOPLE!$A$8+1,-1)),
         SUMIFS(OFFSET(CÁLCULO!$AI$15,$F$40,1,OFFSET(ORÇAMENTO!$D$15,$F$40,0),CÁLCULO.FrentesPreenchidas),OFFSET(CÁLCULO!$BB$15,$F$40,1,OFFSET(ORÇAMENTO!$D$15,$F$40,0),CÁLCULO.FrentesPreenchidas),"&lt;="&amp;Z$12)/OFFSET(ORÇAMENTO!$X$15,$F$40,0)),
     IF(ACOMPANHAMENTO="BM",SUM(OFFSET($T$13,$F$40+2,1,1,Z$12))/OFFSET($S$13,$F$40,0),"")))</f>
        <v>1</v>
      </c>
      <c r="AA40" s="531">
        <f ca="1">IF($F$40="","",
  IF(ACOMPANHAMENTO="PLE",
     IF(AUTOEVENTO="Manual",
         IF(AdmLocal="Automática",
              AA35,
              SUMIF(OFFSET(CRONOPLE!$F$14,CRONOPLE!$A$8+1,1,1,OFFSET(CRONOPLE!$AF$12,0,-1)),"&lt;="&amp;AA$12,OFFSET(EVENTOS!$G$14,CRONOPLE!$A$8+1,1,1,OFFSET(CRONOPLE!$AF$12,0,-1)))/OFFSET(EVENTOS!$G$14,CRONOPLE!$A$8+1,-1)),
         SUMIFS(OFFSET(CÁLCULO!$AI$15,$F$40,1,OFFSET(ORÇAMENTO!$D$15,$F$40,0),CÁLCULO.FrentesPreenchidas),OFFSET(CÁLCULO!$BB$15,$F$40,1,OFFSET(ORÇAMENTO!$D$15,$F$40,0),CÁLCULO.FrentesPreenchidas),"&lt;="&amp;AA$12)/OFFSET(ORÇAMENTO!$X$15,$F$40,0)),
     IF(ACOMPANHAMENTO="BM",SUM(OFFSET($T$13,$F$40+2,1,1,AA$12))/OFFSET($S$13,$F$40,0),"")))</f>
        <v>1</v>
      </c>
      <c r="AB40" s="531">
        <f ca="1">IF($F$40="","",
  IF(ACOMPANHAMENTO="PLE",
     IF(AUTOEVENTO="Manual",
         IF(AdmLocal="Automática",
              AB35,
              SUMIF(OFFSET(CRONOPLE!$F$14,CRONOPLE!$A$8+1,1,1,OFFSET(CRONOPLE!$AF$12,0,-1)),"&lt;="&amp;AB$12,OFFSET(EVENTOS!$G$14,CRONOPLE!$A$8+1,1,1,OFFSET(CRONOPLE!$AF$12,0,-1)))/OFFSET(EVENTOS!$G$14,CRONOPLE!$A$8+1,-1)),
         SUMIFS(OFFSET(CÁLCULO!$AI$15,$F$40,1,OFFSET(ORÇAMENTO!$D$15,$F$40,0),CÁLCULO.FrentesPreenchidas),OFFSET(CÁLCULO!$BB$15,$F$40,1,OFFSET(ORÇAMENTO!$D$15,$F$40,0),CÁLCULO.FrentesPreenchidas),"&lt;="&amp;AB$12)/OFFSET(ORÇAMENTO!$X$15,$F$40,0)),
     IF(ACOMPANHAMENTO="BM",SUM(OFFSET($T$13,$F$40+2,1,1,AB$12))/OFFSET($S$13,$F$40,0),"")))</f>
        <v>1</v>
      </c>
      <c r="AC40" s="531">
        <f ca="1">IF($F$40="","",
  IF(ACOMPANHAMENTO="PLE",
     IF(AUTOEVENTO="Manual",
         IF(AdmLocal="Automática",
              AC35,
              SUMIF(OFFSET(CRONOPLE!$F$14,CRONOPLE!$A$8+1,1,1,OFFSET(CRONOPLE!$AF$12,0,-1)),"&lt;="&amp;AC$12,OFFSET(EVENTOS!$G$14,CRONOPLE!$A$8+1,1,1,OFFSET(CRONOPLE!$AF$12,0,-1)))/OFFSET(EVENTOS!$G$14,CRONOPLE!$A$8+1,-1)),
         SUMIFS(OFFSET(CÁLCULO!$AI$15,$F$40,1,OFFSET(ORÇAMENTO!$D$15,$F$40,0),CÁLCULO.FrentesPreenchidas),OFFSET(CÁLCULO!$BB$15,$F$40,1,OFFSET(ORÇAMENTO!$D$15,$F$40,0),CÁLCULO.FrentesPreenchidas),"&lt;="&amp;AC$12)/OFFSET(ORÇAMENTO!$X$15,$F$40,0)),
     IF(ACOMPANHAMENTO="BM",SUM(OFFSET($T$13,$F$40+2,1,1,AC$12))/OFFSET($S$13,$F$40,0),"")))</f>
        <v>1</v>
      </c>
      <c r="AD40" s="531">
        <f ca="1">IF($F$40="","",
  IF(ACOMPANHAMENTO="PLE",
     IF(AUTOEVENTO="Manual",
         IF(AdmLocal="Automática",
              AD35,
              SUMIF(OFFSET(CRONOPLE!$F$14,CRONOPLE!$A$8+1,1,1,OFFSET(CRONOPLE!$AF$12,0,-1)),"&lt;="&amp;AD$12,OFFSET(EVENTOS!$G$14,CRONOPLE!$A$8+1,1,1,OFFSET(CRONOPLE!$AF$12,0,-1)))/OFFSET(EVENTOS!$G$14,CRONOPLE!$A$8+1,-1)),
         SUMIFS(OFFSET(CÁLCULO!$AI$15,$F$40,1,OFFSET(ORÇAMENTO!$D$15,$F$40,0),CÁLCULO.FrentesPreenchidas),OFFSET(CÁLCULO!$BB$15,$F$40,1,OFFSET(ORÇAMENTO!$D$15,$F$40,0),CÁLCULO.FrentesPreenchidas),"&lt;="&amp;AD$12)/OFFSET(ORÇAMENTO!$X$15,$F$40,0)),
     IF(ACOMPANHAMENTO="BM",SUM(OFFSET($T$13,$F$40+2,1,1,AD$12))/OFFSET($S$13,$F$40,0),"")))</f>
        <v>1</v>
      </c>
      <c r="AE40" s="531">
        <f ca="1">IF($F$40="","",
  IF(ACOMPANHAMENTO="PLE",
     IF(AUTOEVENTO="Manual",
         IF(AdmLocal="Automática",
              AE35,
              SUMIF(OFFSET(CRONOPLE!$F$14,CRONOPLE!$A$8+1,1,1,OFFSET(CRONOPLE!$AF$12,0,-1)),"&lt;="&amp;AE$12,OFFSET(EVENTOS!$G$14,CRONOPLE!$A$8+1,1,1,OFFSET(CRONOPLE!$AF$12,0,-1)))/OFFSET(EVENTOS!$G$14,CRONOPLE!$A$8+1,-1)),
         SUMIFS(OFFSET(CÁLCULO!$AI$15,$F$40,1,OFFSET(ORÇAMENTO!$D$15,$F$40,0),CÁLCULO.FrentesPreenchidas),OFFSET(CÁLCULO!$BB$15,$F$40,1,OFFSET(ORÇAMENTO!$D$15,$F$40,0),CÁLCULO.FrentesPreenchidas),"&lt;="&amp;AE$12)/OFFSET(ORÇAMENTO!$X$15,$F$40,0)),
     IF(ACOMPANHAMENTO="BM",SUM(OFFSET($T$13,$F$40+2,1,1,AE$12))/OFFSET($S$13,$F$40,0),"")))</f>
        <v>1</v>
      </c>
      <c r="AF40" s="531">
        <f ca="1">IF($F$40="","",
  IF(ACOMPANHAMENTO="PLE",
     IF(AUTOEVENTO="Manual",
         IF(AdmLocal="Automática",
              AF35,
              SUMIF(OFFSET(CRONOPLE!$F$14,CRONOPLE!$A$8+1,1,1,OFFSET(CRONOPLE!$AF$12,0,-1)),"&lt;="&amp;AF$12,OFFSET(EVENTOS!$G$14,CRONOPLE!$A$8+1,1,1,OFFSET(CRONOPLE!$AF$12,0,-1)))/OFFSET(EVENTOS!$G$14,CRONOPLE!$A$8+1,-1)),
         SUMIFS(OFFSET(CÁLCULO!$AI$15,$F$40,1,OFFSET(ORÇAMENTO!$D$15,$F$40,0),CÁLCULO.FrentesPreenchidas),OFFSET(CÁLCULO!$BB$15,$F$40,1,OFFSET(ORÇAMENTO!$D$15,$F$40,0),CÁLCULO.FrentesPreenchidas),"&lt;="&amp;AF$12)/OFFSET(ORÇAMENTO!$X$15,$F$40,0)),
     IF(ACOMPANHAMENTO="BM",SUM(OFFSET($T$13,$F$40+2,1,1,AF$12))/OFFSET($S$13,$F$40,0),"")))</f>
        <v>1</v>
      </c>
      <c r="AG40" s="533"/>
    </row>
    <row r="41" spans="4:33" ht="17.100000000000001" customHeight="1" x14ac:dyDescent="0.25">
      <c r="G41" s="184" t="s">
        <v>536</v>
      </c>
      <c r="H41" s="570" t="str" cm="1">
        <f t="array" ref="H41">IF(AND(ACOMPANHAMENTO="BM",$H$40=""),"↑ Não foi indicado o Macrosserviço de Administração Local","")</f>
        <v/>
      </c>
      <c r="T41" s="582" t="str">
        <f ca="1">IF(COUNTIF(U41:AG41,"%Adm&gt;%Global")&gt;0,"Verificar proporcionalidade da Administração Local","")</f>
        <v/>
      </c>
      <c r="U41" s="534" t="str">
        <f ca="1">IF(U40="","",IF(ROUND(U40,4)&gt;ROUND(U35,4),"%Adm&gt;%Global",""))</f>
        <v/>
      </c>
      <c r="V41" s="534" t="str">
        <f t="shared" ref="V41:AG41" ca="1" si="40">IF(V40="","",IF(ROUND(V40,4)&gt;ROUND(V35,4),"%Adm&gt;%Global",""))</f>
        <v/>
      </c>
      <c r="W41" s="534" t="str">
        <f t="shared" ca="1" si="40"/>
        <v/>
      </c>
      <c r="X41" s="534" t="str">
        <f t="shared" ca="1" si="40"/>
        <v/>
      </c>
      <c r="Y41" s="534" t="str">
        <f t="shared" ca="1" si="40"/>
        <v/>
      </c>
      <c r="Z41" s="534" t="str">
        <f t="shared" ca="1" si="40"/>
        <v/>
      </c>
      <c r="AA41" s="534" t="str">
        <f t="shared" ca="1" si="40"/>
        <v/>
      </c>
      <c r="AB41" s="534" t="str">
        <f t="shared" ca="1" si="40"/>
        <v/>
      </c>
      <c r="AC41" s="534" t="str">
        <f t="shared" ca="1" si="40"/>
        <v/>
      </c>
      <c r="AD41" s="534" t="str">
        <f t="shared" ca="1" si="40"/>
        <v/>
      </c>
      <c r="AE41" s="534" t="str">
        <f t="shared" ca="1" si="40"/>
        <v/>
      </c>
      <c r="AF41" s="534" t="str">
        <f t="shared" ca="1" si="40"/>
        <v/>
      </c>
      <c r="AG41" s="534" t="str">
        <f t="shared" si="40"/>
        <v/>
      </c>
    </row>
    <row r="42" spans="4:33" ht="32.25" customHeight="1" x14ac:dyDescent="0.2">
      <c r="G42" s="184" t="s">
        <v>536</v>
      </c>
      <c r="I42" s="692" t="str">
        <f>Import.Município</f>
        <v>Marialva-PR</v>
      </c>
      <c r="J42" s="692"/>
      <c r="K42" s="692"/>
      <c r="L42" s="692"/>
      <c r="M42" s="692"/>
      <c r="N42" s="692"/>
      <c r="O42" s="692"/>
      <c r="P42" s="692"/>
      <c r="Q42" s="692"/>
      <c r="R42" s="692"/>
      <c r="S42" s="692"/>
      <c r="AA42" s="459"/>
      <c r="AB42" s="459"/>
      <c r="AC42" s="459"/>
      <c r="AD42" s="459"/>
      <c r="AE42" s="461"/>
      <c r="AF42" s="461"/>
    </row>
    <row r="43" spans="4:33" x14ac:dyDescent="0.2">
      <c r="G43" s="184" t="s">
        <v>536</v>
      </c>
      <c r="I43" s="9" t="s">
        <v>693</v>
      </c>
      <c r="J43"/>
      <c r="K43"/>
      <c r="L43"/>
      <c r="AA43" s="180" t="s">
        <v>696</v>
      </c>
      <c r="AB43" s="180"/>
      <c r="AC43" s="180"/>
      <c r="AD43" s="180"/>
      <c r="AE43" s="184"/>
      <c r="AF43" s="184"/>
    </row>
    <row r="44" spans="4:33" x14ac:dyDescent="0.2">
      <c r="G44" s="184" t="s">
        <v>536</v>
      </c>
      <c r="I44"/>
      <c r="J44"/>
      <c r="K44"/>
      <c r="L44"/>
      <c r="AA44" s="397" t="str">
        <f t="array" aca="1" ref="AA44:AA46" ca="1">OFFSET(Import.RespOrçamento,0,-1) &amp; " " &amp; Import.RespOrçamento</f>
        <v>Nome: Fernando Vinicius Moraes Viana</v>
      </c>
      <c r="AC44"/>
      <c r="AD44" s="78"/>
      <c r="AE44" s="184"/>
      <c r="AF44" s="184"/>
    </row>
    <row r="45" spans="4:33" x14ac:dyDescent="0.2">
      <c r="G45" s="184" t="s">
        <v>536</v>
      </c>
      <c r="I45" s="771">
        <f>DADOS!$C$25</f>
        <v>46295</v>
      </c>
      <c r="J45" s="771"/>
      <c r="K45" s="771"/>
      <c r="L45" s="179"/>
      <c r="M45" s="244"/>
      <c r="N45" s="244"/>
      <c r="O45" s="244"/>
      <c r="P45" s="244"/>
      <c r="Q45" s="244"/>
      <c r="R45" s="244"/>
      <c r="S45" s="245"/>
      <c r="AA45" s="397" t="str">
        <f ca="1"/>
        <v>CREA/CAU: 144.403/D</v>
      </c>
      <c r="AC45" s="78"/>
      <c r="AD45" s="78"/>
      <c r="AE45" s="184"/>
      <c r="AF45" s="184"/>
    </row>
    <row r="46" spans="4:33" x14ac:dyDescent="0.2">
      <c r="G46" s="184" t="s">
        <v>536</v>
      </c>
      <c r="I46" s="9" t="s">
        <v>694</v>
      </c>
      <c r="J46"/>
      <c r="K46"/>
      <c r="L46"/>
      <c r="AA46" s="397" t="str">
        <f ca="1"/>
        <v>ART/RRT: 1720265939600</v>
      </c>
      <c r="AC46" s="78"/>
      <c r="AD46" s="78"/>
      <c r="AE46" s="184"/>
      <c r="AF46" s="184"/>
    </row>
  </sheetData>
  <sheetProtection algorithmName="SHA-512" hashValue="pkHwPTj1QdzWSa4WRYi+3I1vDMEFxeko3nBIp134CrMh+8ljTppjYKdE/QvBKufRJn08O0vUklssEo7UxSSQEg==" saltValue="KogGtpQybgvUPw2CydPKKA==" spinCount="100000" sheet="1" objects="1" scenarios="1" autoFilter="0"/>
  <autoFilter ref="G13:G46"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45:K45"/>
    <mergeCell ref="I42:S42"/>
    <mergeCell ref="H40:J40"/>
    <mergeCell ref="S12:S13"/>
    <mergeCell ref="T12:T13"/>
    <mergeCell ref="L8:T8"/>
    <mergeCell ref="U8:Y8"/>
    <mergeCell ref="K10:T11"/>
    <mergeCell ref="I30:K31"/>
  </mergeCells>
  <phoneticPr fontId="38" type="noConversion"/>
  <conditionalFormatting sqref="E1">
    <cfRule type="expression" dxfId="132" priority="12699" stopIfTrue="1">
      <formula>E1&lt;&gt;0</formula>
    </cfRule>
  </conditionalFormatting>
  <conditionalFormatting sqref="E2 U2:AF2">
    <cfRule type="expression" dxfId="131" priority="16576" stopIfTrue="1">
      <formula>AND(ISNUMBER($H1),$H1&lt;&gt;0)</formula>
    </cfRule>
  </conditionalFormatting>
  <conditionalFormatting sqref="E2">
    <cfRule type="expression" dxfId="130" priority="12698">
      <formula>AND(_xlfn.SINGLE(ACOMPANHAMENTO)="BM",E2&gt;ROUND(E2,4))</formula>
    </cfRule>
  </conditionalFormatting>
  <conditionalFormatting sqref="E14 E17 E20">
    <cfRule type="expression" dxfId="129" priority="180" stopIfTrue="1">
      <formula>E14&lt;&gt;0</formula>
    </cfRule>
  </conditionalFormatting>
  <conditionalFormatting sqref="E15 E18 E21 U15:AF15 U18:AF18 U21:AF21">
    <cfRule type="expression" dxfId="128" priority="183" stopIfTrue="1">
      <formula>AND(ISNUMBER($H14),$H14&lt;&gt;0)</formula>
    </cfRule>
  </conditionalFormatting>
  <conditionalFormatting sqref="E15 E18 E21">
    <cfRule type="expression" dxfId="127" priority="179">
      <formula>AND(_xlfn.SINGLE(ACOMPANHAMENTO)="BM",E15&gt;ROUND(E15,4))</formula>
    </cfRule>
  </conditionalFormatting>
  <conditionalFormatting sqref="E23 E26">
    <cfRule type="expression" dxfId="126" priority="169" stopIfTrue="1">
      <formula>E23&lt;&gt;0</formula>
    </cfRule>
  </conditionalFormatting>
  <conditionalFormatting sqref="E24 E27 U24:AF24 U27:AF27">
    <cfRule type="expression" dxfId="125" priority="172" stopIfTrue="1">
      <formula>AND(ISNUMBER($H23),$H23&lt;&gt;0)</formula>
    </cfRule>
  </conditionalFormatting>
  <conditionalFormatting sqref="E24 E27">
    <cfRule type="expression" dxfId="124" priority="168">
      <formula>AND(_xlfn.SINGLE(ACOMPANHAMENTO)="BM",E24&gt;ROUND(E24,4))</formula>
    </cfRule>
  </conditionalFormatting>
  <conditionalFormatting sqref="E30 U30:AF30 E32 U32:AF32 E34:E35 U34:AF35 E37 U37:AF37 E39 U39:AF39">
    <cfRule type="expression" dxfId="123" priority="16581" stopIfTrue="1">
      <formula>D$35=1</formula>
    </cfRule>
  </conditionalFormatting>
  <conditionalFormatting sqref="E40 U40:AF40 E31 U31:AF31 E33 U33:AF33 E36 U36:AF36 E38 U38:AF38">
    <cfRule type="expression" dxfId="122" priority="16582" stopIfTrue="1">
      <formula>D$35=1</formula>
    </cfRule>
  </conditionalFormatting>
  <conditionalFormatting sqref="E40 U40:AF40">
    <cfRule type="expression" dxfId="121" priority="12711">
      <formula>ROUND(E40,4)&gt;ROUND(E35,4)</formula>
    </cfRule>
  </conditionalFormatting>
  <conditionalFormatting sqref="E40">
    <cfRule type="expression" dxfId="120" priority="12697" stopIfTrue="1">
      <formula>D$35=1</formula>
    </cfRule>
  </conditionalFormatting>
  <conditionalFormatting sqref="H1">
    <cfRule type="expression" dxfId="119" priority="12710">
      <formula>AND(H1&lt;&gt;0,ISNUMBER(H1))</formula>
    </cfRule>
  </conditionalFormatting>
  <conditionalFormatting sqref="H2">
    <cfRule type="expression" dxfId="118" priority="12720">
      <formula>AND(H1&lt;&gt;0,ISNUMBER(H1))</formula>
    </cfRule>
  </conditionalFormatting>
  <conditionalFormatting sqref="H14 H17 H20">
    <cfRule type="expression" dxfId="117" priority="181">
      <formula>AND(H14&lt;&gt;0,ISNUMBER(H14))</formula>
    </cfRule>
  </conditionalFormatting>
  <conditionalFormatting sqref="H15 H18 H21">
    <cfRule type="expression" dxfId="116" priority="182">
      <formula>AND(H14&lt;&gt;0,ISNUMBER(H14))</formula>
    </cfRule>
  </conditionalFormatting>
  <conditionalFormatting sqref="H23 H26">
    <cfRule type="expression" dxfId="115" priority="170">
      <formula>AND(H23&lt;&gt;0,ISNUMBER(H23))</formula>
    </cfRule>
  </conditionalFormatting>
  <conditionalFormatting sqref="H24 H27">
    <cfRule type="expression" dxfId="114" priority="171">
      <formula>AND(H23&lt;&gt;0,ISNUMBER(H23))</formula>
    </cfRule>
  </conditionalFormatting>
  <conditionalFormatting sqref="H40:J40">
    <cfRule type="expression" dxfId="113" priority="12709">
      <formula>$H$39=""</formula>
    </cfRule>
  </conditionalFormatting>
  <conditionalFormatting sqref="I1:S1">
    <cfRule type="expression" dxfId="112" priority="16580" stopIfTrue="1">
      <formula>AND($M1=1,$S1&lt;&gt;"")</formula>
    </cfRule>
    <cfRule type="expression" dxfId="111" priority="16579" stopIfTrue="1">
      <formula>$M1=2</formula>
    </cfRule>
  </conditionalFormatting>
  <conditionalFormatting sqref="I2:S2">
    <cfRule type="expression" dxfId="110" priority="16577" stopIfTrue="1">
      <formula>$M1=2</formula>
    </cfRule>
    <cfRule type="expression" dxfId="109" priority="16578" stopIfTrue="1">
      <formula>AND($M1=1,$S1&lt;&gt;"")</formula>
    </cfRule>
  </conditionalFormatting>
  <conditionalFormatting sqref="I14:S14 I17:S17 I20:S20">
    <cfRule type="expression" dxfId="108" priority="186" stopIfTrue="1">
      <formula>$M14=2</formula>
    </cfRule>
    <cfRule type="expression" dxfId="107" priority="187" stopIfTrue="1">
      <formula>AND($M14=1,$S14&lt;&gt;"")</formula>
    </cfRule>
  </conditionalFormatting>
  <conditionalFormatting sqref="I15:S15 I18:S18 I21:S21">
    <cfRule type="expression" dxfId="106" priority="185" stopIfTrue="1">
      <formula>AND($M14=1,$S14&lt;&gt;"")</formula>
    </cfRule>
    <cfRule type="expression" dxfId="105" priority="184" stopIfTrue="1">
      <formula>$M14=2</formula>
    </cfRule>
  </conditionalFormatting>
  <conditionalFormatting sqref="I23:S23 I26:S26">
    <cfRule type="expression" dxfId="104" priority="175" stopIfTrue="1">
      <formula>$M23=2</formula>
    </cfRule>
    <cfRule type="expression" dxfId="103" priority="176" stopIfTrue="1">
      <formula>AND($M23=1,$S23&lt;&gt;"")</formula>
    </cfRule>
  </conditionalFormatting>
  <conditionalFormatting sqref="I24:S24 I27:S27">
    <cfRule type="expression" dxfId="102" priority="174" stopIfTrue="1">
      <formula>AND($M23=1,$S23&lt;&gt;"")</formula>
    </cfRule>
    <cfRule type="expression" dxfId="101" priority="173" stopIfTrue="1">
      <formula>$M23=2</formula>
    </cfRule>
  </conditionalFormatting>
  <conditionalFormatting sqref="U12:U13">
    <cfRule type="expression" dxfId="100" priority="16575" stopIfTrue="1">
      <formula>NOT(ISNUMBER(T$12))</formula>
    </cfRule>
  </conditionalFormatting>
  <conditionalFormatting sqref="U1:AF1">
    <cfRule type="expression" dxfId="99" priority="2653" stopIfTrue="1">
      <formula>U1&lt;&gt;0</formula>
    </cfRule>
  </conditionalFormatting>
  <conditionalFormatting sqref="U2:AF2">
    <cfRule type="expression" dxfId="98" priority="2652">
      <formula>AND(_xlfn.SINGLE(ACOMPANHAMENTO)="BM",U2&gt;ROUND(U2,4))</formula>
    </cfRule>
  </conditionalFormatting>
  <conditionalFormatting sqref="U14:AF14 U17:AF17 U20:AF20">
    <cfRule type="expression" dxfId="97" priority="178" stopIfTrue="1">
      <formula>U14&lt;&gt;0</formula>
    </cfRule>
  </conditionalFormatting>
  <conditionalFormatting sqref="U15:AF15 U18:AF18 U21:AF21">
    <cfRule type="expression" dxfId="96" priority="177">
      <formula>AND(_xlfn.SINGLE(ACOMPANHAMENTO)="BM",U15&gt;ROUND(U15,4))</formula>
    </cfRule>
  </conditionalFormatting>
  <conditionalFormatting sqref="U23:AF23 U26:AF26">
    <cfRule type="expression" dxfId="95" priority="167" stopIfTrue="1">
      <formula>U23&lt;&gt;0</formula>
    </cfRule>
  </conditionalFormatting>
  <conditionalFormatting sqref="U24:AF24 U27:AF27">
    <cfRule type="expression" dxfId="94" priority="166">
      <formula>AND(_xlfn.SINGLE(ACOMPANHAMENTO)="BM",U24&gt;ROUND(U24,4))</formula>
    </cfRule>
  </conditionalFormatting>
  <conditionalFormatting sqref="Z7:AE8">
    <cfRule type="expression" dxfId="93" priority="16574" stopIfTrue="1">
      <formula>QCI.ExisteManual</formula>
    </cfRule>
  </conditionalFormatting>
  <conditionalFormatting sqref="AF7:AF8">
    <cfRule type="expression" dxfId="92" priority="16586" stopIfTrue="1">
      <formula>OR(TIPOORCAMENTO&lt;&gt;"Licitado",QCI.ExisteManual)</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U23:AF23 U26:AF2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U24:AG24 U27:AG2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0:J4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85" zoomScaleNormal="85"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3" t="s">
        <v>980</v>
      </c>
      <c r="F1" s="271" t="s">
        <v>805</v>
      </c>
      <c r="I1" s="8"/>
      <c r="J1" s="8"/>
      <c r="O1" s="491" t="s">
        <v>757</v>
      </c>
      <c r="P1" s="85"/>
    </row>
    <row r="2" spans="1:31" x14ac:dyDescent="0.2">
      <c r="A2" t="s">
        <v>975</v>
      </c>
      <c r="Z2" t="s">
        <v>806</v>
      </c>
      <c r="AA2" s="87" t="s">
        <v>807</v>
      </c>
      <c r="AB2" s="76"/>
    </row>
    <row r="3" spans="1:31" x14ac:dyDescent="0.2">
      <c r="A3" t="s">
        <v>976</v>
      </c>
      <c r="D3" s="677" t="s">
        <v>650</v>
      </c>
      <c r="E3" s="677"/>
      <c r="F3" s="86" t="s">
        <v>707</v>
      </c>
      <c r="G3" s="677" t="s">
        <v>652</v>
      </c>
      <c r="H3" s="677"/>
      <c r="I3" s="677"/>
      <c r="J3" s="781" t="s">
        <v>808</v>
      </c>
      <c r="K3" s="781"/>
      <c r="L3" s="781"/>
      <c r="M3" s="782" t="s">
        <v>809</v>
      </c>
      <c r="N3" s="782"/>
      <c r="O3" s="782"/>
      <c r="Z3" s="101">
        <f ca="1">MAX(Z7:AB7)</f>
        <v>7.1716173283149234E-2</v>
      </c>
      <c r="AA3" s="272" cm="1">
        <f t="array" aca="1" ref="AA3" ca="1">IF(OR($O$24=ORÇAMENTO.SumINVMANUAL+QCI.SumINVMANUAL,$O$24=0),0,MIN(MAX(0,($Z$3*$O$24-ORÇAMENTO.SumCPMANUAL-QCI.SumCPMANUAL)/($O$24-ORÇAMENTO.SumINVMANUAL-QCI.SumINVMANUAL)),1))</f>
        <v>7.1716173283149234E-2</v>
      </c>
      <c r="AB3" s="91"/>
    </row>
    <row r="4" spans="1:31" x14ac:dyDescent="0.2">
      <c r="A4" t="s">
        <v>977</v>
      </c>
      <c r="D4" s="683" t="str">
        <f>Import.CR</f>
        <v>1091265-71</v>
      </c>
      <c r="E4" s="683"/>
      <c r="F4" s="55" t="str">
        <f>Import.TransfereGOV</f>
        <v>060795/2023</v>
      </c>
      <c r="G4" s="683" t="str">
        <f>Import.Proponente</f>
        <v>PREFEITURA MUNICIPAL DE MARIALVA</v>
      </c>
      <c r="H4" s="683"/>
      <c r="I4" s="683"/>
      <c r="J4" s="783" t="str">
        <f>Import.Município</f>
        <v>Marialva-PR</v>
      </c>
      <c r="K4" s="783"/>
      <c r="L4" s="783"/>
      <c r="M4" s="782"/>
      <c r="N4" s="782"/>
      <c r="O4" s="782"/>
      <c r="R4" s="128"/>
      <c r="Z4" s="91"/>
      <c r="AA4" s="91"/>
      <c r="AB4" s="91"/>
    </row>
    <row r="5" spans="1:31" ht="5.0999999999999996" customHeight="1" x14ac:dyDescent="0.2">
      <c r="A5" t="s">
        <v>978</v>
      </c>
      <c r="M5" s="264"/>
      <c r="O5" s="4"/>
    </row>
    <row r="6" spans="1:31" x14ac:dyDescent="0.2">
      <c r="A6" t="s">
        <v>979</v>
      </c>
      <c r="D6" s="677" t="s">
        <v>708</v>
      </c>
      <c r="E6" s="677"/>
      <c r="F6" s="677"/>
      <c r="G6" s="677"/>
      <c r="H6" s="677"/>
      <c r="I6" s="677"/>
      <c r="J6" s="677"/>
      <c r="K6" s="677"/>
      <c r="L6" s="273" t="s">
        <v>715</v>
      </c>
      <c r="M6" s="86" t="str">
        <f>IF(import.recurso="FGTS","FINANCIAMENTO","REPASSE")</f>
        <v>REPASSE</v>
      </c>
      <c r="N6" s="86" t="s">
        <v>810</v>
      </c>
      <c r="O6" s="86" t="s">
        <v>811</v>
      </c>
      <c r="Z6" t="s">
        <v>812</v>
      </c>
      <c r="AA6" t="s">
        <v>813</v>
      </c>
      <c r="AB6" t="s">
        <v>814</v>
      </c>
    </row>
    <row r="7" spans="1:31" ht="12.75" customHeight="1" x14ac:dyDescent="0.2">
      <c r="A7" s="657" t="s">
        <v>982</v>
      </c>
      <c r="C7" s="680" t="s">
        <v>655</v>
      </c>
      <c r="D7" s="683" t="str">
        <f>Import.Apelido</f>
        <v>RECAPEAMENTO ASFÁLTICO</v>
      </c>
      <c r="E7" s="683"/>
      <c r="F7" s="683"/>
      <c r="G7" s="683"/>
      <c r="H7" s="683"/>
      <c r="I7" s="683"/>
      <c r="J7" s="683"/>
      <c r="K7" s="683"/>
      <c r="L7" s="274" t="str">
        <f>import.recurso</f>
        <v>OGU</v>
      </c>
      <c r="M7" s="275">
        <f>Import.Repasse</f>
        <v>2870210</v>
      </c>
      <c r="N7" s="275">
        <f>Import.Contrapartida</f>
        <v>221743.04</v>
      </c>
      <c r="O7" s="275">
        <f>M7+N7</f>
        <v>3091953.04</v>
      </c>
      <c r="Z7" s="101">
        <f>ROUND(Import.CPMinPerc,4)</f>
        <v>1E-3</v>
      </c>
      <c r="AA7" s="101">
        <f ca="1">IF($O$24=0,0,Import.CPMinAbsoluta/$O$24)</f>
        <v>3.8678491701801529E-2</v>
      </c>
      <c r="AB7" s="101">
        <f ca="1">IF($O$24=0,0,($O$24-$AB$24-Import.Repasse)/($O$24))</f>
        <v>7.1716173283149234E-2</v>
      </c>
    </row>
    <row r="8" spans="1:31" x14ac:dyDescent="0.2">
      <c r="A8" t="s">
        <v>819</v>
      </c>
      <c r="C8" s="680"/>
      <c r="D8" s="91"/>
      <c r="E8" s="91"/>
      <c r="F8" s="276"/>
      <c r="G8" s="91"/>
      <c r="H8" s="91"/>
      <c r="I8" s="91"/>
      <c r="J8" s="91"/>
      <c r="K8" s="91"/>
      <c r="L8" s="91"/>
      <c r="M8" s="91"/>
      <c r="N8" s="91"/>
      <c r="O8" s="91"/>
    </row>
    <row r="9" spans="1:31" ht="12.75" customHeight="1" x14ac:dyDescent="0.2">
      <c r="A9" t="s">
        <v>981</v>
      </c>
      <c r="C9" s="680"/>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IF(OFFSET($A$24,-1,0)&lt;OFFSET(ORÇAMENTO!$E$35,-1,0),"ERRO: NÚMERO DE LINHAS DO QCI INSUFICIENTE. CLIQUE NO BOTÃO ADICIONAR LINHAS",
  "")))))))</f>
        <v/>
      </c>
      <c r="H9" s="780"/>
      <c r="I9" s="511"/>
      <c r="J9" s="510"/>
      <c r="K9" s="779" t="s">
        <v>815</v>
      </c>
      <c r="L9" s="277" t="str">
        <f>$L$13</f>
        <v>Repasse (R$)</v>
      </c>
      <c r="M9" s="277" t="s">
        <v>741</v>
      </c>
      <c r="AD9" s="777"/>
      <c r="AE9" s="777"/>
    </row>
    <row r="10" spans="1:31" ht="12.75" customHeight="1" x14ac:dyDescent="0.2">
      <c r="A10" s="776" t="s">
        <v>816</v>
      </c>
      <c r="C10" s="680"/>
      <c r="G10" s="780"/>
      <c r="H10" s="780"/>
      <c r="I10" s="511"/>
      <c r="J10" s="510"/>
      <c r="K10" s="779"/>
      <c r="L10" s="278">
        <f ca="1">Import.Repasse-L24</f>
        <v>0</v>
      </c>
      <c r="M10" s="279">
        <f ca="1">Import.Contrapartida-M24</f>
        <v>0</v>
      </c>
      <c r="Z10" s="681" t="s">
        <v>721</v>
      </c>
      <c r="AA10" s="681"/>
      <c r="AB10" s="681"/>
      <c r="AD10" s="777" t="s">
        <v>817</v>
      </c>
      <c r="AE10" s="777"/>
    </row>
    <row r="11" spans="1:31" ht="20.100000000000001" customHeight="1" x14ac:dyDescent="0.25">
      <c r="A11" s="776"/>
      <c r="C11" s="680"/>
      <c r="G11" s="58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0"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9" t="s">
        <v>818</v>
      </c>
      <c r="AA11" s="109" t="s">
        <v>741</v>
      </c>
      <c r="AB11" s="110" t="s">
        <v>742</v>
      </c>
    </row>
    <row r="12" spans="1:31" ht="30" hidden="1" customHeight="1" x14ac:dyDescent="0.2">
      <c r="A12">
        <f ca="1">IF(NOT(ISBLANK(QCI.DescManual)),OFFSET(A12,-1,0),D12)</f>
        <v>-1</v>
      </c>
      <c r="B12" t="str">
        <f ca="1">IF(NOT(ISBLANK(QCI.DescManual)),IF(QCI.Divisao="Calculado","Manual","SemiAuto"),IF(ISERROR(MATCH($A12,ORÇAMENTO!$E$15:$E$35,0)),"Branco","Automático"))</f>
        <v>Branco</v>
      </c>
      <c r="C12" t="str">
        <f ca="1">IF(O12&gt;0,"F","")</f>
        <v/>
      </c>
      <c r="D12" s="280">
        <f>ROW()-ROW($D$13)</f>
        <v>-1</v>
      </c>
      <c r="E12" s="117"/>
      <c r="F12" s="117"/>
      <c r="G12" s="162" t="str">
        <f ca="1">IF(OR($B12="Manual",$B12="SemiAuto"),QCI.DescManual,IF($B12="Automático",INDEX(ORÇAMENTO!$R$15:$R$35,MATCH($A12,ORÇAMENTO!$E$15:$E$35,0)),""))</f>
        <v/>
      </c>
      <c r="H12" s="117"/>
      <c r="I12" s="463"/>
      <c r="J12" s="281" t="str">
        <f ca="1">IF(AND(ISBLANK(E12),ISBLANK(F12)),"",VLOOKUP($F12,OFFSET(DADOS!$A$2,1,MATCH(QCI!$E12,DADOS!$2:$2,0)-1,100,50),2,FALSE))</f>
        <v/>
      </c>
      <c r="K12" s="462" t="str" cm="1">
        <f t="array" aca="1" ref="K12" ca="1">IF(OR($B12="Manual",$B12="SemiAuto"),QCI.LoteManual,IF($B12="Automático",IF(TIPOORCAMENTO="Licitado",Import.CTEF,"LOTE 1"),""))</f>
        <v/>
      </c>
      <c r="L12" s="282">
        <f ca="1">ROUND($O12,2)-ROUND($M12,2)-ROUND($N12,2)</f>
        <v>0</v>
      </c>
      <c r="M12" s="283">
        <f ca="1">ROUND($AA12,2)-ROUND($AE12,2)</f>
        <v>0</v>
      </c>
      <c r="N12" s="284">
        <f ca="1">ROUND($AB12,2)</f>
        <v>0</v>
      </c>
      <c r="O12" s="285" cm="1">
        <f t="array" aca="1" ref="O12" ca="1">IF($B12="Branco",0,IF(OR($B12="Manual",$B12="SemiAuto"),QCI.InvManual,INDEX(ORÇAMENTO!X$15:X$35,MATCH($A12,ORÇAMENTO!$E$15:$E$35,0))))</f>
        <v>0</v>
      </c>
      <c r="P12" s="576" t="str">
        <f ca="1">IF(O12=0,"",
  IF(E12="","ITEM",
  IF(F12="","SUBITEM",
  IF(H12="","SITUAÇÃO",
  IF(I12=0,"QUANT.","")))))</f>
        <v/>
      </c>
      <c r="R12" s="464"/>
      <c r="S12" s="577" t="str">
        <f>IF(R12="","",
  IF(T12=0,"► LOTE",
  IF(U12=0,"► INVEST",
  IF(V12=0,"► DIV",
  IF(AND(V12="Calculado",W12=""),"► CP",
  IF(AND(V12="Calculado",X12=""),"► OU",""))))))</f>
        <v/>
      </c>
      <c r="T12" s="465"/>
      <c r="U12" s="578"/>
      <c r="V12" s="466" t="s">
        <v>819</v>
      </c>
      <c r="W12" s="579"/>
      <c r="X12" s="580"/>
      <c r="Z12">
        <f ca="1">$O12-$AA12-$AB12</f>
        <v>0</v>
      </c>
      <c r="AA12" cm="1">
        <f t="array" aca="1" ref="AA12" ca="1">IF($B12="Branco",0,IF($B12="Manual",QCI.CPManual,IF($B12="SemiAuto",ROUND(QCI!$AA$3*QCI.InvManual,2),INDEX(ORÇAMENTO!$AA$15:$AA$35,MATCH($A12,ORÇAMENTO!$E$15:$E$35,0)))))</f>
        <v>0</v>
      </c>
      <c r="AB12" cm="1">
        <f t="array" aca="1" ref="AB12" ca="1">IF($B12="Branco",0,IF($B12="Manual",QCI.OutrosManual,IF($B12="SemiAuto",0,INDEX(ORÇAMENTO!$AB$15:$AB$35,MATCH($A12,ORÇAMENTO!$E$15:$E$35,0)))))</f>
        <v>0</v>
      </c>
      <c r="AD12" s="288" t="b">
        <f ca="1">AND($AA$3&gt;0,$AA$3&lt;1,$O12&gt;0,OR($B12="Automático",$B12="SemiAuto"),OR(QCI!$Z$3=QCI!$Z$7,QCI!$Z$3=QCI!$AA$7,QCI!$Z$3=QCI!$AB$7))</f>
        <v>0</v>
      </c>
      <c r="AE12" s="288">
        <f ca="1">IF(AND($AD12,$O12&gt;0,COUNTIF(OFFSET($AD12,1,0):$AD$24,TRUE)=0),CHOOSE(1+LOG(1+2*(QCI!$Z$3=QCI!$Z$7)+4*(QCI!$Z$3=QCI!$AA$7)+8*(QCI!$Z$3=QCI!$AB$7),2),0,$AA$24-ROUND(Import.CPMinPerc*$O$24,2),$AA$24-Import.CPMinAbsoluta,Import.Repasse-$Z$24),0)</f>
        <v>0</v>
      </c>
    </row>
    <row r="13" spans="1:31" ht="25.5" customHeight="1" x14ac:dyDescent="0.2">
      <c r="A13" s="85">
        <v>0</v>
      </c>
      <c r="B13" s="289" t="s">
        <v>820</v>
      </c>
      <c r="C13" s="105" t="s">
        <v>660</v>
      </c>
      <c r="D13" s="106" t="s">
        <v>701</v>
      </c>
      <c r="E13" s="106" t="s">
        <v>821</v>
      </c>
      <c r="F13" s="106" t="s">
        <v>822</v>
      </c>
      <c r="G13" s="106" t="s">
        <v>823</v>
      </c>
      <c r="H13" s="106" t="s">
        <v>669</v>
      </c>
      <c r="I13" s="106" t="s">
        <v>712</v>
      </c>
      <c r="J13" s="106" t="s">
        <v>824</v>
      </c>
      <c r="K13" s="106" t="s">
        <v>825</v>
      </c>
      <c r="L13" s="644" t="str">
        <f>IF(import.recurso="FGTS","Financiamento (R$)","Repasse (R$)")</f>
        <v>Repasse (R$)</v>
      </c>
      <c r="M13" s="645" t="s">
        <v>826</v>
      </c>
      <c r="N13" s="290" t="s">
        <v>742</v>
      </c>
      <c r="O13" s="106" t="s">
        <v>827</v>
      </c>
      <c r="R13" s="291" t="s">
        <v>823</v>
      </c>
      <c r="T13" s="291" t="s">
        <v>825</v>
      </c>
      <c r="U13" s="158" t="s">
        <v>827</v>
      </c>
      <c r="V13" s="292" t="s">
        <v>828</v>
      </c>
      <c r="W13" s="157" t="s">
        <v>826</v>
      </c>
      <c r="X13" s="159" t="s">
        <v>742</v>
      </c>
    </row>
    <row r="14" spans="1:31" ht="30" customHeight="1" x14ac:dyDescent="0.2">
      <c r="A14">
        <f t="shared" ref="A14:A23" ca="1" si="0">IF(NOT(ISBLANK(QCI.DescManual)),OFFSET(A14,-1,0),D14)</f>
        <v>1</v>
      </c>
      <c r="B14" t="str">
        <f ca="1">IF(NOT(ISBLANK(QCI.DescManual)),IF(QCI.Divisao="Calculado","Manual","SemiAuto"),IF(ISERROR(MATCH($A14,ORÇAMENTO!$E$15:$E$35,0)),"Branco","Automático"))</f>
        <v>Automático</v>
      </c>
      <c r="C14" t="str">
        <f t="shared" ref="C14:C22" ca="1" si="1">IF(O14&gt;0,"F","")</f>
        <v>F</v>
      </c>
      <c r="D14" s="280">
        <f t="shared" ref="D14:D22" si="2">ROW()-ROW($D$13)</f>
        <v>1</v>
      </c>
      <c r="E14" s="117" t="s">
        <v>102</v>
      </c>
      <c r="F14" s="117" t="s">
        <v>142</v>
      </c>
      <c r="G14" s="162" t="str">
        <f ca="1">IF(OR($B14="Manual",$B14="SemiAuto"),QCI.DescManual,IF($B14="Automático",INDEX(ORÇAMENTO!$R$15:$R$35,MATCH($A14,ORÇAMENTO!$E$15:$E$35,0)),""))</f>
        <v>RECAPEAMENTO ASFÁLTICO DE VIAS PÚBLICAS NO MÚNICIPIO DE MARIALVA/PR</v>
      </c>
      <c r="H14" s="117" t="s">
        <v>976</v>
      </c>
      <c r="I14" s="463">
        <v>35554.29</v>
      </c>
      <c r="J14" s="281" t="str">
        <f ca="1">IF(AND(ISBLANK(E14),ISBLANK(F14)),"",VLOOKUP($F14,OFFSET(DADOS!$A$2,1,MATCH(QCI!$E14,DADOS!$2:$2,0)-1,100,50),2,FALSE))</f>
        <v>m²</v>
      </c>
      <c r="K14" s="462" t="str" cm="1">
        <f t="array" aca="1" ref="K14" ca="1">IF(OR($B14="Manual",$B14="SemiAuto"),QCI.LoteManual,IF($B14="Automático",IF(TIPOORCAMENTO="Licitado",Import.CTEF,"LOTE 1"),""))</f>
        <v>LOTE 1</v>
      </c>
      <c r="L14" s="282">
        <f t="shared" ref="L14:L22" ca="1" si="3">ROUND($O14,2)-ROUND($M14,2)-ROUND($N14,2)</f>
        <v>2870210</v>
      </c>
      <c r="M14" s="283">
        <f t="shared" ref="M14:M22" ca="1" si="4">ROUND($AA14,2)-ROUND($AE14,2)</f>
        <v>221743.04</v>
      </c>
      <c r="N14" s="284">
        <f t="shared" ref="N14:N22" ca="1" si="5">ROUND($AB14,2)</f>
        <v>0</v>
      </c>
      <c r="O14" s="285" cm="1">
        <f t="array" aca="1" ref="O14" ca="1">IF($B14="Branco",0,IF(OR($B14="Manual",$B14="SemiAuto"),QCI.InvManual,INDEX(ORÇAMENTO!X$15:X$35,MATCH($A14,ORÇAMENTO!$E$15:$E$35,0))))</f>
        <v>3091953.04</v>
      </c>
      <c r="P14" s="576" t="str">
        <f t="shared" ref="P14:P22" ca="1" si="6">IF(O14=0,"",
  IF(E14="","ITEM",
  IF(F14="","SUBITEM",
  IF(H14="","SITUAÇÃO",
  IF(I14=0,"QUANT.","")))))</f>
        <v/>
      </c>
      <c r="R14" s="464"/>
      <c r="S14" s="577" t="str">
        <f t="shared" ref="S14:S22" si="7">IF(R14="","",
  IF(T14=0,"► LOTE",
  IF(U14=0,"► INVEST",
  IF(V14=0,"► DIV",
  IF(AND(V14="Calculado",W14=""),"► CP",
  IF(AND(V14="Calculado",X14=""),"► OU",""))))))</f>
        <v/>
      </c>
      <c r="T14" s="465"/>
      <c r="U14" s="578"/>
      <c r="V14" s="466" t="s">
        <v>819</v>
      </c>
      <c r="W14" s="579"/>
      <c r="X14" s="580"/>
      <c r="Z14">
        <f t="shared" ref="Z14:Z22" ca="1" si="8">$O14-$AA14-$AB14</f>
        <v>2870210</v>
      </c>
      <c r="AA14" cm="1">
        <f t="array" aca="1" ref="AA14" ca="1">IF($B14="Branco",0,IF($B14="Manual",QCI.CPManual,IF($B14="SemiAuto",ROUND(QCI!$AA$3*QCI.InvManual,2),INDEX(ORÇAMENTO!$AA$15:$AA$35,MATCH($A14,ORÇAMENTO!$E$15:$E$35,0)))))</f>
        <v>221743.0400000001</v>
      </c>
      <c r="AB14" cm="1">
        <f t="array" aca="1" ref="AB14" ca="1">IF($B14="Branco",0,IF($B14="Manual",QCI.OutrosManual,IF($B14="SemiAuto",0,INDEX(ORÇAMENTO!$AB$15:$AB$35,MATCH($A14,ORÇAMENTO!$E$15:$E$35,0)))))</f>
        <v>0</v>
      </c>
      <c r="AD14" s="288" t="b">
        <f ca="1">AND($AA$3&gt;0,$AA$3&lt;1,$O14&gt;0,OR($B14="Automático",$B14="SemiAuto"),OR(QCI!$Z$3=QCI!$Z$7,QCI!$Z$3=QCI!$AA$7,QCI!$Z$3=QCI!$AB$7))</f>
        <v>1</v>
      </c>
      <c r="AE14" s="288">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IF(NOT(ISBLANK(QCI.DescManual)),IF(QCI.Divisao="Calculado","Manual","SemiAuto"),IF(ISERROR(MATCH($A15,ORÇAMENTO!$E$15:$E$35,0)),"Branco","Automático"))</f>
        <v>Branco</v>
      </c>
      <c r="C15" t="str">
        <f t="shared" ca="1" si="1"/>
        <v/>
      </c>
      <c r="D15" s="280">
        <f t="shared" si="2"/>
        <v>2</v>
      </c>
      <c r="E15" s="117"/>
      <c r="F15" s="117"/>
      <c r="G15" s="162" t="str">
        <f ca="1">IF(OR($B15="Manual",$B15="SemiAuto"),QCI.DescManual,IF($B15="Automático",INDEX(ORÇAMENTO!$R$15:$R$35,MATCH($A15,ORÇAMENTO!$E$15:$E$35,0)),""))</f>
        <v/>
      </c>
      <c r="H15" s="117"/>
      <c r="I15" s="463"/>
      <c r="J15" s="281" t="str">
        <f ca="1">IF(AND(ISBLANK(E15),ISBLANK(F15)),"",VLOOKUP($F15,OFFSET(DADOS!$A$2,1,MATCH(QCI!$E15,DADOS!$2:$2,0)-1,100,50),2,FALSE))</f>
        <v/>
      </c>
      <c r="K15" s="462" t="str" cm="1">
        <f t="array" aca="1" ref="K15" ca="1">IF(OR($B15="Manual",$B15="SemiAuto"),QCI.LoteManual,IF($B15="Automático",IF(TIPOORCAMENTO="Licitado",Import.CTEF,"LOTE 1"),""))</f>
        <v/>
      </c>
      <c r="L15" s="282">
        <f t="shared" ca="1" si="3"/>
        <v>0</v>
      </c>
      <c r="M15" s="283">
        <f t="shared" ca="1" si="4"/>
        <v>0</v>
      </c>
      <c r="N15" s="284">
        <f t="shared" ca="1" si="5"/>
        <v>0</v>
      </c>
      <c r="O15" s="285" cm="1">
        <f t="array" aca="1" ref="O15" ca="1">IF($B15="Branco",0,IF(OR($B15="Manual",$B15="SemiAuto"),QCI.InvManual,INDEX(ORÇAMENTO!X$15:X$35,MATCH($A15,ORÇAMENTO!$E$15:$E$35,0))))</f>
        <v>0</v>
      </c>
      <c r="P15" s="576" t="str">
        <f t="shared" ca="1" si="6"/>
        <v/>
      </c>
      <c r="R15" s="464"/>
      <c r="S15" s="577" t="str">
        <f t="shared" si="7"/>
        <v/>
      </c>
      <c r="T15" s="465"/>
      <c r="U15" s="578"/>
      <c r="V15" s="466" t="s">
        <v>819</v>
      </c>
      <c r="W15" s="579"/>
      <c r="X15" s="580"/>
      <c r="Z15">
        <f t="shared" ca="1" si="8"/>
        <v>0</v>
      </c>
      <c r="AA15" cm="1">
        <f t="array" aca="1" ref="AA15" ca="1">IF($B15="Branco",0,IF($B15="Manual",QCI.CPManual,IF($B15="SemiAuto",ROUND(QCI!$AA$3*QCI.InvManual,2),INDEX(ORÇAMENTO!$AA$15:$AA$35,MATCH($A15,ORÇAMENTO!$E$15:$E$35,0)))))</f>
        <v>0</v>
      </c>
      <c r="AB15" cm="1">
        <f t="array" aca="1" ref="AB15" ca="1">IF($B15="Branco",0,IF($B15="Manual",QCI.OutrosManual,IF($B15="SemiAuto",0,INDEX(ORÇAMENTO!$AB$15:$AB$35,MATCH($A15,ORÇAMENTO!$E$15:$E$35,0)))))</f>
        <v>0</v>
      </c>
      <c r="AD15" s="288" t="b">
        <f ca="1">AND($AA$3&gt;0,$AA$3&lt;1,$O15&gt;0,OR($B15="Automático",$B15="SemiAuto"),OR(QCI!$Z$3=QCI!$Z$7,QCI!$Z$3=QCI!$AA$7,QCI!$Z$3=QCI!$AB$7))</f>
        <v>0</v>
      </c>
      <c r="AE15" s="288">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IF(NOT(ISBLANK(QCI.DescManual)),IF(QCI.Divisao="Calculado","Manual","SemiAuto"),IF(ISERROR(MATCH($A16,ORÇAMENTO!$E$15:$E$35,0)),"Branco","Automático"))</f>
        <v>Branco</v>
      </c>
      <c r="C16" t="str">
        <f t="shared" ca="1" si="1"/>
        <v/>
      </c>
      <c r="D16" s="280">
        <f t="shared" si="2"/>
        <v>3</v>
      </c>
      <c r="E16" s="117"/>
      <c r="F16" s="117"/>
      <c r="G16" s="162" t="str">
        <f ca="1">IF(OR($B16="Manual",$B16="SemiAuto"),QCI.DescManual,IF($B16="Automático",INDEX(ORÇAMENTO!$R$15:$R$35,MATCH($A16,ORÇAMENTO!$E$15:$E$35,0)),""))</f>
        <v/>
      </c>
      <c r="H16" s="117"/>
      <c r="I16" s="463"/>
      <c r="J16" s="281" t="str">
        <f ca="1">IF(AND(ISBLANK(E16),ISBLANK(F16)),"",VLOOKUP($F16,OFFSET(DADOS!$A$2,1,MATCH(QCI!$E16,DADOS!$2:$2,0)-1,100,50),2,FALSE))</f>
        <v/>
      </c>
      <c r="K16" s="462" t="str" cm="1">
        <f t="array" aca="1" ref="K16" ca="1">IF(OR($B16="Manual",$B16="SemiAuto"),QCI.LoteManual,IF($B16="Automático",IF(TIPOORCAMENTO="Licitado",Import.CTEF,"LOTE 1"),""))</f>
        <v/>
      </c>
      <c r="L16" s="282">
        <f t="shared" ca="1" si="3"/>
        <v>0</v>
      </c>
      <c r="M16" s="283">
        <f t="shared" ca="1" si="4"/>
        <v>0</v>
      </c>
      <c r="N16" s="284">
        <f t="shared" ca="1" si="5"/>
        <v>0</v>
      </c>
      <c r="O16" s="285" cm="1">
        <f t="array" aca="1" ref="O16" ca="1">IF($B16="Branco",0,IF(OR($B16="Manual",$B16="SemiAuto"),QCI.InvManual,INDEX(ORÇAMENTO!X$15:X$35,MATCH($A16,ORÇAMENTO!$E$15:$E$35,0))))</f>
        <v>0</v>
      </c>
      <c r="P16" s="576" t="str">
        <f t="shared" ca="1" si="6"/>
        <v/>
      </c>
      <c r="R16" s="464"/>
      <c r="S16" s="577" t="str">
        <f t="shared" si="7"/>
        <v/>
      </c>
      <c r="T16" s="465"/>
      <c r="U16" s="578"/>
      <c r="V16" s="466" t="s">
        <v>819</v>
      </c>
      <c r="W16" s="579"/>
      <c r="X16" s="580"/>
      <c r="Z16">
        <f t="shared" ca="1" si="8"/>
        <v>0</v>
      </c>
      <c r="AA16" cm="1">
        <f t="array" aca="1" ref="AA16" ca="1">IF($B16="Branco",0,IF($B16="Manual",QCI.CPManual,IF($B16="SemiAuto",ROUND(QCI!$AA$3*QCI.InvManual,2),INDEX(ORÇAMENTO!$AA$15:$AA$35,MATCH($A16,ORÇAMENTO!$E$15:$E$35,0)))))</f>
        <v>0</v>
      </c>
      <c r="AB16" cm="1">
        <f t="array" aca="1" ref="AB16" ca="1">IF($B16="Branco",0,IF($B16="Manual",QCI.OutrosManual,IF($B16="SemiAuto",0,INDEX(ORÇAMENTO!$AB$15:$AB$35,MATCH($A16,ORÇAMENTO!$E$15:$E$35,0)))))</f>
        <v>0</v>
      </c>
      <c r="AD16" s="288" t="b">
        <f ca="1">AND($AA$3&gt;0,$AA$3&lt;1,$O16&gt;0,OR($B16="Automático",$B16="SemiAuto"),OR(QCI!$Z$3=QCI!$Z$7,QCI!$Z$3=QCI!$AA$7,QCI!$Z$3=QCI!$AB$7))</f>
        <v>0</v>
      </c>
      <c r="AE16" s="288">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IF(NOT(ISBLANK(QCI.DescManual)),IF(QCI.Divisao="Calculado","Manual","SemiAuto"),IF(ISERROR(MATCH($A17,ORÇAMENTO!$E$15:$E$35,0)),"Branco","Automático"))</f>
        <v>Branco</v>
      </c>
      <c r="C17" t="str">
        <f t="shared" ca="1" si="1"/>
        <v/>
      </c>
      <c r="D17" s="280">
        <f t="shared" si="2"/>
        <v>4</v>
      </c>
      <c r="E17" s="117"/>
      <c r="F17" s="117"/>
      <c r="G17" s="162" t="str">
        <f ca="1">IF(OR($B17="Manual",$B17="SemiAuto"),QCI.DescManual,IF($B17="Automático",INDEX(ORÇAMENTO!$R$15:$R$35,MATCH($A17,ORÇAMENTO!$E$15:$E$35,0)),""))</f>
        <v/>
      </c>
      <c r="H17" s="117"/>
      <c r="I17" s="463"/>
      <c r="J17" s="281" t="str">
        <f ca="1">IF(AND(ISBLANK(E17),ISBLANK(F17)),"",VLOOKUP($F17,OFFSET(DADOS!$A$2,1,MATCH(QCI!$E17,DADOS!$2:$2,0)-1,100,50),2,FALSE))</f>
        <v/>
      </c>
      <c r="K17" s="462" t="str" cm="1">
        <f t="array" aca="1" ref="K17" ca="1">IF(OR($B17="Manual",$B17="SemiAuto"),QCI.LoteManual,IF($B17="Automático",IF(TIPOORCAMENTO="Licitado",Import.CTEF,"LOTE 1"),""))</f>
        <v/>
      </c>
      <c r="L17" s="282">
        <f t="shared" ca="1" si="3"/>
        <v>0</v>
      </c>
      <c r="M17" s="283">
        <f t="shared" ca="1" si="4"/>
        <v>0</v>
      </c>
      <c r="N17" s="284">
        <f t="shared" ca="1" si="5"/>
        <v>0</v>
      </c>
      <c r="O17" s="285" cm="1">
        <f t="array" aca="1" ref="O17" ca="1">IF($B17="Branco",0,IF(OR($B17="Manual",$B17="SemiAuto"),QCI.InvManual,INDEX(ORÇAMENTO!X$15:X$35,MATCH($A17,ORÇAMENTO!$E$15:$E$35,0))))</f>
        <v>0</v>
      </c>
      <c r="P17" s="576" t="str">
        <f t="shared" ca="1" si="6"/>
        <v/>
      </c>
      <c r="R17" s="464"/>
      <c r="S17" s="577" t="str">
        <f t="shared" si="7"/>
        <v/>
      </c>
      <c r="T17" s="465"/>
      <c r="U17" s="578"/>
      <c r="V17" s="466" t="s">
        <v>819</v>
      </c>
      <c r="W17" s="579"/>
      <c r="X17" s="580"/>
      <c r="Z17">
        <f t="shared" ca="1" si="8"/>
        <v>0</v>
      </c>
      <c r="AA17" cm="1">
        <f t="array" aca="1" ref="AA17" ca="1">IF($B17="Branco",0,IF($B17="Manual",QCI.CPManual,IF($B17="SemiAuto",ROUND(QCI!$AA$3*QCI.InvManual,2),INDEX(ORÇAMENTO!$AA$15:$AA$35,MATCH($A17,ORÇAMENTO!$E$15:$E$35,0)))))</f>
        <v>0</v>
      </c>
      <c r="AB17" cm="1">
        <f t="array" aca="1" ref="AB17" ca="1">IF($B17="Branco",0,IF($B17="Manual",QCI.OutrosManual,IF($B17="SemiAuto",0,INDEX(ORÇAMENTO!$AB$15:$AB$35,MATCH($A17,ORÇAMENTO!$E$15:$E$35,0)))))</f>
        <v>0</v>
      </c>
      <c r="AD17" s="288" t="b">
        <f ca="1">AND($AA$3&gt;0,$AA$3&lt;1,$O17&gt;0,OR($B17="Automático",$B17="SemiAuto"),OR(QCI!$Z$3=QCI!$Z$7,QCI!$Z$3=QCI!$AA$7,QCI!$Z$3=QCI!$AB$7))</f>
        <v>0</v>
      </c>
      <c r="AE17" s="288">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IF(NOT(ISBLANK(QCI.DescManual)),IF(QCI.Divisao="Calculado","Manual","SemiAuto"),IF(ISERROR(MATCH($A18,ORÇAMENTO!$E$15:$E$35,0)),"Branco","Automático"))</f>
        <v>Branco</v>
      </c>
      <c r="C18" t="str">
        <f t="shared" ca="1" si="1"/>
        <v/>
      </c>
      <c r="D18" s="280">
        <f t="shared" si="2"/>
        <v>5</v>
      </c>
      <c r="E18" s="117"/>
      <c r="F18" s="117"/>
      <c r="G18" s="162" t="str">
        <f ca="1">IF(OR($B18="Manual",$B18="SemiAuto"),QCI.DescManual,IF($B18="Automático",INDEX(ORÇAMENTO!$R$15:$R$35,MATCH($A18,ORÇAMENTO!$E$15:$E$35,0)),""))</f>
        <v/>
      </c>
      <c r="H18" s="117"/>
      <c r="I18" s="463"/>
      <c r="J18" s="281" t="str">
        <f ca="1">IF(AND(ISBLANK(E18),ISBLANK(F18)),"",VLOOKUP($F18,OFFSET(DADOS!$A$2,1,MATCH(QCI!$E18,DADOS!$2:$2,0)-1,100,50),2,FALSE))</f>
        <v/>
      </c>
      <c r="K18" s="462" t="str" cm="1">
        <f t="array" aca="1" ref="K18" ca="1">IF(OR($B18="Manual",$B18="SemiAuto"),QCI.LoteManual,IF($B18="Automático",IF(TIPOORCAMENTO="Licitado",Import.CTEF,"LOTE 1"),""))</f>
        <v/>
      </c>
      <c r="L18" s="282">
        <f t="shared" ca="1" si="3"/>
        <v>0</v>
      </c>
      <c r="M18" s="283">
        <f t="shared" ca="1" si="4"/>
        <v>0</v>
      </c>
      <c r="N18" s="284">
        <f t="shared" ca="1" si="5"/>
        <v>0</v>
      </c>
      <c r="O18" s="285" cm="1">
        <f t="array" aca="1" ref="O18" ca="1">IF($B18="Branco",0,IF(OR($B18="Manual",$B18="SemiAuto"),QCI.InvManual,INDEX(ORÇAMENTO!X$15:X$35,MATCH($A18,ORÇAMENTO!$E$15:$E$35,0))))</f>
        <v>0</v>
      </c>
      <c r="P18" s="576" t="str">
        <f t="shared" ca="1" si="6"/>
        <v/>
      </c>
      <c r="R18" s="464"/>
      <c r="S18" s="577" t="str">
        <f t="shared" si="7"/>
        <v/>
      </c>
      <c r="T18" s="465"/>
      <c r="U18" s="578"/>
      <c r="V18" s="466" t="s">
        <v>819</v>
      </c>
      <c r="W18" s="579"/>
      <c r="X18" s="580"/>
      <c r="Z18">
        <f t="shared" ca="1" si="8"/>
        <v>0</v>
      </c>
      <c r="AA18" cm="1">
        <f t="array" aca="1" ref="AA18" ca="1">IF($B18="Branco",0,IF($B18="Manual",QCI.CPManual,IF($B18="SemiAuto",ROUND(QCI!$AA$3*QCI.InvManual,2),INDEX(ORÇAMENTO!$AA$15:$AA$35,MATCH($A18,ORÇAMENTO!$E$15:$E$35,0)))))</f>
        <v>0</v>
      </c>
      <c r="AB18" cm="1">
        <f t="array" aca="1" ref="AB18" ca="1">IF($B18="Branco",0,IF($B18="Manual",QCI.OutrosManual,IF($B18="SemiAuto",0,INDEX(ORÇAMENTO!$AB$15:$AB$35,MATCH($A18,ORÇAMENTO!$E$15:$E$35,0)))))</f>
        <v>0</v>
      </c>
      <c r="AD18" s="288" t="b">
        <f ca="1">AND($AA$3&gt;0,$AA$3&lt;1,$O18&gt;0,OR($B18="Automático",$B18="SemiAuto"),OR(QCI!$Z$3=QCI!$Z$7,QCI!$Z$3=QCI!$AA$7,QCI!$Z$3=QCI!$AB$7))</f>
        <v>0</v>
      </c>
      <c r="AE18" s="288">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IF(NOT(ISBLANK(QCI.DescManual)),IF(QCI.Divisao="Calculado","Manual","SemiAuto"),IF(ISERROR(MATCH($A19,ORÇAMENTO!$E$15:$E$35,0)),"Branco","Automático"))</f>
        <v>Branco</v>
      </c>
      <c r="C19" t="str">
        <f t="shared" ca="1" si="1"/>
        <v/>
      </c>
      <c r="D19" s="280">
        <f t="shared" si="2"/>
        <v>6</v>
      </c>
      <c r="E19" s="117"/>
      <c r="F19" s="117"/>
      <c r="G19" s="162" t="str">
        <f ca="1">IF(OR($B19="Manual",$B19="SemiAuto"),QCI.DescManual,IF($B19="Automático",INDEX(ORÇAMENTO!$R$15:$R$35,MATCH($A19,ORÇAMENTO!$E$15:$E$35,0)),""))</f>
        <v/>
      </c>
      <c r="H19" s="117"/>
      <c r="I19" s="463"/>
      <c r="J19" s="281" t="str">
        <f ca="1">IF(AND(ISBLANK(E19),ISBLANK(F19)),"",VLOOKUP($F19,OFFSET(DADOS!$A$2,1,MATCH(QCI!$E19,DADOS!$2:$2,0)-1,100,50),2,FALSE))</f>
        <v/>
      </c>
      <c r="K19" s="462" t="str" cm="1">
        <f t="array" aca="1" ref="K19" ca="1">IF(OR($B19="Manual",$B19="SemiAuto"),QCI.LoteManual,IF($B19="Automático",IF(TIPOORCAMENTO="Licitado",Import.CTEF,"LOTE 1"),""))</f>
        <v/>
      </c>
      <c r="L19" s="282">
        <f t="shared" ca="1" si="3"/>
        <v>0</v>
      </c>
      <c r="M19" s="283">
        <f t="shared" ca="1" si="4"/>
        <v>0</v>
      </c>
      <c r="N19" s="284">
        <f t="shared" ca="1" si="5"/>
        <v>0</v>
      </c>
      <c r="O19" s="285" cm="1">
        <f t="array" aca="1" ref="O19" ca="1">IF($B19="Branco",0,IF(OR($B19="Manual",$B19="SemiAuto"),QCI.InvManual,INDEX(ORÇAMENTO!X$15:X$35,MATCH($A19,ORÇAMENTO!$E$15:$E$35,0))))</f>
        <v>0</v>
      </c>
      <c r="P19" s="576" t="str">
        <f t="shared" ca="1" si="6"/>
        <v/>
      </c>
      <c r="R19" s="464"/>
      <c r="S19" s="577" t="str">
        <f t="shared" si="7"/>
        <v/>
      </c>
      <c r="T19" s="465"/>
      <c r="U19" s="578"/>
      <c r="V19" s="466" t="s">
        <v>819</v>
      </c>
      <c r="W19" s="579"/>
      <c r="X19" s="580"/>
      <c r="Z19">
        <f t="shared" ca="1" si="8"/>
        <v>0</v>
      </c>
      <c r="AA19" cm="1">
        <f t="array" aca="1" ref="AA19" ca="1">IF($B19="Branco",0,IF($B19="Manual",QCI.CPManual,IF($B19="SemiAuto",ROUND(QCI!$AA$3*QCI.InvManual,2),INDEX(ORÇAMENTO!$AA$15:$AA$35,MATCH($A19,ORÇAMENTO!$E$15:$E$35,0)))))</f>
        <v>0</v>
      </c>
      <c r="AB19" cm="1">
        <f t="array" aca="1" ref="AB19" ca="1">IF($B19="Branco",0,IF($B19="Manual",QCI.OutrosManual,IF($B19="SemiAuto",0,INDEX(ORÇAMENTO!$AB$15:$AB$35,MATCH($A19,ORÇAMENTO!$E$15:$E$35,0)))))</f>
        <v>0</v>
      </c>
      <c r="AD19" s="288" t="b">
        <f ca="1">AND($AA$3&gt;0,$AA$3&lt;1,$O19&gt;0,OR($B19="Automático",$B19="SemiAuto"),OR(QCI!$Z$3=QCI!$Z$7,QCI!$Z$3=QCI!$AA$7,QCI!$Z$3=QCI!$AB$7))</f>
        <v>0</v>
      </c>
      <c r="AE19" s="288">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IF(NOT(ISBLANK(QCI.DescManual)),IF(QCI.Divisao="Calculado","Manual","SemiAuto"),IF(ISERROR(MATCH($A20,ORÇAMENTO!$E$15:$E$35,0)),"Branco","Automático"))</f>
        <v>Branco</v>
      </c>
      <c r="C20" t="str">
        <f t="shared" ca="1" si="1"/>
        <v/>
      </c>
      <c r="D20" s="280">
        <f t="shared" si="2"/>
        <v>7</v>
      </c>
      <c r="E20" s="117"/>
      <c r="F20" s="117"/>
      <c r="G20" s="162" t="str">
        <f ca="1">IF(OR($B20="Manual",$B20="SemiAuto"),QCI.DescManual,IF($B20="Automático",INDEX(ORÇAMENTO!$R$15:$R$35,MATCH($A20,ORÇAMENTO!$E$15:$E$35,0)),""))</f>
        <v/>
      </c>
      <c r="H20" s="117"/>
      <c r="I20" s="463"/>
      <c r="J20" s="281" t="str">
        <f ca="1">IF(AND(ISBLANK(E20),ISBLANK(F20)),"",VLOOKUP($F20,OFFSET(DADOS!$A$2,1,MATCH(QCI!$E20,DADOS!$2:$2,0)-1,100,50),2,FALSE))</f>
        <v/>
      </c>
      <c r="K20" s="462" t="str" cm="1">
        <f t="array" aca="1" ref="K20" ca="1">IF(OR($B20="Manual",$B20="SemiAuto"),QCI.LoteManual,IF($B20="Automático",IF(TIPOORCAMENTO="Licitado",Import.CTEF,"LOTE 1"),""))</f>
        <v/>
      </c>
      <c r="L20" s="282">
        <f t="shared" ca="1" si="3"/>
        <v>0</v>
      </c>
      <c r="M20" s="283">
        <f t="shared" ca="1" si="4"/>
        <v>0</v>
      </c>
      <c r="N20" s="284">
        <f t="shared" ca="1" si="5"/>
        <v>0</v>
      </c>
      <c r="O20" s="285" cm="1">
        <f t="array" aca="1" ref="O20" ca="1">IF($B20="Branco",0,IF(OR($B20="Manual",$B20="SemiAuto"),QCI.InvManual,INDEX(ORÇAMENTO!X$15:X$35,MATCH($A20,ORÇAMENTO!$E$15:$E$35,0))))</f>
        <v>0</v>
      </c>
      <c r="P20" s="576" t="str">
        <f t="shared" ca="1" si="6"/>
        <v/>
      </c>
      <c r="R20" s="464"/>
      <c r="S20" s="577" t="str">
        <f t="shared" si="7"/>
        <v/>
      </c>
      <c r="T20" s="465"/>
      <c r="U20" s="578"/>
      <c r="V20" s="466" t="s">
        <v>819</v>
      </c>
      <c r="W20" s="579"/>
      <c r="X20" s="580"/>
      <c r="Z20">
        <f t="shared" ca="1" si="8"/>
        <v>0</v>
      </c>
      <c r="AA20" cm="1">
        <f t="array" aca="1" ref="AA20" ca="1">IF($B20="Branco",0,IF($B20="Manual",QCI.CPManual,IF($B20="SemiAuto",ROUND(QCI!$AA$3*QCI.InvManual,2),INDEX(ORÇAMENTO!$AA$15:$AA$35,MATCH($A20,ORÇAMENTO!$E$15:$E$35,0)))))</f>
        <v>0</v>
      </c>
      <c r="AB20" cm="1">
        <f t="array" aca="1" ref="AB20" ca="1">IF($B20="Branco",0,IF($B20="Manual",QCI.OutrosManual,IF($B20="SemiAuto",0,INDEX(ORÇAMENTO!$AB$15:$AB$35,MATCH($A20,ORÇAMENTO!$E$15:$E$35,0)))))</f>
        <v>0</v>
      </c>
      <c r="AD20" s="288" t="b">
        <f ca="1">AND($AA$3&gt;0,$AA$3&lt;1,$O20&gt;0,OR($B20="Automático",$B20="SemiAuto"),OR(QCI!$Z$3=QCI!$Z$7,QCI!$Z$3=QCI!$AA$7,QCI!$Z$3=QCI!$AB$7))</f>
        <v>0</v>
      </c>
      <c r="AE20" s="288">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IF(NOT(ISBLANK(QCI.DescManual)),IF(QCI.Divisao="Calculado","Manual","SemiAuto"),IF(ISERROR(MATCH($A21,ORÇAMENTO!$E$15:$E$35,0)),"Branco","Automático"))</f>
        <v>Branco</v>
      </c>
      <c r="C21" t="str">
        <f t="shared" ca="1" si="1"/>
        <v/>
      </c>
      <c r="D21" s="280">
        <f t="shared" si="2"/>
        <v>8</v>
      </c>
      <c r="E21" s="117"/>
      <c r="F21" s="117"/>
      <c r="G21" s="162" t="str">
        <f ca="1">IF(OR($B21="Manual",$B21="SemiAuto"),QCI.DescManual,IF($B21="Automático",INDEX(ORÇAMENTO!$R$15:$R$35,MATCH($A21,ORÇAMENTO!$E$15:$E$35,0)),""))</f>
        <v/>
      </c>
      <c r="H21" s="117"/>
      <c r="I21" s="463"/>
      <c r="J21" s="281" t="str">
        <f ca="1">IF(AND(ISBLANK(E21),ISBLANK(F21)),"",VLOOKUP($F21,OFFSET(DADOS!$A$2,1,MATCH(QCI!$E21,DADOS!$2:$2,0)-1,100,50),2,FALSE))</f>
        <v/>
      </c>
      <c r="K21" s="462" t="str" cm="1">
        <f t="array" aca="1" ref="K21" ca="1">IF(OR($B21="Manual",$B21="SemiAuto"),QCI.LoteManual,IF($B21="Automático",IF(TIPOORCAMENTO="Licitado",Import.CTEF,"LOTE 1"),""))</f>
        <v/>
      </c>
      <c r="L21" s="282">
        <f t="shared" ca="1" si="3"/>
        <v>0</v>
      </c>
      <c r="M21" s="283">
        <f t="shared" ca="1" si="4"/>
        <v>0</v>
      </c>
      <c r="N21" s="284">
        <f t="shared" ca="1" si="5"/>
        <v>0</v>
      </c>
      <c r="O21" s="285" cm="1">
        <f t="array" aca="1" ref="O21" ca="1">IF($B21="Branco",0,IF(OR($B21="Manual",$B21="SemiAuto"),QCI.InvManual,INDEX(ORÇAMENTO!X$15:X$35,MATCH($A21,ORÇAMENTO!$E$15:$E$35,0))))</f>
        <v>0</v>
      </c>
      <c r="P21" s="576" t="str">
        <f t="shared" ca="1" si="6"/>
        <v/>
      </c>
      <c r="R21" s="464"/>
      <c r="S21" s="577" t="str">
        <f t="shared" si="7"/>
        <v/>
      </c>
      <c r="T21" s="465"/>
      <c r="U21" s="578"/>
      <c r="V21" s="466" t="s">
        <v>819</v>
      </c>
      <c r="W21" s="579"/>
      <c r="X21" s="580"/>
      <c r="Z21">
        <f t="shared" ca="1" si="8"/>
        <v>0</v>
      </c>
      <c r="AA21" cm="1">
        <f t="array" aca="1" ref="AA21" ca="1">IF($B21="Branco",0,IF($B21="Manual",QCI.CPManual,IF($B21="SemiAuto",ROUND(QCI!$AA$3*QCI.InvManual,2),INDEX(ORÇAMENTO!$AA$15:$AA$35,MATCH($A21,ORÇAMENTO!$E$15:$E$35,0)))))</f>
        <v>0</v>
      </c>
      <c r="AB21" cm="1">
        <f t="array" aca="1" ref="AB21" ca="1">IF($B21="Branco",0,IF($B21="Manual",QCI.OutrosManual,IF($B21="SemiAuto",0,INDEX(ORÇAMENTO!$AB$15:$AB$35,MATCH($A21,ORÇAMENTO!$E$15:$E$35,0)))))</f>
        <v>0</v>
      </c>
      <c r="AD21" s="288" t="b">
        <f ca="1">AND($AA$3&gt;0,$AA$3&lt;1,$O21&gt;0,OR($B21="Automático",$B21="SemiAuto"),OR(QCI!$Z$3=QCI!$Z$7,QCI!$Z$3=QCI!$AA$7,QCI!$Z$3=QCI!$AB$7))</f>
        <v>0</v>
      </c>
      <c r="AE21" s="288">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IF(NOT(ISBLANK(QCI.DescManual)),IF(QCI.Divisao="Calculado","Manual","SemiAuto"),IF(ISERROR(MATCH($A22,ORÇAMENTO!$E$15:$E$35,0)),"Branco","Automático"))</f>
        <v>Branco</v>
      </c>
      <c r="C22" t="str">
        <f t="shared" ca="1" si="1"/>
        <v/>
      </c>
      <c r="D22" s="280">
        <f t="shared" si="2"/>
        <v>9</v>
      </c>
      <c r="E22" s="117"/>
      <c r="F22" s="117"/>
      <c r="G22" s="162" t="str">
        <f ca="1">IF(OR($B22="Manual",$B22="SemiAuto"),QCI.DescManual,IF($B22="Automático",INDEX(ORÇAMENTO!$R$15:$R$35,MATCH($A22,ORÇAMENTO!$E$15:$E$35,0)),""))</f>
        <v/>
      </c>
      <c r="H22" s="117"/>
      <c r="I22" s="463"/>
      <c r="J22" s="281" t="str">
        <f ca="1">IF(AND(ISBLANK(E22),ISBLANK(F22)),"",VLOOKUP($F22,OFFSET(DADOS!$A$2,1,MATCH(QCI!$E22,DADOS!$2:$2,0)-1,100,50),2,FALSE))</f>
        <v/>
      </c>
      <c r="K22" s="462" t="str" cm="1">
        <f t="array" aca="1" ref="K22" ca="1">IF(OR($B22="Manual",$B22="SemiAuto"),QCI.LoteManual,IF($B22="Automático",IF(TIPOORCAMENTO="Licitado",Import.CTEF,"LOTE 1"),""))</f>
        <v/>
      </c>
      <c r="L22" s="282">
        <f t="shared" ca="1" si="3"/>
        <v>0</v>
      </c>
      <c r="M22" s="283">
        <f t="shared" ca="1" si="4"/>
        <v>0</v>
      </c>
      <c r="N22" s="284">
        <f t="shared" ca="1" si="5"/>
        <v>0</v>
      </c>
      <c r="O22" s="285" cm="1">
        <f t="array" aca="1" ref="O22" ca="1">IF($B22="Branco",0,IF(OR($B22="Manual",$B22="SemiAuto"),QCI.InvManual,INDEX(ORÇAMENTO!X$15:X$35,MATCH($A22,ORÇAMENTO!$E$15:$E$35,0))))</f>
        <v>0</v>
      </c>
      <c r="P22" s="576" t="str">
        <f t="shared" ca="1" si="6"/>
        <v/>
      </c>
      <c r="R22" s="464"/>
      <c r="S22" s="577" t="str">
        <f t="shared" si="7"/>
        <v/>
      </c>
      <c r="T22" s="465"/>
      <c r="U22" s="578"/>
      <c r="V22" s="466" t="s">
        <v>819</v>
      </c>
      <c r="W22" s="579"/>
      <c r="X22" s="580"/>
      <c r="Z22">
        <f t="shared" ca="1" si="8"/>
        <v>0</v>
      </c>
      <c r="AA22" cm="1">
        <f t="array" aca="1" ref="AA22" ca="1">IF($B22="Branco",0,IF($B22="Manual",QCI.CPManual,IF($B22="SemiAuto",ROUND(QCI!$AA$3*QCI.InvManual,2),INDEX(ORÇAMENTO!$AA$15:$AA$35,MATCH($A22,ORÇAMENTO!$E$15:$E$35,0)))))</f>
        <v>0</v>
      </c>
      <c r="AB22" cm="1">
        <f t="array" aca="1" ref="AB22" ca="1">IF($B22="Branco",0,IF($B22="Manual",QCI.OutrosManual,IF($B22="SemiAuto",0,INDEX(ORÇAMENTO!$AB$15:$AB$35,MATCH($A22,ORÇAMENTO!$E$15:$E$35,0)))))</f>
        <v>0</v>
      </c>
      <c r="AD22" s="288" t="b">
        <f ca="1">AND($AA$3&gt;0,$AA$3&lt;1,$O22&gt;0,OR($B22="Automático",$B22="SemiAuto"),OR(QCI!$Z$3=QCI!$Z$7,QCI!$Z$3=QCI!$AA$7,QCI!$Z$3=QCI!$AB$7))</f>
        <v>0</v>
      </c>
      <c r="AE22" s="288">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IF(NOT(ISBLANK(QCI.DescManual)),IF(QCI.Divisao="Calculado","Manual","SemiAuto"),IF(ISERROR(MATCH($A23,ORÇAMENTO!$E$15:$E$35,0)),"Branco","Automático"))</f>
        <v>Branco</v>
      </c>
      <c r="C23" t="str">
        <f ca="1">IF(O23&gt;0,"F","")</f>
        <v/>
      </c>
      <c r="D23" s="280">
        <f>ROW()-ROW($D$13)</f>
        <v>10</v>
      </c>
      <c r="E23" s="117"/>
      <c r="F23" s="117"/>
      <c r="G23" s="162" t="str">
        <f ca="1">IF(OR($B23="Manual",$B23="SemiAuto"),QCI.DescManual,IF($B23="Automático",INDEX(ORÇAMENTO!$R$15:$R$35,MATCH($A23,ORÇAMENTO!$E$15:$E$35,0)),""))</f>
        <v/>
      </c>
      <c r="H23" s="117"/>
      <c r="I23" s="463"/>
      <c r="J23" s="281" t="str">
        <f ca="1">IF(AND(ISBLANK(E23),ISBLANK(F23)),"",VLOOKUP($F23,OFFSET(DADOS!$A$2,1,MATCH(QCI!$E23,DADOS!$2:$2,0)-1,100,50),2,FALSE))</f>
        <v/>
      </c>
      <c r="K23" s="462" t="str" cm="1">
        <f t="array" aca="1" ref="K23" ca="1">IF(OR($B23="Manual",$B23="SemiAuto"),QCI.LoteManual,IF($B23="Automático",IF(TIPOORCAMENTO="Licitado",Import.CTEF,"LOTE 1"),""))</f>
        <v/>
      </c>
      <c r="L23" s="282">
        <f ca="1">ROUND($O23,2)-ROUND($M23,2)-ROUND($N23,2)</f>
        <v>0</v>
      </c>
      <c r="M23" s="283">
        <f ca="1">ROUND($AA23,2)-ROUND($AE23,2)</f>
        <v>0</v>
      </c>
      <c r="N23" s="284">
        <f ca="1">ROUND($AB23,2)</f>
        <v>0</v>
      </c>
      <c r="O23" s="285" cm="1">
        <f t="array" aca="1" ref="O23" ca="1">IF($B23="Branco",0,IF(OR($B23="Manual",$B23="SemiAuto"),QCI.InvManual,INDEX(ORÇAMENTO!X$15:X$35,MATCH($A23,ORÇAMENTO!$E$15:$E$35,0))))</f>
        <v>0</v>
      </c>
      <c r="P23" s="576" t="str">
        <f ca="1">IF(O23=0,"",
  IF(E23="","ITEM",
  IF(F23="","SUBITEM",
  IF(H23="","SITUAÇÃO",
  IF(I23=0,"QUANT.","")))))</f>
        <v/>
      </c>
      <c r="R23" s="464"/>
      <c r="S23" s="577" t="str">
        <f>IF(R23="","",
  IF(T23=0,"► LOTE",
  IF(U23=0,"► INVEST",
  IF(V23=0,"► DIV",
  IF(AND(V23="Calculado",W23=""),"► CP",
  IF(AND(V23="Calculado",X23=""),"► OU",""))))))</f>
        <v/>
      </c>
      <c r="T23" s="465"/>
      <c r="U23" s="578"/>
      <c r="V23" s="466" t="s">
        <v>819</v>
      </c>
      <c r="W23" s="579"/>
      <c r="X23" s="580"/>
      <c r="Z23">
        <f ca="1">$O23-$AA23-$AB23</f>
        <v>0</v>
      </c>
      <c r="AA23" cm="1">
        <f t="array" aca="1" ref="AA23" ca="1">IF($B23="Branco",0,IF($B23="Manual",QCI.CPManual,IF($B23="SemiAuto",ROUND(QCI!$AA$3*QCI.InvManual,2),INDEX(ORÇAMENTO!$AA$15:$AA$35,MATCH($A23,ORÇAMENTO!$E$15:$E$35,0)))))</f>
        <v>0</v>
      </c>
      <c r="AB23" cm="1">
        <f t="array" aca="1" ref="AB23" ca="1">IF($B23="Branco",0,IF($B23="Manual",QCI.OutrosManual,IF($B23="SemiAuto",0,INDEX(ORÇAMENTO!$AB$15:$AB$35,MATCH($A23,ORÇAMENTO!$E$15:$E$35,0)))))</f>
        <v>0</v>
      </c>
      <c r="AD23" s="288" t="b">
        <f ca="1">AND($AA$3&gt;0,$AA$3&lt;1,$O23&gt;0,OR($B23="Automático",$B23="SemiAuto"),OR(QCI!$Z$3=QCI!$Z$7,QCI!$Z$3=QCI!$AA$7,QCI!$Z$3=QCI!$AB$7))</f>
        <v>0</v>
      </c>
      <c r="AE23" s="288">
        <f ca="1">IF(AND($AD23,$O23&gt;0,COUNTIF(OFFSET($AD23,1,0):$AD$24,TRUE)=0),CHOOSE(1+LOG(1+2*(QCI!$Z$3=QCI!$Z$7)+4*(QCI!$Z$3=QCI!$AA$7)+8*(QCI!$Z$3=QCI!$AB$7),2),0,$AA$24-ROUND(Import.CPMinPerc*$O$24,2),$AA$24-Import.CPMinAbsoluta,Import.Repasse-$Z$24),0)</f>
        <v>0</v>
      </c>
    </row>
    <row r="24" spans="1:31" ht="15" x14ac:dyDescent="0.2">
      <c r="B24" t="s">
        <v>829</v>
      </c>
      <c r="C24" t="s">
        <v>536</v>
      </c>
      <c r="D24" s="293"/>
      <c r="E24" s="294"/>
      <c r="F24" s="294"/>
      <c r="G24" s="294"/>
      <c r="H24" s="294"/>
      <c r="I24" s="294"/>
      <c r="J24" s="294"/>
      <c r="K24" s="778" t="s">
        <v>830</v>
      </c>
      <c r="L24" s="295">
        <f ca="1">SUM(L13:OFFSET(L24,-1,0))</f>
        <v>2870210</v>
      </c>
      <c r="M24" s="296">
        <f ca="1">SUM(M13:OFFSET(M24,-1,0))</f>
        <v>221743.04</v>
      </c>
      <c r="N24" s="297">
        <f ca="1">SUM(N13:OFFSET(N24,-1,0))</f>
        <v>0</v>
      </c>
      <c r="O24" s="298">
        <f ca="1">SUM(O13:OFFSET(O24,-1,0))</f>
        <v>3091953.04</v>
      </c>
      <c r="R24" s="299"/>
      <c r="T24" s="300"/>
      <c r="U24" s="301"/>
      <c r="V24" s="302"/>
      <c r="W24" s="303"/>
      <c r="X24" s="304"/>
      <c r="Z24" s="87">
        <f ca="1">SUMPRODUCT(ROUND(Z13:OFFSET(Z24,-1,0),2))</f>
        <v>2870210</v>
      </c>
      <c r="AA24" s="87">
        <f ca="1">SUMPRODUCT(ROUND(AA13:OFFSET(AA24,-1,0),2))</f>
        <v>221743.04</v>
      </c>
      <c r="AB24" s="87">
        <f ca="1">SUM(AB13:OFFSET(AB24,-1,0))</f>
        <v>0</v>
      </c>
    </row>
    <row r="25" spans="1:31" x14ac:dyDescent="0.2">
      <c r="B25" t="s">
        <v>831</v>
      </c>
      <c r="C25" t="s">
        <v>536</v>
      </c>
      <c r="D25" s="305"/>
      <c r="E25" s="306"/>
      <c r="F25" s="306"/>
      <c r="G25" s="306"/>
      <c r="H25" s="306"/>
      <c r="I25" s="306"/>
      <c r="J25" s="306"/>
      <c r="K25" s="778"/>
      <c r="L25" s="307">
        <f ca="1">IF(ISERROR(L24/$O24),0,ROUND(L24/$O24,4))</f>
        <v>0.92830000000000001</v>
      </c>
      <c r="M25" s="308">
        <f ca="1">IF(ISERROR(M24/$O24),0,ROUND(M24/$O24,4))</f>
        <v>7.17E-2</v>
      </c>
      <c r="N25" s="309">
        <f ca="1">IF(ISERROR(N24/$O24),0,ROUND(N24/$O24,4))</f>
        <v>0</v>
      </c>
      <c r="O25" s="310">
        <f ca="1">IF(ISERROR(O24/$O24),0,ROUND(O24/$O24,4))</f>
        <v>1</v>
      </c>
      <c r="R25" s="311"/>
      <c r="T25" s="312"/>
      <c r="U25" s="313"/>
      <c r="V25" s="314"/>
      <c r="W25" s="315"/>
      <c r="X25" s="316"/>
    </row>
    <row r="27" spans="1:31" ht="14.25" x14ac:dyDescent="0.2">
      <c r="D27" s="134" t="s">
        <v>689</v>
      </c>
    </row>
    <row r="28" spans="1:31" ht="12.75" customHeight="1" x14ac:dyDescent="0.2">
      <c r="D28" s="690"/>
      <c r="E28" s="690"/>
      <c r="F28" s="690"/>
      <c r="G28" s="690"/>
      <c r="H28" s="690"/>
      <c r="I28" s="690"/>
      <c r="J28" s="690"/>
      <c r="K28" s="690"/>
      <c r="L28" s="690"/>
      <c r="M28" s="690"/>
      <c r="N28" s="690"/>
      <c r="O28" s="690"/>
    </row>
    <row r="29" spans="1:31" ht="12.75" customHeight="1" x14ac:dyDescent="0.2">
      <c r="D29" s="690"/>
      <c r="E29" s="690"/>
      <c r="F29" s="690"/>
      <c r="G29" s="690"/>
      <c r="H29" s="690"/>
      <c r="I29" s="690"/>
      <c r="J29" s="690"/>
      <c r="K29" s="690"/>
      <c r="L29" s="690"/>
      <c r="M29" s="690"/>
      <c r="N29" s="690"/>
      <c r="O29" s="690"/>
    </row>
    <row r="30" spans="1:31" ht="12.75" customHeight="1" x14ac:dyDescent="0.2">
      <c r="D30" s="690"/>
      <c r="E30" s="690"/>
      <c r="F30" s="690"/>
      <c r="G30" s="690"/>
      <c r="H30" s="690"/>
      <c r="I30" s="690"/>
      <c r="J30" s="690"/>
      <c r="K30" s="690"/>
      <c r="L30" s="690"/>
      <c r="M30" s="690"/>
      <c r="N30" s="690"/>
      <c r="O30" s="690"/>
    </row>
    <row r="33" spans="4:12" ht="15" x14ac:dyDescent="0.2">
      <c r="D33" s="692" t="str">
        <f>Import.Município</f>
        <v>Marialva-PR</v>
      </c>
      <c r="E33" s="692"/>
      <c r="F33" s="692"/>
      <c r="I33" s="138"/>
      <c r="J33" s="138"/>
      <c r="K33" s="179"/>
      <c r="L33" s="179"/>
    </row>
    <row r="34" spans="4:12" x14ac:dyDescent="0.2">
      <c r="D34" s="9" t="s">
        <v>693</v>
      </c>
      <c r="I34" s="180" t="s">
        <v>832</v>
      </c>
      <c r="J34" s="180"/>
    </row>
    <row r="35" spans="4:12" x14ac:dyDescent="0.2">
      <c r="I35" s="76" t="str">
        <f>"Nome:" &amp;  " " &amp; DADOS!C28</f>
        <v>Nome: Flávia Cheroni Brita da Silva</v>
      </c>
    </row>
    <row r="36" spans="4:12" x14ac:dyDescent="0.2">
      <c r="D36" s="686">
        <f>DADOS!$C$25</f>
        <v>46295</v>
      </c>
      <c r="E36" s="686"/>
      <c r="F36" s="686"/>
      <c r="I36" s="76" t="str">
        <f>"Cargo:"  &amp; " " &amp; DADOS!C29</f>
        <v>Cargo: Prefeita</v>
      </c>
    </row>
    <row r="37" spans="4:12" x14ac:dyDescent="0.2">
      <c r="D37" s="139" t="s">
        <v>694</v>
      </c>
      <c r="E37" s="1"/>
      <c r="F37" s="1"/>
      <c r="K37" s="76"/>
      <c r="L37" s="77"/>
    </row>
  </sheetData>
  <sheetProtection algorithmName="SHA-512" hashValue="VAzAnoNFIgM1DP6mIIOwbTkCrLzO0Qn7jkSFcSbr8ZACYCngg5dEjgOjJe2JqKWLsNr+0Jfxx8wh6VpU1k3IQg==" saltValue="vXFqoFx9aQFXm6gK2iN13A=="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G12">
    <cfRule type="cellIs" dxfId="91" priority="968" stopIfTrue="1" operator="equal">
      <formula>"(digite a descrição aqui)"</formula>
    </cfRule>
  </conditionalFormatting>
  <conditionalFormatting sqref="G14:G23">
    <cfRule type="cellIs" dxfId="90" priority="4" stopIfTrue="1" operator="equal">
      <formula>"(digite a descrição aqui)"</formula>
    </cfRule>
  </conditionalFormatting>
  <conditionalFormatting sqref="L12">
    <cfRule type="expression" dxfId="89" priority="962" stopIfTrue="1">
      <formula>OR(L12&lt;0,AND(L$13="Contrapartida Financeira (R$)",$B12="T%",OR(L12&lt;Import.CPMinPerc,AND(L12&gt;Import.CPMaxPerc,Import.CPMaxPerc&gt;0))),AND(L$13="Contrapartida Financeira (R$)",$B12="TR$",L12&lt;Import.CPMinAbsoluta))</formula>
    </cfRule>
  </conditionalFormatting>
  <conditionalFormatting sqref="L14:L23">
    <cfRule type="expression" dxfId="88" priority="2" stopIfTrue="1">
      <formula>OR(L14&lt;0,AND(L$13="Contrapartida Financeira (R$)",$B14="T%",OR(L14&lt;Import.CPMinPerc,AND(L14&gt;Import.CPMaxPerc,Import.CPMaxPerc&gt;0))),AND(L$13="Contrapartida Financeira (R$)",$B14="TR$",L14&lt;Import.CPMinAbsoluta))</formula>
    </cfRule>
  </conditionalFormatting>
  <conditionalFormatting sqref="L10:M10">
    <cfRule type="cellIs" dxfId="87" priority="967" stopIfTrue="1" operator="lessThan">
      <formula>0</formula>
    </cfRule>
  </conditionalFormatting>
  <conditionalFormatting sqref="M24">
    <cfRule type="expression" dxfId="86" priority="966" stopIfTrue="1">
      <formula>AND($G$9&lt;&gt;"",$M$24&lt;Import.CPMinAbsoluta)</formula>
    </cfRule>
  </conditionalFormatting>
  <conditionalFormatting sqref="M25">
    <cfRule type="expression" dxfId="85" priority="965" stopIfTrue="1">
      <formula>AND($G$9&lt;&gt;"",OR($M$25&lt;Import.CPMinPerc,$M$25&gt;Import.CPMaxPerc))</formula>
    </cfRule>
  </conditionalFormatting>
  <conditionalFormatting sqref="T12:V12">
    <cfRule type="expression" dxfId="84" priority="961" stopIfTrue="1">
      <formula>OR($B12="Automático",$B12="Branco")</formula>
    </cfRule>
  </conditionalFormatting>
  <conditionalFormatting sqref="T14:V23">
    <cfRule type="expression" dxfId="83" priority="1" stopIfTrue="1">
      <formula>OR($B14="Automático",$B14="Branco")</formula>
    </cfRule>
  </conditionalFormatting>
  <conditionalFormatting sqref="W12:X12">
    <cfRule type="expression" dxfId="82" priority="963" stopIfTrue="1">
      <formula>OR($B12="Automático",$B12="Branco",$V12&lt;&gt;"Calculado")</formula>
    </cfRule>
  </conditionalFormatting>
  <conditionalFormatting sqref="W14:X23">
    <cfRule type="expression" dxfId="81" priority="3" stopIfTrue="1">
      <formula>OR($B14="Automático",$B14="Branco",$V14&lt;&gt;"Calculado")</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7"/>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6" t="e">
        <f ca="1">OFFSET(B1,-1,0)+1</f>
        <v>#REF!</v>
      </c>
      <c r="C1" s="791" t="e">
        <f ca="1">IF(AUTOEVENTO="Manual",OFFSET(EVENTOS!$D$15,$B1-$B$15,0),IF(B1&lt;=MAX(CÁLCULO!$M$15:$M$35),VLOOKUP($B1,CÁLCULO!$M$15:$N$35,2,FALSE),0))</f>
        <v>#REF!</v>
      </c>
      <c r="D1" s="791"/>
      <c r="F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row>
    <row r="2" spans="1:33" ht="16.5" hidden="1" customHeight="1" x14ac:dyDescent="0.2">
      <c r="A2" s="7"/>
      <c r="B2" s="7"/>
      <c r="C2" s="12"/>
      <c r="D2" s="12"/>
      <c r="F2" s="437"/>
    </row>
    <row r="3" spans="1:33" ht="15.75" x14ac:dyDescent="0.25">
      <c r="H3" s="205" t="s">
        <v>833</v>
      </c>
      <c r="AD3" s="719" t="s">
        <v>644</v>
      </c>
      <c r="AE3" s="719"/>
      <c r="AF3" s="719"/>
    </row>
    <row r="4" spans="1:33" ht="15.75" x14ac:dyDescent="0.2">
      <c r="B4" s="81"/>
      <c r="C4" s="81"/>
      <c r="H4" s="82" t="str">
        <f>import.recurso</f>
        <v>OGU</v>
      </c>
      <c r="AD4" s="720" t="s">
        <v>647</v>
      </c>
      <c r="AE4" s="720"/>
      <c r="AF4" s="720"/>
    </row>
    <row r="6" spans="1:33" x14ac:dyDescent="0.2">
      <c r="B6" s="207" t="s">
        <v>650</v>
      </c>
      <c r="C6" s="262"/>
      <c r="D6" s="209" t="s">
        <v>707</v>
      </c>
      <c r="E6" s="4"/>
      <c r="H6" s="210" t="s">
        <v>788</v>
      </c>
      <c r="I6" s="185"/>
      <c r="J6" s="185"/>
      <c r="K6" s="185"/>
      <c r="L6" s="184"/>
      <c r="M6" s="184"/>
      <c r="N6" s="263"/>
      <c r="O6" s="207" t="s">
        <v>758</v>
      </c>
      <c r="P6" s="211"/>
      <c r="R6" s="185"/>
      <c r="S6" s="185"/>
      <c r="T6" s="185"/>
      <c r="U6" s="208"/>
      <c r="V6" s="207" t="str" cm="1">
        <f t="array" ref="V6">IF(TIPOORCAMENTO="Licitado","NOME DA EMPRESA","DESCRIÇÃO DO LOTE")</f>
        <v>DESCRIÇÃO DO LOTE</v>
      </c>
      <c r="W6" s="185"/>
      <c r="X6" s="185"/>
      <c r="Y6" s="185"/>
      <c r="AD6" s="4"/>
      <c r="AE6" s="796" t="str" cm="1">
        <f t="array" ref="AE6">IF(TIPOORCAMENTO="Licitado","Nº CTEF","")</f>
        <v/>
      </c>
      <c r="AF6" s="796"/>
    </row>
    <row r="7" spans="1:33" x14ac:dyDescent="0.2">
      <c r="B7" s="765" t="str">
        <f>Import.CR</f>
        <v>1091265-71</v>
      </c>
      <c r="C7" s="765"/>
      <c r="D7" s="213" t="str">
        <f>Import.TransfereGOV</f>
        <v>060795/2023</v>
      </c>
      <c r="E7" s="41"/>
      <c r="H7" s="764" t="str">
        <f>Import.Proponente</f>
        <v>PREFEITURA MUNICIPAL DE MARIALVA</v>
      </c>
      <c r="I7" s="764"/>
      <c r="J7" s="764"/>
      <c r="K7" s="764"/>
      <c r="L7" s="764"/>
      <c r="M7" s="764"/>
      <c r="N7" s="764"/>
      <c r="O7" s="765" t="str">
        <f>Import.Apelido</f>
        <v>RECAPEAMENTO ASFÁLTICO</v>
      </c>
      <c r="P7" s="765"/>
      <c r="Q7" s="765"/>
      <c r="R7" s="765"/>
      <c r="S7" s="765"/>
      <c r="T7" s="765"/>
      <c r="U7" s="765"/>
      <c r="V7" s="765" t="str" cm="1">
        <f t="array" ref="V7">IF(TIPOORCAMENTO="Licitado",Import.empresa,Import.DescLote)</f>
        <v>RECAPEAMENTO ASFÁLTICO DE VIAS PÚBLICAS NO MÚNICIPIO DE MARIALVA/PR</v>
      </c>
      <c r="W7" s="765"/>
      <c r="X7" s="765"/>
      <c r="Y7" s="765"/>
      <c r="Z7" s="765"/>
      <c r="AA7" s="765"/>
      <c r="AB7" s="765"/>
      <c r="AC7" s="765"/>
      <c r="AD7" s="765"/>
      <c r="AE7" s="797" t="str" cm="1">
        <f t="array" ref="AE7">IF(TIPOORCAMENTO="Licitado",Import.CTEF,"")</f>
        <v/>
      </c>
      <c r="AF7" s="797"/>
      <c r="AG7" s="264"/>
    </row>
    <row r="9" spans="1:33" ht="15.75" x14ac:dyDescent="0.25">
      <c r="A9" s="164">
        <v>0</v>
      </c>
      <c r="B9" s="265"/>
      <c r="C9" s="265"/>
      <c r="I9" s="266" t="s">
        <v>834</v>
      </c>
      <c r="J9" s="799">
        <v>1</v>
      </c>
      <c r="K9" s="799"/>
      <c r="M9" s="266" t="s">
        <v>799</v>
      </c>
      <c r="N9" s="800" t="str">
        <f ca="1">TEXT(IF(PLE.Medicao=1,Import.DataInicioObra,OFFSET($H$23,0,1+(PLE.Medicao-$I$24)*2-2)+1),"dd/mm/aaaa")&amp;" a "&amp;TEXT(OFFSET($H$23,0,1+(PLE.Medicao-$I$24)*2),"dd/mm/aaaa")</f>
        <v>00/01/1900 a 00/01/1900</v>
      </c>
      <c r="O9" s="800"/>
      <c r="P9" s="800"/>
      <c r="Q9" s="800"/>
      <c r="R9" s="800"/>
      <c r="S9" s="800"/>
      <c r="T9" s="800"/>
      <c r="U9" s="267"/>
      <c r="X9" s="266" t="s">
        <v>835</v>
      </c>
      <c r="Y9" s="798">
        <f ca="1">OFFSET($I$24,1+8*(ROUNDUP(($J$9-0)/((COLUMN($AG$14)-COLUMN($G$14)-1)/25*12),0)-1),ROUNDDOWN((($J$9-0)-OFFSET($I$24,8*(ROUNDUP(($J$9-0)/((COLUMN($AG$14)-COLUMN($G$14)-1)/25*12),0)-1),0))*(2+1/12),0))</f>
        <v>0</v>
      </c>
      <c r="Z9" s="798"/>
      <c r="AD9" s="266" t="s">
        <v>836</v>
      </c>
      <c r="AE9" s="798">
        <f ca="1">OFFSET($I$24,3+8*(ROUNDUP(($J$9-0)/((COLUMN($AG$14)-COLUMN($G$14)-1)/25*12),0)-1),ROUNDDOWN((($J$9-0)-OFFSET($I$24,8*(ROUNDUP(($J$9-0)/((COLUMN($AG$14)-COLUMN($G$14)-1)/25*12),0)-1),0))*(2+1/12),0))</f>
        <v>0</v>
      </c>
      <c r="AF9" s="798"/>
    </row>
    <row r="11" spans="1:33" ht="65.25" customHeight="1" x14ac:dyDescent="0.2">
      <c r="A11" s="249"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IF($H$23&lt;&gt;"",UPPER($H$23),
 IF($S$32&lt;&gt;"",UPPER($S$32),""))))))</f>
        <v>ALTERE O TIPO DE ORÇAMENTO NA ABA 'MENU' PARA LICITADO.</v>
      </c>
      <c r="D11" s="792"/>
      <c r="F11" s="251" t="str" cm="1">
        <f t="array" aca="1" ref="F11" ca="1">IF(F$12&gt;CÁLCULO.NúmeroDeFrentes,"",OFFSET(CÁLCULO!$P$12,0,F$12))</f>
        <v>Rua João M. Tosta Sobrinho Trecho 1</v>
      </c>
      <c r="H11" s="251" t="str" cm="1">
        <f t="array" aca="1" ref="H11" ca="1">IF(H$12&gt;CÁLCULO.NúmeroDeFrentes,"",OFFSET(CÁLCULO!$P$12,0,H$12))</f>
        <v>Rua João M. Tosta Sobrinho Trecho 1</v>
      </c>
      <c r="I11" s="251" t="str" cm="1">
        <f t="array" aca="1" ref="I11" ca="1">IF(I$12&gt;CÁLCULO.NúmeroDeFrentes,"",OFFSET(CÁLCULO!$P$12,0,I$12))</f>
        <v>Rua João M. Tosta Sobrinho Trecho 2</v>
      </c>
      <c r="J11" s="251" t="str" cm="1">
        <f t="array" aca="1" ref="J11" ca="1">IF(J$12&gt;CÁLCULO.NúmeroDeFrentes,"",OFFSET(CÁLCULO!$P$12,0,J$12))</f>
        <v>Av Eneas Modesto de Oliveira</v>
      </c>
      <c r="K11" s="251" t="str" cm="1">
        <f t="array" aca="1" ref="K11" ca="1">IF(K$12&gt;CÁLCULO.NúmeroDeFrentes,"",OFFSET(CÁLCULO!$P$12,0,K$12))</f>
        <v>Travessa Castelo Branco</v>
      </c>
      <c r="L11" s="251" t="str" cm="1">
        <f t="array" aca="1" ref="L11" ca="1">IF(L$12&gt;CÁLCULO.NúmeroDeFrentes,"",OFFSET(CÁLCULO!$P$12,0,L$12))</f>
        <v>Travessa Salto Osório</v>
      </c>
      <c r="M11" s="251" t="str" cm="1">
        <f t="array" aca="1" ref="M11" ca="1">IF(M$12&gt;CÁLCULO.NúmeroDeFrentes,"",OFFSET(CÁLCULO!$P$12,0,M$12))</f>
        <v>Rua José Cividanes</v>
      </c>
      <c r="N11" s="251" t="str" cm="1">
        <f t="array" aca="1" ref="N11" ca="1">IF(N$12&gt;CÁLCULO.NúmeroDeFrentes,"",OFFSET(CÁLCULO!$P$12,0,N$12))</f>
        <v>Rua Prosperina Guimarães da Silva</v>
      </c>
      <c r="O11" s="251" t="str" cm="1">
        <f t="array" aca="1" ref="O11" ca="1">IF(O$12&gt;CÁLCULO.NúmeroDeFrentes,"",OFFSET(CÁLCULO!$P$12,0,O$12))</f>
        <v>Av Padre Theo Hermann</v>
      </c>
      <c r="P11" s="251" t="str" cm="1">
        <f t="array" aca="1" ref="P11" ca="1">IF(P$12&gt;CÁLCULO.NúmeroDeFrentes,"",OFFSET(CÁLCULO!$P$12,0,P$12))</f>
        <v>Rua Dionisio Hernandes</v>
      </c>
      <c r="Q11" s="251" t="str" cm="1">
        <f t="array" aca="1" ref="Q11" ca="1">IF(Q$12&gt;CÁLCULO.NúmeroDeFrentes,"",OFFSET(CÁLCULO!$P$12,0,Q$12))</f>
        <v>Rua Luiz Pierini</v>
      </c>
      <c r="R11" s="251" t="str" cm="1">
        <f t="array" aca="1" ref="R11" ca="1">IF(R$12&gt;CÁLCULO.NúmeroDeFrentes,"",OFFSET(CÁLCULO!$P$12,0,R$12))</f>
        <v>Rua Joinville</v>
      </c>
      <c r="S11" s="251" t="str" cm="1">
        <f t="array" aca="1" ref="S11" ca="1">IF(S$12&gt;CÁLCULO.NúmeroDeFrentes,"",OFFSET(CÁLCULO!$P$12,0,S$12))</f>
        <v>Rua Kei Hamada</v>
      </c>
      <c r="T11" s="251" t="str" cm="1">
        <f t="array" aca="1" ref="T11" ca="1">IF(T$12&gt;CÁLCULO.NúmeroDeFrentes,"",OFFSET(CÁLCULO!$P$12,0,T$12))</f>
        <v>Rua João Morais da Silva</v>
      </c>
      <c r="U11" s="251" cm="1">
        <f t="array" aca="1" ref="U11" ca="1">IF(U$12&gt;CÁLCULO.NúmeroDeFrentes,"",OFFSET(CÁLCULO!$P$12,0,U$12))</f>
        <v>0</v>
      </c>
      <c r="V11" s="251" cm="1">
        <f t="array" aca="1" ref="V11" ca="1">IF(V$12&gt;CÁLCULO.NúmeroDeFrentes,"",OFFSET(CÁLCULO!$P$12,0,V$12))</f>
        <v>0</v>
      </c>
      <c r="W11" s="251" cm="1">
        <f t="array" aca="1" ref="W11" ca="1">IF(W$12&gt;CÁLCULO.NúmeroDeFrentes,"",OFFSET(CÁLCULO!$P$12,0,W$12))</f>
        <v>0</v>
      </c>
      <c r="X11" s="251" cm="1">
        <f t="array" aca="1" ref="X11" ca="1">IF(X$12&gt;CÁLCULO.NúmeroDeFrentes,"",OFFSET(CÁLCULO!$P$12,0,X$12))</f>
        <v>0</v>
      </c>
      <c r="Y11" s="251" cm="1">
        <f t="array" aca="1" ref="Y11" ca="1">IF(Y$12&gt;CÁLCULO.NúmeroDeFrentes,"",OFFSET(CÁLCULO!$P$12,0,Y$12))</f>
        <v>0</v>
      </c>
      <c r="Z11" s="251" t="str" cm="1">
        <f t="array" aca="1" ref="Z11" ca="1">IF(Z$12&gt;CÁLCULO.NúmeroDeFrentes,"",OFFSET(CÁLCULO!$P$12,0,Z$12))</f>
        <v/>
      </c>
      <c r="AA11" s="251" t="str" cm="1">
        <f t="array" aca="1" ref="AA11" ca="1">IF(AA$12&gt;CÁLCULO.NúmeroDeFrentes,"",OFFSET(CÁLCULO!$P$12,0,AA$12))</f>
        <v/>
      </c>
      <c r="AB11" s="251" t="str" cm="1">
        <f t="array" aca="1" ref="AB11" ca="1">IF(AB$12&gt;CÁLCULO.NúmeroDeFrentes,"",OFFSET(CÁLCULO!$P$12,0,AB$12))</f>
        <v/>
      </c>
      <c r="AC11" s="251" t="str" cm="1">
        <f t="array" aca="1" ref="AC11" ca="1">IF(AC$12&gt;CÁLCULO.NúmeroDeFrentes,"",OFFSET(CÁLCULO!$P$12,0,AC$12))</f>
        <v/>
      </c>
      <c r="AD11" s="251" t="str" cm="1">
        <f t="array" aca="1" ref="AD11" ca="1">IF(AD$12&gt;CÁLCULO.NúmeroDeFrentes,"",OFFSET(CÁLCULO!$P$12,0,AD$12))</f>
        <v/>
      </c>
      <c r="AE11" s="251" t="str" cm="1">
        <f t="array" aca="1" ref="AE11" ca="1">IF(AE$12&gt;CÁLCULO.NúmeroDeFrentes,"",OFFSET(CÁLCULO!$P$12,0,AE$12))</f>
        <v/>
      </c>
      <c r="AF11" s="251" t="str" cm="1">
        <f t="array" aca="1" ref="AF11" ca="1">IF(AF$12&gt;CÁLCULO.NúmeroDeFrentes,"",OFFSET(CÁLCULO!$P$12,0,AF$12))</f>
        <v/>
      </c>
    </row>
    <row r="12" spans="1:33" ht="12.75" customHeight="1" x14ac:dyDescent="0.2">
      <c r="A12" s="105" t="s">
        <v>660</v>
      </c>
      <c r="B12" s="756" t="s">
        <v>760</v>
      </c>
      <c r="C12" s="756" t="s">
        <v>778</v>
      </c>
      <c r="D12" s="756"/>
      <c r="F12" s="252">
        <f ca="1">OFFSET(F12,0,-1)+1</f>
        <v>1</v>
      </c>
      <c r="H12" s="252">
        <f ca="1">OFFSET(H12,0,-1)+1</f>
        <v>1</v>
      </c>
      <c r="I12" s="252">
        <f ca="1">OFFSET(I12,0,-1)+1</f>
        <v>2</v>
      </c>
      <c r="J12" s="252">
        <f t="shared" ref="J12:AF12" ca="1" si="0">OFFSET(J12,0,-1)+1</f>
        <v>3</v>
      </c>
      <c r="K12" s="252">
        <f t="shared" ca="1" si="0"/>
        <v>4</v>
      </c>
      <c r="L12" s="252">
        <f t="shared" ca="1" si="0"/>
        <v>5</v>
      </c>
      <c r="M12" s="252">
        <f t="shared" ca="1" si="0"/>
        <v>6</v>
      </c>
      <c r="N12" s="252">
        <f t="shared" ca="1" si="0"/>
        <v>7</v>
      </c>
      <c r="O12" s="252">
        <f t="shared" ca="1" si="0"/>
        <v>8</v>
      </c>
      <c r="P12" s="252">
        <f t="shared" ca="1" si="0"/>
        <v>9</v>
      </c>
      <c r="Q12" s="252">
        <f t="shared" ca="1" si="0"/>
        <v>10</v>
      </c>
      <c r="R12" s="252">
        <f t="shared" ca="1" si="0"/>
        <v>11</v>
      </c>
      <c r="S12" s="252">
        <f t="shared" ca="1" si="0"/>
        <v>12</v>
      </c>
      <c r="T12" s="252">
        <f t="shared" ca="1" si="0"/>
        <v>13</v>
      </c>
      <c r="U12" s="252">
        <f t="shared" ca="1" si="0"/>
        <v>14</v>
      </c>
      <c r="V12" s="252">
        <f t="shared" ca="1" si="0"/>
        <v>15</v>
      </c>
      <c r="W12" s="252">
        <f t="shared" ca="1" si="0"/>
        <v>16</v>
      </c>
      <c r="X12" s="252">
        <f t="shared" ca="1" si="0"/>
        <v>17</v>
      </c>
      <c r="Y12" s="252">
        <f t="shared" ca="1" si="0"/>
        <v>18</v>
      </c>
      <c r="Z12" s="252">
        <f t="shared" ca="1" si="0"/>
        <v>19</v>
      </c>
      <c r="AA12" s="252">
        <f t="shared" ca="1" si="0"/>
        <v>20</v>
      </c>
      <c r="AB12" s="252">
        <f t="shared" ca="1" si="0"/>
        <v>21</v>
      </c>
      <c r="AC12" s="252">
        <f t="shared" ca="1" si="0"/>
        <v>22</v>
      </c>
      <c r="AD12" s="252">
        <f t="shared" ca="1" si="0"/>
        <v>23</v>
      </c>
      <c r="AE12" s="252">
        <f t="shared" ca="1" si="0"/>
        <v>24</v>
      </c>
      <c r="AF12" s="252">
        <f t="shared" ca="1" si="0"/>
        <v>25</v>
      </c>
    </row>
    <row r="13" spans="1:33" x14ac:dyDescent="0.2">
      <c r="B13" s="756"/>
      <c r="C13" s="756"/>
      <c r="D13" s="756"/>
      <c r="F13" s="254"/>
      <c r="H13" s="254"/>
      <c r="I13" s="253"/>
      <c r="J13" s="253"/>
      <c r="K13" s="253"/>
      <c r="L13" s="253"/>
      <c r="M13" s="253"/>
      <c r="N13" s="253" t="s">
        <v>838</v>
      </c>
      <c r="O13" s="253"/>
      <c r="P13" s="253"/>
      <c r="Q13" s="253"/>
      <c r="R13" s="253"/>
      <c r="S13" s="253"/>
      <c r="T13" s="253"/>
      <c r="U13" s="253"/>
      <c r="V13" s="253"/>
      <c r="W13" s="253"/>
      <c r="X13" s="253"/>
      <c r="Y13" s="253"/>
      <c r="Z13" s="253"/>
      <c r="AA13" s="253"/>
      <c r="AB13" s="253"/>
      <c r="AC13" s="253"/>
      <c r="AD13" s="253"/>
      <c r="AE13" s="253"/>
      <c r="AF13" s="255"/>
    </row>
    <row r="14" spans="1:33" ht="3.95" customHeight="1" x14ac:dyDescent="0.2">
      <c r="A14" s="7" t="s">
        <v>536</v>
      </c>
    </row>
    <row r="15" spans="1:33" x14ac:dyDescent="0.2">
      <c r="A15" s="7" t="str">
        <f>IF(B15=0,"","F")</f>
        <v/>
      </c>
      <c r="B15" s="256">
        <f>EVENTOS!$C$15</f>
        <v>0</v>
      </c>
      <c r="C15" s="802" t="str">
        <f>EVENTOS!$D$15</f>
        <v/>
      </c>
      <c r="D15" s="802"/>
      <c r="F15" s="259"/>
      <c r="H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60"/>
    </row>
    <row r="16" spans="1:33" ht="19.5" customHeight="1" x14ac:dyDescent="0.2">
      <c r="A16" s="7" t="str">
        <f t="shared" ref="A16:A19" ca="1" si="1">IF(C16=0,"","F")</f>
        <v>F</v>
      </c>
      <c r="B16" s="246">
        <f t="shared" ref="B16:B19" ca="1" si="2">OFFSET(B16,-1,0)+1</f>
        <v>1</v>
      </c>
      <c r="C16" s="791" t="str">
        <f ca="1">IF(AUTOEVENTO="Manual",OFFSET(EVENTOS!$D$15,$B16-$B$15,0),IF(B16&lt;=MAX(CÁLCULO!$M$15:$M$35),VLOOKUP($B16,CÁLCULO!$M$15:$N$35,2,FALSE),0))</f>
        <v>Serviços preliminares</v>
      </c>
      <c r="D16" s="791"/>
      <c r="F16" s="247"/>
      <c r="H16" s="247"/>
      <c r="I16" s="247"/>
      <c r="J16" s="247"/>
      <c r="K16" s="247"/>
      <c r="L16" s="247"/>
      <c r="M16" s="247"/>
      <c r="N16" s="247"/>
      <c r="O16" s="247"/>
      <c r="P16" s="247"/>
      <c r="Q16" s="247"/>
      <c r="R16" s="247"/>
      <c r="S16" s="247"/>
      <c r="T16" s="247"/>
      <c r="U16" s="247"/>
      <c r="V16" s="247"/>
      <c r="W16" s="247"/>
      <c r="X16" s="247"/>
      <c r="Y16" s="247"/>
      <c r="Z16" s="247"/>
      <c r="AA16" s="247"/>
      <c r="AB16" s="247"/>
      <c r="AC16" s="247"/>
      <c r="AD16" s="247"/>
      <c r="AE16" s="247"/>
      <c r="AF16" s="247"/>
    </row>
    <row r="17" spans="1:32" ht="19.5" customHeight="1" x14ac:dyDescent="0.2">
      <c r="A17" s="7" t="str">
        <f t="shared" ca="1" si="1"/>
        <v>F</v>
      </c>
      <c r="B17" s="246">
        <f t="shared" ca="1" si="2"/>
        <v>2</v>
      </c>
      <c r="C17" s="791" t="str">
        <f ca="1">IF(AUTOEVENTO="Manual",OFFSET(EVENTOS!$D$15,$B17-$B$15,0),IF(B17&lt;=MAX(CÁLCULO!$M$15:$M$35),VLOOKUP($B17,CÁLCULO!$M$15:$N$35,2,FALSE),0))</f>
        <v>Base/Sub Base</v>
      </c>
      <c r="D17" s="791"/>
      <c r="F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row>
    <row r="18" spans="1:32" ht="19.5" customHeight="1" x14ac:dyDescent="0.2">
      <c r="A18" s="7" t="str">
        <f t="shared" ca="1" si="1"/>
        <v>F</v>
      </c>
      <c r="B18" s="246">
        <f t="shared" ca="1" si="2"/>
        <v>3</v>
      </c>
      <c r="C18" s="791" t="str">
        <f ca="1">IF(AUTOEVENTO="Manual",OFFSET(EVENTOS!$D$15,$B18-$B$15,0),IF(B18&lt;=MAX(CÁLCULO!$M$15:$M$35),VLOOKUP($B18,CÁLCULO!$M$15:$N$35,2,FALSE),0))</f>
        <v>Revestimento</v>
      </c>
      <c r="D18" s="791"/>
      <c r="F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row>
    <row r="19" spans="1:32" ht="19.5" customHeight="1" x14ac:dyDescent="0.2">
      <c r="A19" s="7" t="str">
        <f t="shared" ca="1" si="1"/>
        <v>F</v>
      </c>
      <c r="B19" s="246">
        <f t="shared" ca="1" si="2"/>
        <v>4</v>
      </c>
      <c r="C19" s="791" t="str">
        <f ca="1">IF(AUTOEVENTO="Manual",OFFSET(EVENTOS!$D$15,$B19-$B$15,0),IF(B19&lt;=MAX(CÁLCULO!$M$15:$M$35),VLOOKUP($B19,CÁLCULO!$M$15:$N$35,2,FALSE),0))</f>
        <v>Sinalização</v>
      </c>
      <c r="D19" s="791"/>
      <c r="F19" s="247"/>
      <c r="H19" s="247"/>
      <c r="I19" s="247"/>
      <c r="J19" s="247"/>
      <c r="K19" s="247"/>
      <c r="L19" s="247"/>
      <c r="M19" s="247"/>
      <c r="N19" s="247"/>
      <c r="O19" s="247"/>
      <c r="P19" s="247"/>
      <c r="Q19" s="247"/>
      <c r="R19" s="247"/>
      <c r="S19" s="247"/>
      <c r="T19" s="247"/>
      <c r="U19" s="247"/>
      <c r="V19" s="247"/>
      <c r="W19" s="247"/>
      <c r="X19" s="247"/>
      <c r="Y19" s="247"/>
      <c r="Z19" s="247"/>
      <c r="AA19" s="247"/>
      <c r="AB19" s="247"/>
      <c r="AC19" s="247"/>
      <c r="AD19" s="247"/>
      <c r="AE19" s="247"/>
      <c r="AF19" s="247"/>
    </row>
    <row r="20" spans="1:32" ht="4.5" customHeight="1" x14ac:dyDescent="0.2">
      <c r="A20" s="7" t="s">
        <v>536</v>
      </c>
      <c r="B20" s="617"/>
      <c r="C20" s="618"/>
      <c r="D20" s="418"/>
      <c r="F20" s="635"/>
      <c r="H20" s="617"/>
      <c r="I20" s="618"/>
      <c r="J20" s="618"/>
      <c r="K20" s="618"/>
      <c r="L20" s="618"/>
      <c r="M20" s="618"/>
      <c r="N20" s="618"/>
      <c r="O20" s="618"/>
      <c r="P20" s="618"/>
      <c r="Q20" s="618"/>
      <c r="R20" s="618"/>
      <c r="S20" s="618"/>
      <c r="T20" s="618"/>
      <c r="U20" s="618"/>
      <c r="V20" s="618"/>
      <c r="W20" s="618"/>
      <c r="X20" s="618"/>
      <c r="Y20" s="618"/>
      <c r="Z20" s="618"/>
      <c r="AA20" s="618"/>
      <c r="AB20" s="618"/>
      <c r="AC20" s="618"/>
      <c r="AD20" s="618"/>
      <c r="AE20" s="618"/>
      <c r="AF20" s="418"/>
    </row>
    <row r="21" spans="1:32" x14ac:dyDescent="0.2">
      <c r="A21" s="7" t="s">
        <v>536</v>
      </c>
    </row>
    <row r="22" spans="1:32" x14ac:dyDescent="0.2">
      <c r="A22" s="7" t="s">
        <v>536</v>
      </c>
      <c r="I22" s="803" t="s">
        <v>839</v>
      </c>
      <c r="J22" s="803"/>
      <c r="K22" s="803"/>
      <c r="L22" s="803"/>
      <c r="M22" s="803"/>
      <c r="N22" s="803"/>
      <c r="O22" s="803"/>
      <c r="P22" s="803"/>
      <c r="Q22" s="803"/>
      <c r="R22" s="803"/>
      <c r="S22" s="803"/>
      <c r="T22" s="803"/>
      <c r="U22" s="803"/>
      <c r="V22" s="803"/>
      <c r="W22" s="803"/>
      <c r="X22" s="803"/>
      <c r="Y22" s="803"/>
      <c r="Z22" s="803"/>
      <c r="AA22" s="803"/>
      <c r="AB22" s="803"/>
      <c r="AC22" s="803"/>
      <c r="AD22" s="803"/>
      <c r="AE22" s="803"/>
      <c r="AF22" s="803"/>
    </row>
    <row r="23" spans="1:32" x14ac:dyDescent="0.2">
      <c r="A23" s="7" t="s">
        <v>536</v>
      </c>
      <c r="H23" s="582" t="str">
        <f>IF(INDEX($I$23:$AG$23,MATCH(PLE.Medicao,$I$24:$AG$24,0))="","Preencher a data da medição "&amp;PLE.Medicao,"")</f>
        <v>Preencher a data da medição 1</v>
      </c>
      <c r="I23" s="794"/>
      <c r="J23" s="790"/>
      <c r="K23" s="790"/>
      <c r="L23" s="790"/>
      <c r="M23" s="790"/>
      <c r="N23" s="790"/>
      <c r="O23" s="790"/>
      <c r="P23" s="790"/>
      <c r="Q23" s="790"/>
      <c r="R23" s="790"/>
      <c r="S23" s="790"/>
      <c r="T23" s="790"/>
      <c r="U23" s="790"/>
      <c r="V23" s="790"/>
      <c r="W23" s="790"/>
      <c r="X23" s="790"/>
      <c r="Y23" s="790"/>
      <c r="Z23" s="790"/>
      <c r="AA23" s="790"/>
      <c r="AB23" s="790"/>
      <c r="AC23" s="790"/>
      <c r="AD23" s="790"/>
      <c r="AE23" s="790"/>
      <c r="AF23" s="804"/>
    </row>
    <row r="24" spans="1:32" x14ac:dyDescent="0.2">
      <c r="A24" s="7" t="s">
        <v>536</v>
      </c>
      <c r="D24" s="268" t="s">
        <v>840</v>
      </c>
      <c r="I24" s="793">
        <f>IF(PLE.Medicao&lt;=12,1,TRUNC((PLE.Medicao - 2)/11,0) * 11 + 1)</f>
        <v>1</v>
      </c>
      <c r="J24" s="793"/>
      <c r="K24" s="793">
        <f>I24+1</f>
        <v>2</v>
      </c>
      <c r="L24" s="793"/>
      <c r="M24" s="793">
        <f>K24+1</f>
        <v>3</v>
      </c>
      <c r="N24" s="793"/>
      <c r="O24" s="793">
        <f>M24+1</f>
        <v>4</v>
      </c>
      <c r="P24" s="793"/>
      <c r="Q24" s="793">
        <f>O24+1</f>
        <v>5</v>
      </c>
      <c r="R24" s="793"/>
      <c r="S24" s="793">
        <f>Q24+1</f>
        <v>6</v>
      </c>
      <c r="T24" s="793"/>
      <c r="U24" s="793">
        <f>S24+1</f>
        <v>7</v>
      </c>
      <c r="V24" s="793"/>
      <c r="W24" s="793">
        <f>U24+1</f>
        <v>8</v>
      </c>
      <c r="X24" s="793"/>
      <c r="Y24" s="793">
        <f>W24+1</f>
        <v>9</v>
      </c>
      <c r="Z24" s="793"/>
      <c r="AA24" s="793">
        <f>Y24+1</f>
        <v>10</v>
      </c>
      <c r="AB24" s="793"/>
      <c r="AC24" s="793">
        <f>AA24+1</f>
        <v>11</v>
      </c>
      <c r="AD24" s="793"/>
      <c r="AE24" s="793">
        <f>AC24+1</f>
        <v>12</v>
      </c>
      <c r="AF24" s="793"/>
    </row>
    <row r="25" spans="1:32" x14ac:dyDescent="0.2">
      <c r="A25" s="7" t="s">
        <v>536</v>
      </c>
      <c r="D25" s="784" t="s">
        <v>799</v>
      </c>
      <c r="H25" s="269" t="s">
        <v>781</v>
      </c>
      <c r="I25" s="795">
        <f ca="1">ROUND(I26,2)/ORÇAMENTO!$X$15</f>
        <v>0</v>
      </c>
      <c r="J25" s="795"/>
      <c r="K25" s="801">
        <f ca="1">ROUND(K26,2)/ORÇAMENTO!$X$15</f>
        <v>0</v>
      </c>
      <c r="L25" s="801"/>
      <c r="M25" s="801">
        <f ca="1">ROUND(M26,2)/ORÇAMENTO!$X$15</f>
        <v>0</v>
      </c>
      <c r="N25" s="801"/>
      <c r="O25" s="801">
        <f ca="1">ROUND(O26,2)/ORÇAMENTO!$X$15</f>
        <v>0</v>
      </c>
      <c r="P25" s="801"/>
      <c r="Q25" s="801">
        <f ca="1">ROUND(Q26,2)/ORÇAMENTO!$X$15</f>
        <v>0</v>
      </c>
      <c r="R25" s="801"/>
      <c r="S25" s="801">
        <f ca="1">ROUND(S26,2)/ORÇAMENTO!$X$15</f>
        <v>0</v>
      </c>
      <c r="T25" s="801"/>
      <c r="U25" s="801">
        <f ca="1">ROUND(U26,2)/ORÇAMENTO!$X$15</f>
        <v>0</v>
      </c>
      <c r="V25" s="801"/>
      <c r="W25" s="801">
        <f ca="1">ROUND(W26,2)/ORÇAMENTO!$X$15</f>
        <v>0</v>
      </c>
      <c r="X25" s="801"/>
      <c r="Y25" s="801">
        <f ca="1">ROUND(Y26,2)/ORÇAMENTO!$X$15</f>
        <v>0</v>
      </c>
      <c r="Z25" s="801"/>
      <c r="AA25" s="801">
        <f ca="1">ROUND(AA26,2)/ORÇAMENTO!$X$15</f>
        <v>0</v>
      </c>
      <c r="AB25" s="801"/>
      <c r="AC25" s="801">
        <f ca="1">ROUND(AC26,2)/ORÇAMENTO!$X$15</f>
        <v>0</v>
      </c>
      <c r="AD25" s="801"/>
      <c r="AE25" s="801">
        <f ca="1">ROUND(AE26,2)/ORÇAMENTO!$X$15</f>
        <v>0</v>
      </c>
      <c r="AF25" s="801"/>
    </row>
    <row r="26" spans="1:32" x14ac:dyDescent="0.2">
      <c r="A26" s="7" t="s">
        <v>536</v>
      </c>
      <c r="D26" s="784"/>
      <c r="H26" s="11" t="s">
        <v>782</v>
      </c>
      <c r="I26" s="786" cm="1">
        <f t="array" aca="1" ref="I26" ca="1">IF(I24=1,I28,ROUND(I28,2)-ROUND(SUMIF(CÁLCULO!$BV$15:$CN$35,"&lt;="&amp;PLE!I24-1,CÁLCULO!$AJ$15:$BB$35)*IF(AdmLocal="Automática",(1+CÁLCULO.TotalAdmLocal/(ORÇAMENTO!$X$15-CÁLCULO.TotalAdmLocal)),1),2))</f>
        <v>0</v>
      </c>
      <c r="J26" s="786"/>
      <c r="K26" s="786">
        <f ca="1">ROUND(K28,2)-ROUND(I28,2)</f>
        <v>0</v>
      </c>
      <c r="L26" s="786"/>
      <c r="M26" s="786">
        <f t="shared" ref="M26" ca="1" si="3">ROUND(M28,2)-ROUND(K28,2)</f>
        <v>0</v>
      </c>
      <c r="N26" s="786"/>
      <c r="O26" s="786">
        <f t="shared" ref="O26" ca="1" si="4">ROUND(O28,2)-ROUND(M28,2)</f>
        <v>0</v>
      </c>
      <c r="P26" s="786"/>
      <c r="Q26" s="786">
        <f t="shared" ref="Q26" ca="1" si="5">ROUND(Q28,2)-ROUND(O28,2)</f>
        <v>0</v>
      </c>
      <c r="R26" s="786"/>
      <c r="S26" s="786">
        <f t="shared" ref="S26" ca="1" si="6">ROUND(S28,2)-ROUND(Q28,2)</f>
        <v>0</v>
      </c>
      <c r="T26" s="786"/>
      <c r="U26" s="786">
        <f t="shared" ref="U26" ca="1" si="7">ROUND(U28,2)-ROUND(S28,2)</f>
        <v>0</v>
      </c>
      <c r="V26" s="786"/>
      <c r="W26" s="786">
        <f t="shared" ref="W26" ca="1" si="8">ROUND(W28,2)-ROUND(U28,2)</f>
        <v>0</v>
      </c>
      <c r="X26" s="786"/>
      <c r="Y26" s="786">
        <f t="shared" ref="Y26" ca="1" si="9">ROUND(Y28,2)-ROUND(W28,2)</f>
        <v>0</v>
      </c>
      <c r="Z26" s="786"/>
      <c r="AA26" s="786">
        <f t="shared" ref="AA26" ca="1" si="10">ROUND(AA28,2)-ROUND(Y28,2)</f>
        <v>0</v>
      </c>
      <c r="AB26" s="786"/>
      <c r="AC26" s="786">
        <f t="shared" ref="AC26" ca="1" si="11">ROUND(AC28,2)-ROUND(AA28,2)</f>
        <v>0</v>
      </c>
      <c r="AD26" s="786"/>
      <c r="AE26" s="786">
        <f t="shared" ref="AE26" ca="1" si="12">ROUND(AE28,2)-ROUND(AC28,2)</f>
        <v>0</v>
      </c>
      <c r="AF26" s="786"/>
    </row>
    <row r="27" spans="1:32" x14ac:dyDescent="0.2">
      <c r="A27" s="7" t="s">
        <v>536</v>
      </c>
      <c r="D27" s="784" t="s">
        <v>803</v>
      </c>
      <c r="H27" s="269" t="s">
        <v>781</v>
      </c>
      <c r="I27" s="788">
        <f ca="1">ROUND(I28,2)/ORÇAMENTO!$X$15</f>
        <v>0</v>
      </c>
      <c r="J27" s="788"/>
      <c r="K27" s="785">
        <f ca="1">ROUND(K28,2)/ORÇAMENTO!$X$15</f>
        <v>0</v>
      </c>
      <c r="L27" s="785"/>
      <c r="M27" s="785">
        <f ca="1">ROUND(M28,2)/ORÇAMENTO!$X$15</f>
        <v>0</v>
      </c>
      <c r="N27" s="785"/>
      <c r="O27" s="785">
        <f ca="1">ROUND(O28,2)/ORÇAMENTO!$X$15</f>
        <v>0</v>
      </c>
      <c r="P27" s="785"/>
      <c r="Q27" s="785">
        <f ca="1">ROUND(Q28,2)/ORÇAMENTO!$X$15</f>
        <v>0</v>
      </c>
      <c r="R27" s="785"/>
      <c r="S27" s="785">
        <f ca="1">ROUND(S28,2)/ORÇAMENTO!$X$15</f>
        <v>0</v>
      </c>
      <c r="T27" s="785"/>
      <c r="U27" s="785">
        <f ca="1">ROUND(U28,2)/ORÇAMENTO!$X$15</f>
        <v>0</v>
      </c>
      <c r="V27" s="785"/>
      <c r="W27" s="785">
        <f ca="1">ROUND(W28,2)/ORÇAMENTO!$X$15</f>
        <v>0</v>
      </c>
      <c r="X27" s="785"/>
      <c r="Y27" s="785">
        <f ca="1">ROUND(Y28,2)/ORÇAMENTO!$X$15</f>
        <v>0</v>
      </c>
      <c r="Z27" s="785"/>
      <c r="AA27" s="785">
        <f ca="1">ROUND(AA28,2)/ORÇAMENTO!$X$15</f>
        <v>0</v>
      </c>
      <c r="AB27" s="785"/>
      <c r="AC27" s="785">
        <f ca="1">ROUND(AC28,2)/ORÇAMENTO!$X$15</f>
        <v>0</v>
      </c>
      <c r="AD27" s="785"/>
      <c r="AE27" s="785">
        <f ca="1">ROUND(AE28,2)/ORÇAMENTO!$X$15</f>
        <v>0</v>
      </c>
      <c r="AF27" s="785"/>
    </row>
    <row r="28" spans="1:32" x14ac:dyDescent="0.2">
      <c r="A28" s="7" t="s">
        <v>536</v>
      </c>
      <c r="D28" s="784"/>
      <c r="H28" s="11" t="s">
        <v>782</v>
      </c>
      <c r="I28" s="787" cm="1">
        <f t="array" aca="1" ref="I28" ca="1">SUMIF(CÁLCULO!$BV$15:$CN$35,"&lt;="&amp;PLE!I24,CÁLCULO!$AJ$15:$BB$35)*IF(AdmLocal="Automática",(1+CÁLCULO.TotalAdmLocal/(ORÇAMENTO!$X$15-CÁLCULO.TotalAdmLocal)),1)</f>
        <v>0</v>
      </c>
      <c r="J28" s="787"/>
      <c r="K28" s="786" cm="1">
        <f t="array" aca="1" ref="K28" ca="1">SUMIF(CÁLCULO!$BV$15:$CN$35,"&lt;="&amp;PLE!K24,CÁLCULO!$AJ$15:$BB$35)*IF(AdmLocal="Automática",(1+CÁLCULO.TotalAdmLocal/(ORÇAMENTO!$X$15-CÁLCULO.TotalAdmLocal)),1)</f>
        <v>0</v>
      </c>
      <c r="L28" s="786"/>
      <c r="M28" s="786" cm="1">
        <f t="array" aca="1" ref="M28" ca="1">SUMIF(CÁLCULO!$BV$15:$CN$35,"&lt;="&amp;PLE!M24,CÁLCULO!$AJ$15:$BB$35)*IF(AdmLocal="Automática",(1+CÁLCULO.TotalAdmLocal/(ORÇAMENTO!$X$15-CÁLCULO.TotalAdmLocal)),1)</f>
        <v>0</v>
      </c>
      <c r="N28" s="786"/>
      <c r="O28" s="786" cm="1">
        <f t="array" aca="1" ref="O28" ca="1">SUMIF(CÁLCULO!$BV$15:$CN$35,"&lt;="&amp;PLE!O24,CÁLCULO!$AJ$15:$BB$35)*IF(AdmLocal="Automática",(1+CÁLCULO.TotalAdmLocal/(ORÇAMENTO!$X$15-CÁLCULO.TotalAdmLocal)),1)</f>
        <v>0</v>
      </c>
      <c r="P28" s="786"/>
      <c r="Q28" s="786" cm="1">
        <f t="array" aca="1" ref="Q28" ca="1">SUMIF(CÁLCULO!$BV$15:$CN$35,"&lt;="&amp;PLE!Q24,CÁLCULO!$AJ$15:$BB$35)*IF(AdmLocal="Automática",(1+CÁLCULO.TotalAdmLocal/(ORÇAMENTO!$X$15-CÁLCULO.TotalAdmLocal)),1)</f>
        <v>0</v>
      </c>
      <c r="R28" s="786"/>
      <c r="S28" s="786" cm="1">
        <f t="array" aca="1" ref="S28" ca="1">SUMIF(CÁLCULO!$BV$15:$CN$35,"&lt;="&amp;PLE!S24,CÁLCULO!$AJ$15:$BB$35)*IF(AdmLocal="Automática",(1+CÁLCULO.TotalAdmLocal/(ORÇAMENTO!$X$15-CÁLCULO.TotalAdmLocal)),1)</f>
        <v>0</v>
      </c>
      <c r="T28" s="786"/>
      <c r="U28" s="786" cm="1">
        <f t="array" aca="1" ref="U28" ca="1">SUMIF(CÁLCULO!$BV$15:$CN$35,"&lt;="&amp;PLE!U24,CÁLCULO!$AJ$15:$BB$35)*IF(AdmLocal="Automática",(1+CÁLCULO.TotalAdmLocal/(ORÇAMENTO!$X$15-CÁLCULO.TotalAdmLocal)),1)</f>
        <v>0</v>
      </c>
      <c r="V28" s="786"/>
      <c r="W28" s="786" cm="1">
        <f t="array" aca="1" ref="W28" ca="1">SUMIF(CÁLCULO!$BV$15:$CN$35,"&lt;="&amp;PLE!W24,CÁLCULO!$AJ$15:$BB$35)*IF(AdmLocal="Automática",(1+CÁLCULO.TotalAdmLocal/(ORÇAMENTO!$X$15-CÁLCULO.TotalAdmLocal)),1)</f>
        <v>0</v>
      </c>
      <c r="X28" s="786"/>
      <c r="Y28" s="786" cm="1">
        <f t="array" aca="1" ref="Y28" ca="1">SUMIF(CÁLCULO!$BV$15:$CN$35,"&lt;="&amp;PLE!Y24,CÁLCULO!$AJ$15:$BB$35)*IF(AdmLocal="Automática",(1+CÁLCULO.TotalAdmLocal/(ORÇAMENTO!$X$15-CÁLCULO.TotalAdmLocal)),1)</f>
        <v>0</v>
      </c>
      <c r="Z28" s="786"/>
      <c r="AA28" s="786" cm="1">
        <f t="array" aca="1" ref="AA28" ca="1">SUMIF(CÁLCULO!$BV$15:$CN$35,"&lt;="&amp;PLE!AA24,CÁLCULO!$AJ$15:$BB$35)*IF(AdmLocal="Automática",(1+CÁLCULO.TotalAdmLocal/(ORÇAMENTO!$X$15-CÁLCULO.TotalAdmLocal)),1)</f>
        <v>0</v>
      </c>
      <c r="AB28" s="786"/>
      <c r="AC28" s="786" cm="1">
        <f t="array" aca="1" ref="AC28" ca="1">SUMIF(CÁLCULO!$BV$15:$CN$35,"&lt;="&amp;PLE!AC24,CÁLCULO!$AJ$15:$BB$35)*IF(AdmLocal="Automática",(1+CÁLCULO.TotalAdmLocal/(ORÇAMENTO!$X$15-CÁLCULO.TotalAdmLocal)),1)</f>
        <v>0</v>
      </c>
      <c r="AD28" s="786"/>
      <c r="AE28" s="786" cm="1">
        <f t="array" aca="1" ref="AE28" ca="1">SUMIF(CÁLCULO!$BV$15:$CN$35,"&lt;="&amp;PLE!AE24,CÁLCULO!$AJ$15:$BB$35)*IF(AdmLocal="Automática",(1+CÁLCULO.TotalAdmLocal/(ORÇAMENTO!$X$15-CÁLCULO.TotalAdmLocal)),1)</f>
        <v>0</v>
      </c>
      <c r="AF28" s="786"/>
    </row>
    <row r="29" spans="1:32" ht="12.75" customHeight="1" x14ac:dyDescent="0.2">
      <c r="A29" s="7"/>
      <c r="D29" s="551" t="s">
        <v>784</v>
      </c>
      <c r="H29" s="550" t="s">
        <v>781</v>
      </c>
      <c r="I29" s="744">
        <f ca="1">IF(OR(ACOMPANHAMENTO&lt;&gt;"PLE",I24&gt;PLE.Medicao),0,
   IF(AUTOEVENTO="Manual",
      IF(AdmLocal="Automática",I27,
         IF(Import.EventoAdmLocal="","",SUMIF(OFFSET($G$14,CRONOPLE!$A$8+1,1,1,OFFSET($AG$12,0,-1)),"&lt;="&amp;I24,OFFSET(EVENTOS!$G$14,CRONOPLE!$A$8+1,1,1,OFFSET($AG$12,0,-1)))/OFFSET(EVENTOS!$G$14,CRONOPLE!$A$8+1,-1))),
      IF(Import.EventoAdmLocal="","",SUMIF(OFFSET(CÁLCULO!$BU$15,CRONOPLE!$A$10,1,OFFSET(ORÇAMENTO!$D$15,CRONOPLE!$A$10,0),COLUMN(CÁLCULO!$CN$15)-COLUMN(CÁLCULO!$BU$15)-1),"&lt;="&amp;I24,OFFSET(CÁLCULO!$AI$15,CRONOPLE!$A$10,1,OFFSET(ORÇAMENTO!$D$15,CRONOPLE!$A$10,0),COLUMN(CÁLCULO!$BB$15)-COLUMN(CÁLCULO!$AI$15)-1))/OFFSET(ORÇAMENTO!$X$15,CRONOPLE!$A$10,0))))</f>
        <v>0</v>
      </c>
      <c r="J29" s="744"/>
      <c r="K29" s="744">
        <f ca="1">IF(OR(ACOMPANHAMENTO&lt;&gt;"PLE",K24&gt;PLE.Medicao),0,
   IF(AUTOEVENTO="Manual",
      IF(AdmLocal="Automática",K27,
         IF(Import.EventoAdmLocal="","",SUMIF(OFFSET($G$14,CRONOPLE!$A$8+1,1,1,OFFSET($AG$12,0,-1)),"&lt;="&amp;K24,OFFSET(EVENTOS!$G$14,CRONOPLE!$A$8+1,1,1,OFFSET($AG$12,0,-1)))/OFFSET(EVENTOS!$G$14,CRONOPLE!$A$8+1,-1))),
      IF(Import.EventoAdmLocal="","",SUMIF(OFFSET(CÁLCULO!$BU$15,CRONOPLE!$A$10,1,OFFSET(ORÇAMENTO!$D$15,CRONOPLE!$A$10,0),COLUMN(CÁLCULO!$CN$15)-COLUMN(CÁLCULO!$BU$15)-1),"&lt;="&amp;K24,OFFSET(CÁLCULO!$AI$15,CRONOPLE!$A$10,1,OFFSET(ORÇAMENTO!$D$15,CRONOPLE!$A$10,0),COLUMN(CÁLCULO!$BB$15)-COLUMN(CÁLCULO!$AI$15)-1))/OFFSET(ORÇAMENTO!$X$15,CRONOPLE!$A$10,0))))</f>
        <v>0</v>
      </c>
      <c r="L29" s="744"/>
      <c r="M29" s="744">
        <f ca="1">IF(OR(ACOMPANHAMENTO&lt;&gt;"PLE",M24&gt;PLE.Medicao),0,
   IF(AUTOEVENTO="Manual",
      IF(AdmLocal="Automática",M27,
         IF(Import.EventoAdmLocal="","",SUMIF(OFFSET($G$14,CRONOPLE!$A$8+1,1,1,OFFSET($AG$12,0,-1)),"&lt;="&amp;M24,OFFSET(EVENTOS!$G$14,CRONOPLE!$A$8+1,1,1,OFFSET($AG$12,0,-1)))/OFFSET(EVENTOS!$G$14,CRONOPLE!$A$8+1,-1))),
      IF(Import.EventoAdmLocal="","",SUMIF(OFFSET(CÁLCULO!$BU$15,CRONOPLE!$A$10,1,OFFSET(ORÇAMENTO!$D$15,CRONOPLE!$A$10,0),COLUMN(CÁLCULO!$CN$15)-COLUMN(CÁLCULO!$BU$15)-1),"&lt;="&amp;M24,OFFSET(CÁLCULO!$AI$15,CRONOPLE!$A$10,1,OFFSET(ORÇAMENTO!$D$15,CRONOPLE!$A$10,0),COLUMN(CÁLCULO!$BB$15)-COLUMN(CÁLCULO!$AI$15)-1))/OFFSET(ORÇAMENTO!$X$15,CRONOPLE!$A$10,0))))</f>
        <v>0</v>
      </c>
      <c r="N29" s="744"/>
      <c r="O29" s="744">
        <f ca="1">IF(OR(ACOMPANHAMENTO&lt;&gt;"PLE",O24&gt;PLE.Medicao),0,
   IF(AUTOEVENTO="Manual",
      IF(AdmLocal="Automática",O27,
         IF(Import.EventoAdmLocal="","",SUMIF(OFFSET($G$14,CRONOPLE!$A$8+1,1,1,OFFSET($AG$12,0,-1)),"&lt;="&amp;O24,OFFSET(EVENTOS!$G$14,CRONOPLE!$A$8+1,1,1,OFFSET($AG$12,0,-1)))/OFFSET(EVENTOS!$G$14,CRONOPLE!$A$8+1,-1))),
      IF(Import.EventoAdmLocal="","",SUMIF(OFFSET(CÁLCULO!$BU$15,CRONOPLE!$A$10,1,OFFSET(ORÇAMENTO!$D$15,CRONOPLE!$A$10,0),COLUMN(CÁLCULO!$CN$15)-COLUMN(CÁLCULO!$BU$15)-1),"&lt;="&amp;O24,OFFSET(CÁLCULO!$AI$15,CRONOPLE!$A$10,1,OFFSET(ORÇAMENTO!$D$15,CRONOPLE!$A$10,0),COLUMN(CÁLCULO!$BB$15)-COLUMN(CÁLCULO!$AI$15)-1))/OFFSET(ORÇAMENTO!$X$15,CRONOPLE!$A$10,0))))</f>
        <v>0</v>
      </c>
      <c r="P29" s="744"/>
      <c r="Q29" s="744">
        <f ca="1">IF(OR(ACOMPANHAMENTO&lt;&gt;"PLE",Q24&gt;PLE.Medicao),0,
   IF(AUTOEVENTO="Manual",
      IF(AdmLocal="Automática",Q27,
         IF(Import.EventoAdmLocal="","",SUMIF(OFFSET($G$14,CRONOPLE!$A$8+1,1,1,OFFSET($AG$12,0,-1)),"&lt;="&amp;Q24,OFFSET(EVENTOS!$G$14,CRONOPLE!$A$8+1,1,1,OFFSET($AG$12,0,-1)))/OFFSET(EVENTOS!$G$14,CRONOPLE!$A$8+1,-1))),
      IF(Import.EventoAdmLocal="","",SUMIF(OFFSET(CÁLCULO!$BU$15,CRONOPLE!$A$10,1,OFFSET(ORÇAMENTO!$D$15,CRONOPLE!$A$10,0),COLUMN(CÁLCULO!$CN$15)-COLUMN(CÁLCULO!$BU$15)-1),"&lt;="&amp;Q24,OFFSET(CÁLCULO!$AI$15,CRONOPLE!$A$10,1,OFFSET(ORÇAMENTO!$D$15,CRONOPLE!$A$10,0),COLUMN(CÁLCULO!$BB$15)-COLUMN(CÁLCULO!$AI$15)-1))/OFFSET(ORÇAMENTO!$X$15,CRONOPLE!$A$10,0))))</f>
        <v>0</v>
      </c>
      <c r="R29" s="744"/>
      <c r="S29" s="744">
        <f ca="1">IF(OR(ACOMPANHAMENTO&lt;&gt;"PLE",S24&gt;PLE.Medicao),0,
   IF(AUTOEVENTO="Manual",
      IF(AdmLocal="Automática",S27,
         IF(Import.EventoAdmLocal="","",SUMIF(OFFSET($G$14,CRONOPLE!$A$8+1,1,1,OFFSET($AG$12,0,-1)),"&lt;="&amp;S24,OFFSET(EVENTOS!$G$14,CRONOPLE!$A$8+1,1,1,OFFSET($AG$12,0,-1)))/OFFSET(EVENTOS!$G$14,CRONOPLE!$A$8+1,-1))),
      IF(Import.EventoAdmLocal="","",SUMIF(OFFSET(CÁLCULO!$BU$15,CRONOPLE!$A$10,1,OFFSET(ORÇAMENTO!$D$15,CRONOPLE!$A$10,0),COLUMN(CÁLCULO!$CN$15)-COLUMN(CÁLCULO!$BU$15)-1),"&lt;="&amp;S24,OFFSET(CÁLCULO!$AI$15,CRONOPLE!$A$10,1,OFFSET(ORÇAMENTO!$D$15,CRONOPLE!$A$10,0),COLUMN(CÁLCULO!$BB$15)-COLUMN(CÁLCULO!$AI$15)-1))/OFFSET(ORÇAMENTO!$X$15,CRONOPLE!$A$10,0))))</f>
        <v>0</v>
      </c>
      <c r="T29" s="744"/>
      <c r="U29" s="744">
        <f ca="1">IF(OR(ACOMPANHAMENTO&lt;&gt;"PLE",U24&gt;PLE.Medicao),0,
   IF(AUTOEVENTO="Manual",
      IF(AdmLocal="Automática",U27,
         IF(Import.EventoAdmLocal="","",SUMIF(OFFSET($G$14,CRONOPLE!$A$8+1,1,1,OFFSET($AG$12,0,-1)),"&lt;="&amp;U24,OFFSET(EVENTOS!$G$14,CRONOPLE!$A$8+1,1,1,OFFSET($AG$12,0,-1)))/OFFSET(EVENTOS!$G$14,CRONOPLE!$A$8+1,-1))),
      IF(Import.EventoAdmLocal="","",SUMIF(OFFSET(CÁLCULO!$BU$15,CRONOPLE!$A$10,1,OFFSET(ORÇAMENTO!$D$15,CRONOPLE!$A$10,0),COLUMN(CÁLCULO!$CN$15)-COLUMN(CÁLCULO!$BU$15)-1),"&lt;="&amp;U24,OFFSET(CÁLCULO!$AI$15,CRONOPLE!$A$10,1,OFFSET(ORÇAMENTO!$D$15,CRONOPLE!$A$10,0),COLUMN(CÁLCULO!$BB$15)-COLUMN(CÁLCULO!$AI$15)-1))/OFFSET(ORÇAMENTO!$X$15,CRONOPLE!$A$10,0))))</f>
        <v>0</v>
      </c>
      <c r="V29" s="744"/>
      <c r="W29" s="744">
        <f ca="1">IF(OR(ACOMPANHAMENTO&lt;&gt;"PLE",W24&gt;PLE.Medicao),0,
   IF(AUTOEVENTO="Manual",
      IF(AdmLocal="Automática",W27,
         IF(Import.EventoAdmLocal="","",SUMIF(OFFSET($G$14,CRONOPLE!$A$8+1,1,1,OFFSET($AG$12,0,-1)),"&lt;="&amp;W24,OFFSET(EVENTOS!$G$14,CRONOPLE!$A$8+1,1,1,OFFSET($AG$12,0,-1)))/OFFSET(EVENTOS!$G$14,CRONOPLE!$A$8+1,-1))),
      IF(Import.EventoAdmLocal="","",SUMIF(OFFSET(CÁLCULO!$BU$15,CRONOPLE!$A$10,1,OFFSET(ORÇAMENTO!$D$15,CRONOPLE!$A$10,0),COLUMN(CÁLCULO!$CN$15)-COLUMN(CÁLCULO!$BU$15)-1),"&lt;="&amp;W24,OFFSET(CÁLCULO!$AI$15,CRONOPLE!$A$10,1,OFFSET(ORÇAMENTO!$D$15,CRONOPLE!$A$10,0),COLUMN(CÁLCULO!$BB$15)-COLUMN(CÁLCULO!$AI$15)-1))/OFFSET(ORÇAMENTO!$X$15,CRONOPLE!$A$10,0))))</f>
        <v>0</v>
      </c>
      <c r="X29" s="744"/>
      <c r="Y29" s="744">
        <f ca="1">IF(OR(ACOMPANHAMENTO&lt;&gt;"PLE",Y24&gt;PLE.Medicao),0,
   IF(AUTOEVENTO="Manual",
      IF(AdmLocal="Automática",Y27,
         IF(Import.EventoAdmLocal="","",SUMIF(OFFSET($G$14,CRONOPLE!$A$8+1,1,1,OFFSET($AG$12,0,-1)),"&lt;="&amp;Y24,OFFSET(EVENTOS!$G$14,CRONOPLE!$A$8+1,1,1,OFFSET($AG$12,0,-1)))/OFFSET(EVENTOS!$G$14,CRONOPLE!$A$8+1,-1))),
      IF(Import.EventoAdmLocal="","",SUMIF(OFFSET(CÁLCULO!$BU$15,CRONOPLE!$A$10,1,OFFSET(ORÇAMENTO!$D$15,CRONOPLE!$A$10,0),COLUMN(CÁLCULO!$CN$15)-COLUMN(CÁLCULO!$BU$15)-1),"&lt;="&amp;Y24,OFFSET(CÁLCULO!$AI$15,CRONOPLE!$A$10,1,OFFSET(ORÇAMENTO!$D$15,CRONOPLE!$A$10,0),COLUMN(CÁLCULO!$BB$15)-COLUMN(CÁLCULO!$AI$15)-1))/OFFSET(ORÇAMENTO!$X$15,CRONOPLE!$A$10,0))))</f>
        <v>0</v>
      </c>
      <c r="Z29" s="744"/>
      <c r="AA29" s="744">
        <f ca="1">IF(OR(ACOMPANHAMENTO&lt;&gt;"PLE",AA24&gt;PLE.Medicao),0,
   IF(AUTOEVENTO="Manual",
      IF(AdmLocal="Automática",AA27,
         IF(Import.EventoAdmLocal="","",SUMIF(OFFSET($G$14,CRONOPLE!$A$8+1,1,1,OFFSET($AG$12,0,-1)),"&lt;="&amp;AA24,OFFSET(EVENTOS!$G$14,CRONOPLE!$A$8+1,1,1,OFFSET($AG$12,0,-1)))/OFFSET(EVENTOS!$G$14,CRONOPLE!$A$8+1,-1))),
      IF(Import.EventoAdmLocal="","",SUMIF(OFFSET(CÁLCULO!$BU$15,CRONOPLE!$A$10,1,OFFSET(ORÇAMENTO!$D$15,CRONOPLE!$A$10,0),COLUMN(CÁLCULO!$CN$15)-COLUMN(CÁLCULO!$BU$15)-1),"&lt;="&amp;AA24,OFFSET(CÁLCULO!$AI$15,CRONOPLE!$A$10,1,OFFSET(ORÇAMENTO!$D$15,CRONOPLE!$A$10,0),COLUMN(CÁLCULO!$BB$15)-COLUMN(CÁLCULO!$AI$15)-1))/OFFSET(ORÇAMENTO!$X$15,CRONOPLE!$A$10,0))))</f>
        <v>0</v>
      </c>
      <c r="AB29" s="744"/>
      <c r="AC29" s="744">
        <f ca="1">IF(OR(ACOMPANHAMENTO&lt;&gt;"PLE",AC24&gt;PLE.Medicao),0,
   IF(AUTOEVENTO="Manual",
      IF(AdmLocal="Automática",AC27,
         IF(Import.EventoAdmLocal="","",SUMIF(OFFSET($G$14,CRONOPLE!$A$8+1,1,1,OFFSET($AG$12,0,-1)),"&lt;="&amp;AC24,OFFSET(EVENTOS!$G$14,CRONOPLE!$A$8+1,1,1,OFFSET($AG$12,0,-1)))/OFFSET(EVENTOS!$G$14,CRONOPLE!$A$8+1,-1))),
      IF(Import.EventoAdmLocal="","",SUMIF(OFFSET(CÁLCULO!$BU$15,CRONOPLE!$A$10,1,OFFSET(ORÇAMENTO!$D$15,CRONOPLE!$A$10,0),COLUMN(CÁLCULO!$CN$15)-COLUMN(CÁLCULO!$BU$15)-1),"&lt;="&amp;AC24,OFFSET(CÁLCULO!$AI$15,CRONOPLE!$A$10,1,OFFSET(ORÇAMENTO!$D$15,CRONOPLE!$A$10,0),COLUMN(CÁLCULO!$BB$15)-COLUMN(CÁLCULO!$AI$15)-1))/OFFSET(ORÇAMENTO!$X$15,CRONOPLE!$A$10,0))))</f>
        <v>0</v>
      </c>
      <c r="AD29" s="744"/>
      <c r="AE29" s="744">
        <f ca="1">IF(OR(ACOMPANHAMENTO&lt;&gt;"PLE",AE24&gt;PLE.Medicao),0,
   IF(AUTOEVENTO="Manual",
      IF(AdmLocal="Automática",AE27,
         IF(Import.EventoAdmLocal="","",SUMIF(OFFSET($G$14,CRONOPLE!$A$8+1,1,1,OFFSET($AG$12,0,-1)),"&lt;="&amp;AE24,OFFSET(EVENTOS!$G$14,CRONOPLE!$A$8+1,1,1,OFFSET($AG$12,0,-1)))/OFFSET(EVENTOS!$G$14,CRONOPLE!$A$8+1,-1))),
      IF(Import.EventoAdmLocal="","",SUMIF(OFFSET(CÁLCULO!$BU$15,CRONOPLE!$A$10,1,OFFSET(ORÇAMENTO!$D$15,CRONOPLE!$A$10,0),COLUMN(CÁLCULO!$CN$15)-COLUMN(CÁLCULO!$BU$15)-1),"&lt;="&amp;AE24,OFFSET(CÁLCULO!$AI$15,CRONOPLE!$A$10,1,OFFSET(ORÇAMENTO!$D$15,CRONOPLE!$A$10,0),COLUMN(CÁLCULO!$BB$15)-COLUMN(CÁLCULO!$AI$15)-1))/OFFSET(ORÇAMENTO!$X$15,CRONOPLE!$A$10,0))))</f>
        <v>0</v>
      </c>
      <c r="AF29" s="744"/>
    </row>
    <row r="30" spans="1:32" ht="13.5" x14ac:dyDescent="0.25">
      <c r="A30" s="7" t="s">
        <v>536</v>
      </c>
      <c r="D30" s="522"/>
      <c r="H30" s="582" t="str">
        <f ca="1">IF(COUNTIF(I30:AG30,"%Adm&gt;%Global")&gt;0,"Verificar proporcionalidade da Administração Local","")</f>
        <v/>
      </c>
      <c r="I30" s="534" t="str">
        <f ca="1">IF(I29="","",IF(ROUND(I29,4)&gt;ROUND(I27,4),"%Adm&gt;%Global",""))</f>
        <v/>
      </c>
      <c r="J30" s="523"/>
      <c r="K30" s="534" t="str">
        <f t="shared" ref="K30" ca="1" si="13">IF(K29="","",IF(ROUND(K29,4)&gt;ROUND(K27,4),"%Adm&gt;%Global",""))</f>
        <v/>
      </c>
      <c r="L30" s="523"/>
      <c r="M30" s="534" t="str">
        <f t="shared" ref="M30" ca="1" si="14">IF(M29="","",IF(ROUND(M29,4)&gt;ROUND(M27,4),"%Adm&gt;%Global",""))</f>
        <v/>
      </c>
      <c r="N30" s="523"/>
      <c r="O30" s="534" t="str">
        <f t="shared" ref="O30" ca="1" si="15">IF(O29="","",IF(ROUND(O29,4)&gt;ROUND(O27,4),"%Adm&gt;%Global",""))</f>
        <v/>
      </c>
      <c r="P30" s="523"/>
      <c r="Q30" s="534" t="str">
        <f t="shared" ref="Q30" ca="1" si="16">IF(Q29="","",IF(ROUND(Q29,4)&gt;ROUND(Q27,4),"%Adm&gt;%Global",""))</f>
        <v/>
      </c>
      <c r="R30" s="523"/>
      <c r="S30" s="534" t="str">
        <f t="shared" ref="S30" ca="1" si="17">IF(S29="","",IF(ROUND(S29,4)&gt;ROUND(S27,4),"%Adm&gt;%Global",""))</f>
        <v/>
      </c>
      <c r="T30" s="523"/>
      <c r="U30" s="534" t="str">
        <f t="shared" ref="U30" ca="1" si="18">IF(U29="","",IF(ROUND(U29,4)&gt;ROUND(U27,4),"%Adm&gt;%Global",""))</f>
        <v/>
      </c>
      <c r="V30" s="523"/>
      <c r="W30" s="534" t="str">
        <f t="shared" ref="W30" ca="1" si="19">IF(W29="","",IF(ROUND(W29,4)&gt;ROUND(W27,4),"%Adm&gt;%Global",""))</f>
        <v/>
      </c>
      <c r="X30" s="523"/>
      <c r="Y30" s="534" t="str">
        <f t="shared" ref="Y30" ca="1" si="20">IF(Y29="","",IF(ROUND(Y29,4)&gt;ROUND(Y27,4),"%Adm&gt;%Global",""))</f>
        <v/>
      </c>
      <c r="Z30" s="523"/>
      <c r="AA30" s="534" t="str">
        <f t="shared" ref="AA30" ca="1" si="21">IF(AA29="","",IF(ROUND(AA29,4)&gt;ROUND(AA27,4),"%Adm&gt;%Global",""))</f>
        <v/>
      </c>
      <c r="AB30" s="523"/>
      <c r="AC30" s="534" t="str">
        <f t="shared" ref="AC30" ca="1" si="22">IF(AC29="","",IF(ROUND(AC29,4)&gt;ROUND(AC27,4),"%Adm&gt;%Global",""))</f>
        <v/>
      </c>
      <c r="AD30" s="523"/>
      <c r="AE30" s="534" t="str">
        <f t="shared" ref="AE30" ca="1" si="23">IF(AE29="","",IF(ROUND(AE29,4)&gt;ROUND(AE27,4),"%Adm&gt;%Global",""))</f>
        <v/>
      </c>
      <c r="AF30" s="523"/>
    </row>
    <row r="31" spans="1:32" ht="20.25" customHeight="1" x14ac:dyDescent="0.2">
      <c r="A31" s="7" t="s">
        <v>536</v>
      </c>
      <c r="I31" s="789"/>
      <c r="J31" s="789"/>
    </row>
    <row r="32" spans="1:32" ht="15" x14ac:dyDescent="0.25">
      <c r="A32" s="7" t="s">
        <v>536</v>
      </c>
      <c r="B32" s="692" t="str">
        <f>Import.Município</f>
        <v>Marialva-PR</v>
      </c>
      <c r="C32" s="692"/>
      <c r="D32" s="692"/>
      <c r="S32" s="561" t="str">
        <f ca="1">IF(DADOS!$D$50&lt;&gt;"","Preencher os Dados do Responsável pela Fiscalização, na aba DADOS.","")</f>
        <v/>
      </c>
      <c r="U32" s="138"/>
      <c r="V32" s="138"/>
      <c r="W32" s="138"/>
      <c r="X32" s="138"/>
      <c r="Y32" s="179"/>
      <c r="Z32" s="179"/>
      <c r="AA32" s="179"/>
      <c r="AB32" s="179"/>
      <c r="AC32" s="179"/>
      <c r="AD32" s="179"/>
    </row>
    <row r="33" spans="1:23" x14ac:dyDescent="0.2">
      <c r="A33" s="7" t="s">
        <v>536</v>
      </c>
      <c r="B33" s="9" t="s">
        <v>693</v>
      </c>
      <c r="U33" s="180" t="s">
        <v>841</v>
      </c>
    </row>
    <row r="34" spans="1:23" x14ac:dyDescent="0.2">
      <c r="A34" s="7" t="s">
        <v>536</v>
      </c>
      <c r="I34" s="78"/>
      <c r="U34" s="76" t="s">
        <v>240</v>
      </c>
      <c r="W34" s="270">
        <f t="array" ref="W34:W37">Import.RespFiscalização</f>
        <v>0</v>
      </c>
    </row>
    <row r="35" spans="1:23" x14ac:dyDescent="0.2">
      <c r="A35" s="7" t="s">
        <v>536</v>
      </c>
      <c r="B35" s="686">
        <f>DADOS!$C$48</f>
        <v>0</v>
      </c>
      <c r="C35" s="686"/>
      <c r="D35" s="686"/>
      <c r="I35" s="78"/>
      <c r="U35" s="76" t="s">
        <v>319</v>
      </c>
      <c r="W35" s="270">
        <v>0</v>
      </c>
    </row>
    <row r="36" spans="1:23" x14ac:dyDescent="0.2">
      <c r="A36" s="7" t="s">
        <v>536</v>
      </c>
      <c r="B36" s="139" t="s">
        <v>694</v>
      </c>
      <c r="C36" s="1"/>
      <c r="D36" s="1"/>
      <c r="I36" s="78"/>
      <c r="U36" s="76" t="s">
        <v>243</v>
      </c>
      <c r="W36" s="270">
        <v>0</v>
      </c>
    </row>
    <row r="37" spans="1:23" x14ac:dyDescent="0.2">
      <c r="U37" s="76" t="s">
        <v>246</v>
      </c>
      <c r="W37" s="12">
        <v>0</v>
      </c>
    </row>
  </sheetData>
  <sheetProtection algorithmName="SHA-512" hashValue="p9H/ac3E8bE5ijcI+SLU1c3AXYPEt7Z5RaKEzHWLd0oxDYUF97YurJv+sQ6gpPuYVWRfsCr3wKHFwISNtZQNAg==" saltValue="m+QwQapPLOJf3lIqTEIw0Q==" spinCount="100000" sheet="1" objects="1" scenarios="1" autoFilter="0"/>
  <autoFilter ref="A13:A36" xr:uid="{00000000-0009-0000-0000-000009000000}"/>
  <mergeCells count="111">
    <mergeCell ref="AC29:AD29"/>
    <mergeCell ref="AE29:AF29"/>
    <mergeCell ref="S29:T29"/>
    <mergeCell ref="U29:V29"/>
    <mergeCell ref="W29:X29"/>
    <mergeCell ref="Y29:Z29"/>
    <mergeCell ref="AA29:AB29"/>
    <mergeCell ref="W27:X27"/>
    <mergeCell ref="S27:T27"/>
    <mergeCell ref="AC28:AD28"/>
    <mergeCell ref="AA27:AB27"/>
    <mergeCell ref="AE28:AF28"/>
    <mergeCell ref="AE27:AF27"/>
    <mergeCell ref="Y28:Z28"/>
    <mergeCell ref="AA28:AB28"/>
    <mergeCell ref="S28:T28"/>
    <mergeCell ref="W28:X28"/>
    <mergeCell ref="B7:C7"/>
    <mergeCell ref="C15:D15"/>
    <mergeCell ref="W23:X23"/>
    <mergeCell ref="AC23:AD23"/>
    <mergeCell ref="Y24:Z24"/>
    <mergeCell ref="AA25:AB25"/>
    <mergeCell ref="Y26:Z26"/>
    <mergeCell ref="U26:V26"/>
    <mergeCell ref="Q28:R28"/>
    <mergeCell ref="M23:N23"/>
    <mergeCell ref="O26:P26"/>
    <mergeCell ref="M26:N26"/>
    <mergeCell ref="K26:L26"/>
    <mergeCell ref="I26:J26"/>
    <mergeCell ref="O25:P25"/>
    <mergeCell ref="M25:N25"/>
    <mergeCell ref="K25:L25"/>
    <mergeCell ref="I22:AF22"/>
    <mergeCell ref="O23:P23"/>
    <mergeCell ref="AE23:AF23"/>
    <mergeCell ref="Y23:Z23"/>
    <mergeCell ref="Q25:R25"/>
    <mergeCell ref="AC24:AD24"/>
    <mergeCell ref="AA24:AB24"/>
    <mergeCell ref="AE26:AF26"/>
    <mergeCell ref="O24:P24"/>
    <mergeCell ref="W25:X25"/>
    <mergeCell ref="U25:V25"/>
    <mergeCell ref="AC25:AD25"/>
    <mergeCell ref="AE24:AF24"/>
    <mergeCell ref="U27:V27"/>
    <mergeCell ref="Y27:Z27"/>
    <mergeCell ref="B12:B13"/>
    <mergeCell ref="S26:T26"/>
    <mergeCell ref="Q26:R26"/>
    <mergeCell ref="W24:X24"/>
    <mergeCell ref="AC26:AD26"/>
    <mergeCell ref="AC27:AD27"/>
    <mergeCell ref="AA26:AB26"/>
    <mergeCell ref="Y25:Z25"/>
    <mergeCell ref="S23:T23"/>
    <mergeCell ref="U23:V23"/>
    <mergeCell ref="Q23:R23"/>
    <mergeCell ref="S25:T25"/>
    <mergeCell ref="U24:V24"/>
    <mergeCell ref="AE25:AF25"/>
    <mergeCell ref="AD3:AF3"/>
    <mergeCell ref="AD4:AF4"/>
    <mergeCell ref="AE6:AF6"/>
    <mergeCell ref="H7:N7"/>
    <mergeCell ref="O7:U7"/>
    <mergeCell ref="AE7:AF7"/>
    <mergeCell ref="V7:AD7"/>
    <mergeCell ref="Y9:Z9"/>
    <mergeCell ref="AE9:AF9"/>
    <mergeCell ref="J9:K9"/>
    <mergeCell ref="N9:T9"/>
    <mergeCell ref="O29:P29"/>
    <mergeCell ref="Q29:R29"/>
    <mergeCell ref="O28:P28"/>
    <mergeCell ref="O27:P27"/>
    <mergeCell ref="Q27:R27"/>
    <mergeCell ref="AA23:AB23"/>
    <mergeCell ref="C1:D1"/>
    <mergeCell ref="C11:D11"/>
    <mergeCell ref="C12:D13"/>
    <mergeCell ref="U28:V28"/>
    <mergeCell ref="C17:D17"/>
    <mergeCell ref="D25:D26"/>
    <mergeCell ref="C16:D16"/>
    <mergeCell ref="C18:D18"/>
    <mergeCell ref="W26:X26"/>
    <mergeCell ref="S24:T24"/>
    <mergeCell ref="Q24:R24"/>
    <mergeCell ref="K24:L24"/>
    <mergeCell ref="K23:L23"/>
    <mergeCell ref="I23:J23"/>
    <mergeCell ref="I24:J24"/>
    <mergeCell ref="I25:J25"/>
    <mergeCell ref="M24:N24"/>
    <mergeCell ref="C19:D19"/>
    <mergeCell ref="B35:D35"/>
    <mergeCell ref="B32:D32"/>
    <mergeCell ref="D27:D28"/>
    <mergeCell ref="M27:N27"/>
    <mergeCell ref="M28:N28"/>
    <mergeCell ref="I28:J28"/>
    <mergeCell ref="K28:L28"/>
    <mergeCell ref="K27:L27"/>
    <mergeCell ref="I27:J27"/>
    <mergeCell ref="I31:J31"/>
    <mergeCell ref="I29:J29"/>
    <mergeCell ref="K29:L29"/>
    <mergeCell ref="M29:N29"/>
  </mergeCells>
  <phoneticPr fontId="38" type="noConversion"/>
  <conditionalFormatting sqref="F1:F2">
    <cfRule type="expression" dxfId="80" priority="2721" stopIfTrue="1">
      <formula>IF(OR(ACOMPANHAMENTO="BM",F$12&gt;CÁLCULO.NúmeroDeFrentes),TRUE,PLE.ValorDoEvento=0)</formula>
    </cfRule>
    <cfRule type="cellIs" dxfId="79" priority="2722" stopIfTrue="1" operator="equal">
      <formula>$J$9</formula>
    </cfRule>
  </conditionalFormatting>
  <conditionalFormatting sqref="F16:F19">
    <cfRule type="expression" dxfId="78" priority="21" stopIfTrue="1">
      <formula>IF(OR(ACOMPANHAMENTO="BM",F$12&gt;CÁLCULO.NúmeroDeFrentes),TRUE,PLE.ValorDoEvento=0)</formula>
    </cfRule>
    <cfRule type="cellIs" dxfId="77" priority="22" stopIfTrue="1" operator="equal">
      <formula>$J$9</formula>
    </cfRule>
  </conditionalFormatting>
  <conditionalFormatting sqref="H1:AF1">
    <cfRule type="expression" dxfId="76" priority="2738" stopIfTrue="1">
      <formula>IF(OR(ACOMPANHAMENTO="BM",TIPOORCAMENTO="Proposto",H$12&gt;CÁLCULO.NúmeroDeFrentes),TRUE,PLE.ValorDoEvento=0)</formula>
    </cfRule>
    <cfRule type="cellIs" dxfId="75" priority="2739" stopIfTrue="1" operator="equal">
      <formula>$J$9</formula>
    </cfRule>
  </conditionalFormatting>
  <conditionalFormatting sqref="H16:AF19">
    <cfRule type="expression" dxfId="74" priority="23" stopIfTrue="1">
      <formula>IF(OR(ACOMPANHAMENTO="BM",TIPOORCAMENTO="Proposto",H$12&gt;CÁLCULO.NúmeroDeFrentes),TRUE,PLE.ValorDoEvento=0)</formula>
    </cfRule>
    <cfRule type="cellIs" dxfId="73" priority="24" stopIfTrue="1" operator="equal">
      <formula>$J$9</formula>
    </cfRule>
  </conditionalFormatting>
  <conditionalFormatting sqref="I24:J24">
    <cfRule type="cellIs" dxfId="72" priority="2720" stopIfTrue="1" operator="notEqual">
      <formula>1</formula>
    </cfRule>
  </conditionalFormatting>
  <conditionalFormatting sqref="I9:AF9">
    <cfRule type="expression" dxfId="71" priority="2728" stopIfTrue="1">
      <formula>COLUMN(I9)&gt;COLUMN($AF$12)</formula>
    </cfRule>
  </conditionalFormatting>
  <conditionalFormatting sqref="I25:AF25">
    <cfRule type="expression" dxfId="70" priority="2723" stopIfTrue="1">
      <formula>I24=$J$9</formula>
    </cfRule>
  </conditionalFormatting>
  <conditionalFormatting sqref="I26:AF26">
    <cfRule type="expression" dxfId="69" priority="2724" stopIfTrue="1">
      <formula>I24=$J$9</formula>
    </cfRule>
  </conditionalFormatting>
  <conditionalFormatting sqref="I27:AF27">
    <cfRule type="expression" dxfId="68" priority="2725" stopIfTrue="1">
      <formula>I24=$J$9</formula>
    </cfRule>
  </conditionalFormatting>
  <conditionalFormatting sqref="I28:AF28">
    <cfRule type="expression" dxfId="67" priority="2726" stopIfTrue="1">
      <formula>I24=$J$9</formula>
    </cfRule>
  </conditionalFormatting>
  <conditionalFormatting sqref="I29:AF29">
    <cfRule type="expression" dxfId="66" priority="1734">
      <formula>ROUND(I29,4)&gt;ROUND(I27,4)</formula>
    </cfRule>
  </conditionalFormatting>
  <conditionalFormatting sqref="J30 L30 N30 P30 R30 T30 V30 X30 Z30 AB30 AD30 AF30">
    <cfRule type="expression" dxfId="65" priority="14447" stopIfTrue="1">
      <formula>J25=$J$9</formula>
    </cfRule>
  </conditionalFormatting>
  <conditionalFormatting sqref="K25:AF28">
    <cfRule type="expression" dxfId="64" priority="1736" stopIfTrue="1">
      <formula>I$27=100%</formula>
    </cfRule>
  </conditionalFormatting>
  <conditionalFormatting sqref="K29:AF29">
    <cfRule type="expression" dxfId="63" priority="1735">
      <formula>OFFSET(K29,-2,-2)=1</formula>
    </cfRule>
  </conditionalFormatting>
  <conditionalFormatting sqref="N13">
    <cfRule type="expression" dxfId="62" priority="1733">
      <formula>$Y$9=0</formula>
    </cfRule>
  </conditionalFormatting>
  <conditionalFormatting sqref="N9:T9">
    <cfRule type="expression" dxfId="61" priority="2729" stopIfTrue="1">
      <formula>$N$9="DIGITE A DATA DA MEDIÇÃO"</formula>
    </cfRule>
  </conditionalFormatting>
  <conditionalFormatting sqref="AE6:AE7">
    <cfRule type="expression" dxfId="60" priority="2727" stopIfTrue="1">
      <formula>TIPOORCAMENTO&lt;&gt;"Licitado"</formula>
    </cfRule>
  </conditionalFormatting>
  <dataValidations count="3">
    <dataValidation type="whole" operator="greaterThan" allowBlank="1" showErrorMessage="1" sqref="I3:AC4 J9:K9 F1:F4 F16:F19"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19"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7" t="str">
        <f>IF(CAIXA.Modo,"BA - Boletim de Aferição","BM - Boletim de Medição")</f>
        <v>BM - Boletim de Medição</v>
      </c>
      <c r="G1" s="318"/>
      <c r="J1" s="318"/>
      <c r="K1" s="318"/>
      <c r="L1" s="318"/>
      <c r="M1" s="318"/>
      <c r="N1" s="318"/>
      <c r="O1" s="51" t="s">
        <v>644</v>
      </c>
    </row>
    <row r="2" spans="1:41" ht="15" x14ac:dyDescent="0.2">
      <c r="A2" s="319" t="s">
        <v>842</v>
      </c>
      <c r="B2" s="2"/>
      <c r="E2" s="320" t="str" cm="1">
        <f t="array" aca="1" ref="E2" ca="1">IF(Import.RegimeExecução="(SELECIONAR)","Selecione o Regime de Execução na Aba Dados",Import.RegimeExecução&amp;" - "&amp;import.recurso)</f>
        <v>EMPREITADA POR PREÇO GLOBAL - OGU</v>
      </c>
      <c r="O2" s="11" t="s">
        <v>647</v>
      </c>
    </row>
    <row r="3" spans="1:41" x14ac:dyDescent="0.2">
      <c r="A3" s="816" t="b">
        <v>0</v>
      </c>
      <c r="B3" s="816"/>
      <c r="E3" s="85"/>
    </row>
    <row r="4" spans="1:41" x14ac:dyDescent="0.2">
      <c r="D4" s="677" t="s">
        <v>652</v>
      </c>
      <c r="E4" s="677"/>
      <c r="F4" s="678" t="s">
        <v>650</v>
      </c>
      <c r="G4" s="678"/>
      <c r="H4" s="678"/>
      <c r="I4" s="144" t="s">
        <v>707</v>
      </c>
      <c r="J4" s="677" t="s">
        <v>708</v>
      </c>
      <c r="K4" s="677"/>
      <c r="L4" s="677"/>
      <c r="M4" s="677"/>
      <c r="N4" s="677"/>
      <c r="O4" s="146" t="s">
        <v>843</v>
      </c>
    </row>
    <row r="5" spans="1:41" ht="12.75" customHeight="1" x14ac:dyDescent="0.2">
      <c r="A5" t="s">
        <v>844</v>
      </c>
      <c r="D5" s="683" t="str">
        <f>Import.Proponente</f>
        <v>PREFEITURA MUNICIPAL DE MARIALVA</v>
      </c>
      <c r="E5" s="683"/>
      <c r="F5" s="685" t="str">
        <f>Import.CR</f>
        <v>1091265-71</v>
      </c>
      <c r="G5" s="685"/>
      <c r="H5" s="685"/>
      <c r="I5" s="321" t="str">
        <f>Import.TransfereGOV</f>
        <v>060795/2023</v>
      </c>
      <c r="J5" s="683" t="str">
        <f>Import.Apelido</f>
        <v>RECAPEAMENTO ASFÁLTICO</v>
      </c>
      <c r="K5" s="683"/>
      <c r="L5" s="683"/>
      <c r="M5" s="683"/>
      <c r="N5" s="683"/>
      <c r="O5" s="322">
        <f>Import.DataInicioObra</f>
        <v>0</v>
      </c>
      <c r="AO5" s="323" t="s">
        <v>845</v>
      </c>
    </row>
    <row r="6" spans="1:41" ht="5.0999999999999996" customHeight="1" x14ac:dyDescent="0.2">
      <c r="D6" s="92"/>
      <c r="E6" s="93"/>
      <c r="F6" s="92"/>
      <c r="G6" s="92"/>
      <c r="H6" s="92"/>
      <c r="I6" s="92"/>
      <c r="J6" s="92"/>
      <c r="K6" s="92"/>
      <c r="L6" s="92"/>
      <c r="M6" s="92"/>
      <c r="N6" s="92"/>
      <c r="O6" s="92"/>
      <c r="AO6" s="324"/>
    </row>
    <row r="7" spans="1:41" ht="12.75" customHeight="1" x14ac:dyDescent="0.2">
      <c r="A7" t="str" cm="1">
        <f t="array" aca="1" ref="A7" ca="1">RegimeExecucao</f>
        <v>Global</v>
      </c>
      <c r="D7" s="86" t="s">
        <v>846</v>
      </c>
      <c r="E7" s="86" t="s">
        <v>847</v>
      </c>
      <c r="F7" s="677" t="s">
        <v>848</v>
      </c>
      <c r="G7" s="677"/>
      <c r="H7" s="677"/>
      <c r="I7" s="677" t="str" cm="1">
        <f t="array" ref="I7">IF(TIPOORCAMENTO="Licitado","REGIME DE EXECUÇÃO","MUNICÍPIO / UF")</f>
        <v>MUNICÍPIO / UF</v>
      </c>
      <c r="J7" s="677"/>
      <c r="K7" s="677"/>
      <c r="L7" s="677"/>
      <c r="M7" s="677" t="s">
        <v>849</v>
      </c>
      <c r="N7" s="677"/>
      <c r="O7" s="86" t="s">
        <v>850</v>
      </c>
      <c r="AO7" s="274" cm="1">
        <f t="array" aca="1" ref="AO7" ca="1">BM.MEDAcumulado</f>
        <v>0</v>
      </c>
    </row>
    <row r="8" spans="1:41" ht="12.75" customHeight="1" x14ac:dyDescent="0.2">
      <c r="A8" s="319" t="s">
        <v>851</v>
      </c>
      <c r="B8" s="2"/>
      <c r="C8" s="680" t="s">
        <v>655</v>
      </c>
      <c r="D8" s="325">
        <f>Import.CTEF</f>
        <v>0</v>
      </c>
      <c r="E8" s="55">
        <f>Import.empresa</f>
        <v>0</v>
      </c>
      <c r="F8" s="683">
        <f>Import.CNPJ</f>
        <v>0</v>
      </c>
      <c r="G8" s="683"/>
      <c r="H8" s="683"/>
      <c r="I8" s="683" t="str" cm="1">
        <f t="array" ref="I8">IF(TIPOORCAMENTO="Licitado",Import.RegimeExecução,Import.Município)</f>
        <v>Marialva-PR</v>
      </c>
      <c r="J8" s="683"/>
      <c r="K8" s="683"/>
      <c r="L8" s="683"/>
      <c r="M8" s="683" t="str" cm="1">
        <f t="array" aca="1" ref="M8" ca="1">TEXT(IF(BM.medicao=1,Import.DataInicioObra,OFFSET($AB$12,0,BM.medicao-1-$AB$13)+1),"dd/mm/aaaa")&amp;" a "&amp;TEXT(OFFSET($AB$12,0,BM.medicao-$AB$13),"dd/mm/aaaa")</f>
        <v>00/01/1900 a 00/01/1900</v>
      </c>
      <c r="N8" s="683"/>
      <c r="O8" s="421">
        <v>1</v>
      </c>
    </row>
    <row r="9" spans="1:41" ht="12.75" customHeight="1" x14ac:dyDescent="0.2">
      <c r="A9" s="558" t="b">
        <v>1</v>
      </c>
      <c r="B9" s="4"/>
      <c r="C9" s="680"/>
    </row>
    <row r="10" spans="1:41" ht="13.35" customHeight="1" x14ac:dyDescent="0.2">
      <c r="A10" s="409" t="s">
        <v>852</v>
      </c>
      <c r="B10" s="410"/>
      <c r="C10" s="680"/>
      <c r="E10" s="555"/>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IF($J$45&lt;&gt;"",UPPER($J$45),
 "")))))))</f>
        <v>Foi selecionado na aba 'MENU' o acompanhamento por PLE.</v>
      </c>
      <c r="G10" s="815"/>
      <c r="H10" s="815"/>
      <c r="I10" s="815"/>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25">
      <c r="A11" s="559">
        <f ca="1">OFFSET(CRONO!$F$13,CRONO!$F$40,0)</f>
        <v>0</v>
      </c>
      <c r="B11" s="417"/>
      <c r="C11" s="680"/>
      <c r="E11" s="555"/>
      <c r="F11" s="815"/>
      <c r="G11" s="815"/>
      <c r="H11" s="815"/>
      <c r="I11" s="815"/>
      <c r="N11" s="556"/>
      <c r="O11" s="557" t="str">
        <f ca="1">IF(ISERROR(P11),"","Administração Local Acumulada: "&amp;TEXT(P11,"0,00%"))</f>
        <v/>
      </c>
      <c r="P11" s="560" t="e">
        <f ca="1">OFFSET($O$15,$A$11,0)/OFFSET($I$15,$A$11,0)</f>
        <v>#DIV/0!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80"/>
      <c r="E12" s="83" t="s">
        <v>855</v>
      </c>
      <c r="J12" s="720" t="str" cm="1">
        <f t="array" aca="1" ref="J12" ca="1">"Evolução Física "&amp;CHOOSE(MATCH(RegimeExecucao,{"Unitário","Global"},0),"(Qtde.)","(%)")</f>
        <v>Evolução Física (%)</v>
      </c>
      <c r="K12" s="720"/>
      <c r="L12" s="720"/>
      <c r="M12" s="720" t="s">
        <v>856</v>
      </c>
      <c r="N12" s="720"/>
      <c r="O12" s="720"/>
      <c r="Q12" s="720" t="str" cm="1">
        <f t="array" aca="1" ref="Q12" ca="1">"Aferido (CAIXA) "&amp;CHOOSE(MATCH(RegimeExecucao,{"Unitário","Global"},0),"(Qtde.)","(%)")</f>
        <v>Aferido (CAIXA) (%)</v>
      </c>
      <c r="R12" s="720"/>
      <c r="T12" s="326" t="s">
        <v>857</v>
      </c>
      <c r="U12" s="179"/>
      <c r="V12" s="179"/>
      <c r="W12" s="179"/>
      <c r="X12" s="179"/>
      <c r="Y12" s="179"/>
      <c r="Z12" s="41"/>
      <c r="AB12" s="327"/>
      <c r="AC12" s="328"/>
      <c r="AD12" s="328"/>
      <c r="AE12" s="328"/>
      <c r="AF12" s="328"/>
      <c r="AG12" s="328"/>
      <c r="AH12" s="328"/>
      <c r="AI12" s="328"/>
      <c r="AJ12" s="328"/>
      <c r="AK12" s="328"/>
      <c r="AL12" s="328"/>
      <c r="AM12" s="329"/>
    </row>
    <row r="13" spans="1:41" ht="45" customHeight="1" x14ac:dyDescent="0.2">
      <c r="A13" s="106" t="s">
        <v>726</v>
      </c>
      <c r="B13" s="106" t="s">
        <v>725</v>
      </c>
      <c r="C13" s="105" t="s">
        <v>660</v>
      </c>
      <c r="D13" s="291" t="s">
        <v>735</v>
      </c>
      <c r="E13" s="291" t="s">
        <v>118</v>
      </c>
      <c r="F13" s="330" t="s">
        <v>738</v>
      </c>
      <c r="G13" s="291" t="s">
        <v>712</v>
      </c>
      <c r="H13" s="291" t="s">
        <v>739</v>
      </c>
      <c r="I13" s="291" t="s">
        <v>740</v>
      </c>
      <c r="J13" s="291" t="s">
        <v>858</v>
      </c>
      <c r="K13" s="291" t="s">
        <v>859</v>
      </c>
      <c r="L13" s="291" t="s">
        <v>860</v>
      </c>
      <c r="M13" s="291" t="s">
        <v>858</v>
      </c>
      <c r="N13" s="291" t="s">
        <v>859</v>
      </c>
      <c r="O13" s="291" t="s">
        <v>860</v>
      </c>
      <c r="Q13" s="291" t="s">
        <v>858</v>
      </c>
      <c r="R13" s="291" t="s">
        <v>860</v>
      </c>
      <c r="T13" s="291" t="s">
        <v>735</v>
      </c>
      <c r="U13" s="291" t="s">
        <v>118</v>
      </c>
      <c r="V13" s="330" t="str" cm="1">
        <f t="array" aca="1" ref="V13" ca="1">IF(RegimeExecucao="Unitário","Unidade","")</f>
        <v/>
      </c>
      <c r="W13" s="291" t="str" cm="1">
        <f t="array" aca="1" ref="W13" ca="1">CHOOSE(MATCH(RegimeExecucao,{"Unitário","Global"},0),"Quant. Glosada (unid)","Percentual Glosado (%)")</f>
        <v>Percentual Glosado (%)</v>
      </c>
      <c r="X13" s="291" t="str" cm="1">
        <f t="array" aca="1" ref="X13" ca="1">CHOOSE(MATCH(RegimeExecucao,{"Unitário","Global"},0),"Preço Unitário (R$)","Valor Total do Item (R$)")</f>
        <v>Valor Total do Item (R$)</v>
      </c>
      <c r="Y13" s="291" t="s">
        <v>861</v>
      </c>
      <c r="Z13" s="291" t="s">
        <v>862</v>
      </c>
      <c r="AA13" s="111"/>
      <c r="AB13" s="331" cm="1">
        <f t="array" aca="1" ref="AB13" ca="1">IF(BM.medicao&lt;=12,1,TRUNC((BM.medicao - 2)/11,0) * 11 + 1)</f>
        <v>1</v>
      </c>
      <c r="AC13" s="331">
        <f ca="1">OFFSET(AC13,0,-1)+1</f>
        <v>2</v>
      </c>
      <c r="AD13" s="331">
        <f t="shared" ref="AD13:AM13" ca="1" si="0">OFFSET(AD13,0,-1)+1</f>
        <v>3</v>
      </c>
      <c r="AE13" s="331">
        <f t="shared" ca="1" si="0"/>
        <v>4</v>
      </c>
      <c r="AF13" s="331">
        <f t="shared" ca="1" si="0"/>
        <v>5</v>
      </c>
      <c r="AG13" s="331">
        <f t="shared" ca="1" si="0"/>
        <v>6</v>
      </c>
      <c r="AH13" s="331">
        <f t="shared" ca="1" si="0"/>
        <v>7</v>
      </c>
      <c r="AI13" s="331">
        <f t="shared" ca="1" si="0"/>
        <v>8</v>
      </c>
      <c r="AJ13" s="331">
        <f t="shared" ca="1" si="0"/>
        <v>9</v>
      </c>
      <c r="AK13" s="331">
        <f t="shared" ca="1" si="0"/>
        <v>10</v>
      </c>
      <c r="AL13" s="331">
        <f t="shared" ca="1" si="0"/>
        <v>11</v>
      </c>
      <c r="AM13" s="331">
        <f t="shared" ca="1" si="0"/>
        <v>12</v>
      </c>
      <c r="AO13" s="106" t="s">
        <v>863</v>
      </c>
    </row>
    <row r="14" spans="1:41" hidden="1" x14ac:dyDescent="0.2">
      <c r="A14" t="str">
        <f ca="1">ORÇAMENTO!C14</f>
        <v>S</v>
      </c>
      <c r="B14">
        <f ca="1">ORÇAMENTO!D14</f>
        <v>0</v>
      </c>
      <c r="C14" s="113" t="str">
        <f ca="1">IF(OR($I14&gt;0,$A14=1,$A14=2,$A14=3,$A14=4),"F","")</f>
        <v/>
      </c>
      <c r="D14" s="116" t="str">
        <f ca="1">ORÇAMENTO!O14</f>
        <v>-</v>
      </c>
      <c r="E14" s="162" t="str">
        <f ca="1">ORÇAMENTO.Descricao</f>
        <v>(Sem Código)</v>
      </c>
      <c r="F14" s="163" t="str" cm="1">
        <f t="array" aca="1" ref="F14" ca="1">IF(RegimeExecucao="Global","",ORÇAMENTO.Unidade)</f>
        <v/>
      </c>
      <c r="G14" s="121" t="str" cm="1">
        <f t="array" aca="1" ref="G14" ca="1">IF(RegimeExecucao="Global","",ORÇAMENTO!T14)</f>
        <v/>
      </c>
      <c r="H14" s="121" t="str" cm="1">
        <f t="array" aca="1" ref="H14" ca="1">IF(RegimeExecucao="Global","",ORÇAMENTO!W14)</f>
        <v/>
      </c>
      <c r="I14" s="124">
        <f ca="1">ORÇAMENTO!X14</f>
        <v>0</v>
      </c>
      <c r="J14" s="332" cm="1">
        <f t="array" aca="1" ref="J14" ca="1">IF($A14="S",IF(CAIXA.Modo,BM.AFAnterior,BM.MEDAnterior),IF(AND(RegimeExecucao="Global",$I14&gt;0,COUNTIF($AB$13:$AM$13,BM.medicao-1)&gt;0),M14/$I14*100,0))</f>
        <v>0</v>
      </c>
      <c r="K14" s="121">
        <f ca="1">L14-J14</f>
        <v>0</v>
      </c>
      <c r="L14" s="333" cm="1">
        <f t="array" aca="1" ref="L14" ca="1">IF($A14="S",IF(CAIXA.Modo,BM.AFAcumulado,BM.MEDAcumulado),IF(AND(RegimeExecucao="Global",$I14&gt;0,COUNTIF($AB$13:$AM$13,BM.medicao)&gt;0),O14/$I14*100,0))</f>
        <v>0</v>
      </c>
      <c r="M14" s="334" cm="1">
        <f t="array" aca="1" ref="M14" ca="1">IF($A14="S",VTOTALBM,IF($A14=0,0,ROUND(SomaAgrupBM,15-13*ORÇAMENTO!$AF$11)))</f>
        <v>0</v>
      </c>
      <c r="N14" s="335">
        <f ca="1">O14-M14</f>
        <v>0</v>
      </c>
      <c r="O14" s="124" cm="1">
        <f t="array" aca="1" ref="O14" ca="1">IF($A14="S",VTOTALBM,IF($A14=0,0,ROUND(SomaAgrupBM,15-13*ORÇAMENTO!$AF$11)))</f>
        <v>0</v>
      </c>
      <c r="Q14" s="336"/>
      <c r="R14" s="337"/>
      <c r="T14" s="116" t="str">
        <f ca="1">IF($W14&gt;0,$D14,"")</f>
        <v/>
      </c>
      <c r="U14" s="162" t="str">
        <f ca="1">IF($W14&gt;0,$E14,"")</f>
        <v/>
      </c>
      <c r="V14" s="163" t="str" cm="1">
        <f t="array" aca="1" ref="V14" ca="1">IF(AND($W14&gt;0,RegimeExecucao="Unitário"),$F14,"")</f>
        <v/>
      </c>
      <c r="W14" s="453" cm="1">
        <f t="array" aca="1" ref="W14" ca="1">IF($Y14&gt;0,CHOOSE(MATCH(RegimeExecucao,{"Unitário","Global"},0),IF($A14="S",$Y14/$X14,""),($Y14/$X14)*100),0)</f>
        <v>0</v>
      </c>
      <c r="X14" s="338" t="str" cm="1">
        <f t="array" aca="1" ref="X14" ca="1">IF($Y14&gt;0,CHOOSE(MATCH(RegimeExecucao,{"Unitário","Global"},0),IF($A14="S",ROUND($H14,ORÇAMENTO!$AF$10),""),ROUND($I14,ORÇAMENTO!$AF$11)),"")</f>
        <v/>
      </c>
      <c r="Y14" s="338">
        <f ca="1">AO14-O14</f>
        <v>0</v>
      </c>
      <c r="Z14" s="472"/>
      <c r="AB14" s="336"/>
      <c r="AC14" s="436"/>
      <c r="AD14" s="436"/>
      <c r="AE14" s="436"/>
      <c r="AF14" s="436"/>
      <c r="AG14" s="436"/>
      <c r="AH14" s="436"/>
      <c r="AI14" s="436"/>
      <c r="AJ14" s="436"/>
      <c r="AK14" s="436"/>
      <c r="AL14" s="436"/>
      <c r="AM14" s="337"/>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3" t="s">
        <v>536</v>
      </c>
      <c r="D15" s="813" t="str">
        <f>"Objeto do CTEF: "&amp;Import.DescLote</f>
        <v>Objeto do CTEF: RECAPEAMENTO ASFÁLTICO DE VIAS PÚBLICAS NO MÚNICIPIO DE MARIALVA/PR</v>
      </c>
      <c r="E15" s="813"/>
      <c r="F15" s="454"/>
      <c r="G15" s="455"/>
      <c r="H15" s="455" t="s">
        <v>864</v>
      </c>
      <c r="I15" s="456" cm="1">
        <f t="array" ref="I15">IF(OR(ACOMPANHAMENTO="PLE",TIPOORCAMENTO="Proposto"),0,ORÇAMENTO!$X$15)</f>
        <v>0</v>
      </c>
      <c r="J15" s="339" cm="1">
        <f t="array" aca="1" ref="J15" ca="1">IF(M$15=0,0,IF(RegimeExecucao="Global",M$15/$I$15*100,0))</f>
        <v>0</v>
      </c>
      <c r="K15" s="339">
        <f ca="1">L15-J15</f>
        <v>0</v>
      </c>
      <c r="L15" s="339" cm="1">
        <f t="array" aca="1" ref="L15" ca="1">IF(O$15=0,0,IF(RegimeExecucao="Global",O$15/$I$15*100,0))</f>
        <v>0</v>
      </c>
      <c r="M15" s="340" cm="1">
        <f t="array" aca="1" ref="M15" ca="1">IF(OR(ACOMPANHAMENTO="PLE",TIPOORCAMENTO="Proposto"),0,SUMIF(OFFSET($A15,1,0):$A$35,"S",OFFSET(M15,1,0):M$35))</f>
        <v>0</v>
      </c>
      <c r="N15" s="340">
        <f ca="1">O15-M15</f>
        <v>0</v>
      </c>
      <c r="O15" s="340" cm="1">
        <f t="array" aca="1" ref="O15" ca="1">IF(OR(ACOMPANHAMENTO="PLE",TIPOORCAMENTO="Proposto"),0,SUMIF(OFFSET($A15,1,0):$A$35,"S",OFFSET(O15,1,0):O$35))</f>
        <v>0</v>
      </c>
      <c r="Q15" s="341"/>
      <c r="R15" s="341"/>
      <c r="T15" s="342"/>
      <c r="U15" s="343"/>
      <c r="V15" s="343"/>
      <c r="W15" s="343"/>
      <c r="X15" s="343"/>
      <c r="Y15" s="343"/>
      <c r="Z15" s="344"/>
      <c r="AB15" s="809" t="str" cm="1">
        <f t="array" aca="1" ref="AB15" ca="1">"Preencher abaixo com a "&amp;CHOOSE(MATCH(RegimeExecucao,{"Unitário","Global"},0),"QUANTIDADE","PORCENTAGEM")&amp;" executada no PERÍODO"</f>
        <v>Preencher abaixo com a PORCENTAGEM executada no PERÍODO</v>
      </c>
      <c r="AC15" s="809"/>
      <c r="AD15" s="809"/>
      <c r="AE15" s="809"/>
      <c r="AF15" s="809"/>
      <c r="AG15" s="809"/>
      <c r="AH15" s="809"/>
      <c r="AI15" s="809"/>
      <c r="AJ15" s="809"/>
      <c r="AK15" s="809"/>
      <c r="AL15" s="809"/>
      <c r="AM15" s="809"/>
    </row>
    <row r="16" spans="1:41" ht="25.5" x14ac:dyDescent="0.2">
      <c r="A16">
        <f ca="1">ORÇAMENTO!C16</f>
        <v>1</v>
      </c>
      <c r="B16">
        <f ca="1">ORÇAMENTO!D16</f>
        <v>19</v>
      </c>
      <c r="C16" s="113" t="str">
        <f t="shared" ref="C16:C34" ca="1" si="1">IF(OR($I16&gt;0,$A16=1,$A16=2,$A16=3,$A16=4),"F","")</f>
        <v>F</v>
      </c>
      <c r="D16" s="116" t="str">
        <f ca="1">ORÇAMENTO!O16</f>
        <v>1.</v>
      </c>
      <c r="E16" s="162" t="str">
        <f t="shared" ref="E16:E34" si="2">ORÇAMENTO.Descricao</f>
        <v>RECAPEAMENTO ASFÁLTICO DE VIAS PÚBLICAS NO MÚNICIPIO DE MARIALVA/PR</v>
      </c>
      <c r="F16" s="163" t="str" cm="1">
        <f t="array" aca="1" ref="F16" ca="1">IF(RegimeExecucao="Global","",ORÇAMENTO.Unidade)</f>
        <v/>
      </c>
      <c r="G16" s="121" t="str" cm="1">
        <f t="array" aca="1" ref="G16" ca="1">IF(RegimeExecucao="Global","",ORÇAMENTO!T16)</f>
        <v/>
      </c>
      <c r="H16" s="121" t="str" cm="1">
        <f t="array" aca="1" ref="H16" ca="1">IF(RegimeExecucao="Global","",ORÇAMENTO!W16)</f>
        <v/>
      </c>
      <c r="I16" s="124">
        <f ca="1">ORÇAMENTO!X16</f>
        <v>3091953.04</v>
      </c>
      <c r="J16" s="332" cm="1">
        <f t="array" aca="1" ref="J16" ca="1">IF($A16="S",IF(CAIXA.Modo,BM.AFAnterior,BM.MEDAnterior),IF(AND(RegimeExecucao="Global",$I16&gt;0,COUNTIF($AB$13:$AM$13,BM.medicao-1)&gt;0),M16/$I16*100,0))</f>
        <v>0</v>
      </c>
      <c r="K16" s="121">
        <f t="shared" ref="K16:K34" ca="1" si="3">L16-J16</f>
        <v>0</v>
      </c>
      <c r="L16" s="333" cm="1">
        <f t="array" aca="1" ref="L16" ca="1">IF($A16="S",IF(CAIXA.Modo,BM.AFAcumulado,BM.MEDAcumulado),IF(AND(RegimeExecucao="Global",$I16&gt;0,COUNTIF($AB$13:$AM$13,BM.medicao)&gt;0),O16/$I16*100,0))</f>
        <v>0</v>
      </c>
      <c r="M16" s="334" cm="1">
        <f t="array" aca="1" ref="M16" ca="1">IF($A16="S",VTOTALBM,IF($A16=0,0,ROUND(SomaAgrupBM,15-13*ORÇAMENTO!$AF$11)))</f>
        <v>0</v>
      </c>
      <c r="N16" s="335">
        <f t="shared" ref="N16:N34" ca="1" si="4">O16-M16</f>
        <v>0</v>
      </c>
      <c r="O16" s="124" cm="1">
        <f t="array" aca="1" ref="O16" ca="1">IF($A16="S",VTOTALBM,IF($A16=0,0,ROUND(SomaAgrupBM,15-13*ORÇAMENTO!$AF$11)))</f>
        <v>0</v>
      </c>
      <c r="Q16" s="336"/>
      <c r="R16" s="337"/>
      <c r="T16" s="116" t="str">
        <f t="shared" ref="T16:T34" ca="1" si="5">IF($W16&gt;0,$D16,"")</f>
        <v/>
      </c>
      <c r="U16" s="162" t="str">
        <f t="shared" ref="U16:U34" ca="1" si="6">IF($W16&gt;0,$E16,"")</f>
        <v/>
      </c>
      <c r="V16" s="163" t="str" cm="1">
        <f t="array" aca="1" ref="V16" ca="1">IF(AND($W16&gt;0,RegimeExecucao="Unitário"),$F16,"")</f>
        <v/>
      </c>
      <c r="W16" s="453" cm="1">
        <f t="array" aca="1" ref="W16" ca="1">IF($Y16&gt;0,CHOOSE(MATCH(RegimeExecucao,{"Unitário","Global"},0),IF($A16="S",$Y16/$X16,""),($Y16/$X16)*100),0)</f>
        <v>0</v>
      </c>
      <c r="X16" s="338" t="str" cm="1">
        <f t="array" aca="1" ref="X16" ca="1">IF($Y16&gt;0,CHOOSE(MATCH(RegimeExecucao,{"Unitário","Global"},0),IF($A16="S",ROUND($H16,ORÇAMENTO!$AF$10),""),ROUND($I16,ORÇAMENTO!$AF$11)),"")</f>
        <v/>
      </c>
      <c r="Y16" s="338">
        <f t="shared" ref="Y16:Y34" ca="1" si="7">AO16-O16</f>
        <v>0</v>
      </c>
      <c r="Z16" s="472"/>
      <c r="AB16" s="336"/>
      <c r="AC16" s="436"/>
      <c r="AD16" s="436"/>
      <c r="AE16" s="436"/>
      <c r="AF16" s="436"/>
      <c r="AG16" s="436"/>
      <c r="AH16" s="436"/>
      <c r="AI16" s="436"/>
      <c r="AJ16" s="436"/>
      <c r="AK16" s="436"/>
      <c r="AL16" s="436"/>
      <c r="AM16" s="337"/>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3" t="str">
        <f ca="1">IF(OR($I17&gt;0,$A17=1,$A17=2,$A17=3,$A17=4),"F","")</f>
        <v>F</v>
      </c>
      <c r="D17" s="116" t="str">
        <f ca="1">ORÇAMENTO!O17</f>
        <v>1.1.</v>
      </c>
      <c r="E17" s="162" t="str">
        <f t="shared" ref="E17:E26" si="8">ORÇAMENTO.Descricao</f>
        <v>Serviços preliminares</v>
      </c>
      <c r="F17" s="163" t="str" cm="1">
        <f t="array" aca="1" ref="F17" ca="1">IF(RegimeExecucao="Global","",ORÇAMENTO.Unidade)</f>
        <v/>
      </c>
      <c r="G17" s="121" t="str" cm="1">
        <f t="array" aca="1" ref="G17" ca="1">IF(RegimeExecucao="Global","",ORÇAMENTO!T17)</f>
        <v/>
      </c>
      <c r="H17" s="121" t="str" cm="1">
        <f t="array" aca="1" ref="H17" ca="1">IF(RegimeExecucao="Global","",ORÇAMENTO!W17)</f>
        <v/>
      </c>
      <c r="I17" s="124">
        <f ca="1">ORÇAMENTO!X17</f>
        <v>151059.64000000001</v>
      </c>
      <c r="J17" s="332" cm="1">
        <f t="array" aca="1" ref="J17" ca="1">IF($A17="S",IF(CAIXA.Modo,BM.AFAnterior,BM.MEDAnterior),IF(AND(RegimeExecucao="Global",$I17&gt;0,COUNTIF($AB$13:$AM$13,BM.medicao-1)&gt;0),M17/$I17*100,0))</f>
        <v>0</v>
      </c>
      <c r="K17" s="121">
        <f ca="1">L17-J17</f>
        <v>0</v>
      </c>
      <c r="L17" s="333" cm="1">
        <f t="array" aca="1" ref="L17" ca="1">IF($A17="S",IF(CAIXA.Modo,BM.AFAcumulado,BM.MEDAcumulado),IF(AND(RegimeExecucao="Global",$I17&gt;0,COUNTIF($AB$13:$AM$13,BM.medicao)&gt;0),O17/$I17*100,0))</f>
        <v>0</v>
      </c>
      <c r="M17" s="334" cm="1">
        <f t="array" aca="1" ref="M17" ca="1">IF($A17="S",VTOTALBM,IF($A17=0,0,ROUND(SomaAgrupBM,15-13*ORÇAMENTO!$AF$11)))</f>
        <v>0</v>
      </c>
      <c r="N17" s="335">
        <f ca="1">O17-M17</f>
        <v>0</v>
      </c>
      <c r="O17" s="124" cm="1">
        <f t="array" aca="1" ref="O17" ca="1">IF($A17="S",VTOTALBM,IF($A17=0,0,ROUND(SomaAgrupBM,15-13*ORÇAMENTO!$AF$11)))</f>
        <v>0</v>
      </c>
      <c r="Q17" s="336"/>
      <c r="R17" s="337"/>
      <c r="T17" s="116" t="str">
        <f ca="1">IF($W17&gt;0,$D17,"")</f>
        <v/>
      </c>
      <c r="U17" s="162" t="str">
        <f ca="1">IF($W17&gt;0,$E17,"")</f>
        <v/>
      </c>
      <c r="V17" s="163" t="str" cm="1">
        <f t="array" aca="1" ref="V17" ca="1">IF(AND($W17&gt;0,RegimeExecucao="Unitário"),$F17,"")</f>
        <v/>
      </c>
      <c r="W17" s="453" cm="1">
        <f t="array" aca="1" ref="W17" ca="1">IF($Y17&gt;0,CHOOSE(MATCH(RegimeExecucao,{"Unitário","Global"},0),IF($A17="S",$Y17/$X17,""),($Y17/$X17)*100),0)</f>
        <v>0</v>
      </c>
      <c r="X17" s="338" t="str" cm="1">
        <f t="array" aca="1" ref="X17" ca="1">IF($Y17&gt;0,CHOOSE(MATCH(RegimeExecucao,{"Unitário","Global"},0),IF($A17="S",ROUND($H17,ORÇAMENTO!$AF$10),""),ROUND($I17,ORÇAMENTO!$AF$11)),"")</f>
        <v/>
      </c>
      <c r="Y17" s="338">
        <f ca="1">AO17-O17</f>
        <v>0</v>
      </c>
      <c r="Z17" s="472"/>
      <c r="AB17" s="336"/>
      <c r="AC17" s="436"/>
      <c r="AD17" s="436"/>
      <c r="AE17" s="436"/>
      <c r="AF17" s="436"/>
      <c r="AG17" s="436"/>
      <c r="AH17" s="436"/>
      <c r="AI17" s="436"/>
      <c r="AJ17" s="436"/>
      <c r="AK17" s="436"/>
      <c r="AL17" s="436"/>
      <c r="AM17" s="337"/>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3" t="str">
        <f ca="1">IF(OR($I18&gt;0,$A18=1,$A18=2,$A18=3,$A18=4),"F","")</f>
        <v>F</v>
      </c>
      <c r="D18" s="116" t="str">
        <f ca="1">ORÇAMENTO!O18</f>
        <v>1.1.1.</v>
      </c>
      <c r="E18" s="162" t="str">
        <f t="shared" ca="1" si="8"/>
        <v>(Código não identificado nas referências)</v>
      </c>
      <c r="F18" s="163" t="str" cm="1">
        <f t="array" aca="1" ref="F18" ca="1">IF(RegimeExecucao="Global","",ORÇAMENTO.Unidade)</f>
        <v/>
      </c>
      <c r="G18" s="121" t="str" cm="1">
        <f t="array" aca="1" ref="G18" ca="1">IF(RegimeExecucao="Global","",ORÇAMENTO!T18)</f>
        <v/>
      </c>
      <c r="H18" s="121" t="str" cm="1">
        <f t="array" aca="1" ref="H18" ca="1">IF(RegimeExecucao="Global","",ORÇAMENTO!W18)</f>
        <v/>
      </c>
      <c r="I18" s="124">
        <f ca="1">ORÇAMENTO!X18</f>
        <v>4089.01</v>
      </c>
      <c r="J18" s="332" cm="1">
        <f t="array" aca="1" ref="J18" ca="1">IF($A18="S",IF(CAIXA.Modo,BM.AFAnterior,BM.MEDAnterior),IF(AND(RegimeExecucao="Global",$I18&gt;0,COUNTIF($AB$13:$AM$13,BM.medicao-1)&gt;0),M18/$I18*100,0))</f>
        <v>0</v>
      </c>
      <c r="K18" s="121">
        <f ca="1">L18-J18</f>
        <v>0</v>
      </c>
      <c r="L18" s="333" cm="1">
        <f t="array" aca="1" ref="L18" ca="1">IF($A18="S",IF(CAIXA.Modo,BM.AFAcumulado,BM.MEDAcumulado),IF(AND(RegimeExecucao="Global",$I18&gt;0,COUNTIF($AB$13:$AM$13,BM.medicao)&gt;0),O18/$I18*100,0))</f>
        <v>0</v>
      </c>
      <c r="M18" s="334" cm="1">
        <f t="array" aca="1" ref="M18" ca="1">IF($A18="S",VTOTALBM,IF($A18=0,0,ROUND(SomaAgrupBM,15-13*ORÇAMENTO!$AF$11)))</f>
        <v>0</v>
      </c>
      <c r="N18" s="335">
        <f ca="1">O18-M18</f>
        <v>0</v>
      </c>
      <c r="O18" s="124" cm="1">
        <f t="array" aca="1" ref="O18" ca="1">IF($A18="S",VTOTALBM,IF($A18=0,0,ROUND(SomaAgrupBM,15-13*ORÇAMENTO!$AF$11)))</f>
        <v>0</v>
      </c>
      <c r="Q18" s="336"/>
      <c r="R18" s="337"/>
      <c r="T18" s="116" t="str">
        <f ca="1">IF($W18&gt;0,$D18,"")</f>
        <v/>
      </c>
      <c r="U18" s="162" t="str">
        <f ca="1">IF($W18&gt;0,$E18,"")</f>
        <v/>
      </c>
      <c r="V18" s="163" t="str" cm="1">
        <f t="array" aca="1" ref="V18" ca="1">IF(AND($W18&gt;0,RegimeExecucao="Unitário"),$F18,"")</f>
        <v/>
      </c>
      <c r="W18" s="453" cm="1">
        <f t="array" aca="1" ref="W18" ca="1">IF($Y18&gt;0,CHOOSE(MATCH(RegimeExecucao,{"Unitário","Global"},0),IF($A18="S",$Y18/$X18,""),($Y18/$X18)*100),0)</f>
        <v>0</v>
      </c>
      <c r="X18" s="338" t="str" cm="1">
        <f t="array" aca="1" ref="X18" ca="1">IF($Y18&gt;0,CHOOSE(MATCH(RegimeExecucao,{"Unitário","Global"},0),IF($A18="S",ROUND($H18,ORÇAMENTO!$AF$10),""),ROUND($I18,ORÇAMENTO!$AF$11)),"")</f>
        <v/>
      </c>
      <c r="Y18" s="338">
        <f ca="1">AO18-O18</f>
        <v>0</v>
      </c>
      <c r="Z18" s="472"/>
      <c r="AB18" s="336"/>
      <c r="AC18" s="436"/>
      <c r="AD18" s="436"/>
      <c r="AE18" s="436"/>
      <c r="AF18" s="436"/>
      <c r="AG18" s="436"/>
      <c r="AH18" s="436"/>
      <c r="AI18" s="436"/>
      <c r="AJ18" s="436"/>
      <c r="AK18" s="436"/>
      <c r="AL18" s="436"/>
      <c r="AM18" s="337"/>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3" t="str">
        <f ca="1">IF(OR($I19&gt;0,$A19=1,$A19=2,$A19=3,$A19=4),"F","")</f>
        <v>F</v>
      </c>
      <c r="D19" s="116" t="str">
        <f ca="1">ORÇAMENTO!O19</f>
        <v>1.1.2.</v>
      </c>
      <c r="E19" s="162" t="str">
        <f t="shared" ca="1" si="8"/>
        <v>(Código não identificado nas referências)</v>
      </c>
      <c r="F19" s="163" t="str" cm="1">
        <f t="array" aca="1" ref="F19" ca="1">IF(RegimeExecucao="Global","",ORÇAMENTO.Unidade)</f>
        <v/>
      </c>
      <c r="G19" s="121" t="str" cm="1">
        <f t="array" aca="1" ref="G19" ca="1">IF(RegimeExecucao="Global","",ORÇAMENTO!T19)</f>
        <v/>
      </c>
      <c r="H19" s="121" t="str" cm="1">
        <f t="array" aca="1" ref="H19" ca="1">IF(RegimeExecucao="Global","",ORÇAMENTO!W19)</f>
        <v/>
      </c>
      <c r="I19" s="124">
        <f ca="1">ORÇAMENTO!X19</f>
        <v>116692.72000000002</v>
      </c>
      <c r="J19" s="332" cm="1">
        <f t="array" aca="1" ref="J19" ca="1">IF($A19="S",IF(CAIXA.Modo,BM.AFAnterior,BM.MEDAnterior),IF(AND(RegimeExecucao="Global",$I19&gt;0,COUNTIF($AB$13:$AM$13,BM.medicao-1)&gt;0),M19/$I19*100,0))</f>
        <v>0</v>
      </c>
      <c r="K19" s="121">
        <f ca="1">L19-J19</f>
        <v>0</v>
      </c>
      <c r="L19" s="333" cm="1">
        <f t="array" aca="1" ref="L19" ca="1">IF($A19="S",IF(CAIXA.Modo,BM.AFAcumulado,BM.MEDAcumulado),IF(AND(RegimeExecucao="Global",$I19&gt;0,COUNTIF($AB$13:$AM$13,BM.medicao)&gt;0),O19/$I19*100,0))</f>
        <v>0</v>
      </c>
      <c r="M19" s="334" cm="1">
        <f t="array" aca="1" ref="M19" ca="1">IF($A19="S",VTOTALBM,IF($A19=0,0,ROUND(SomaAgrupBM,15-13*ORÇAMENTO!$AF$11)))</f>
        <v>0</v>
      </c>
      <c r="N19" s="335">
        <f ca="1">O19-M19</f>
        <v>0</v>
      </c>
      <c r="O19" s="124" cm="1">
        <f t="array" aca="1" ref="O19" ca="1">IF($A19="S",VTOTALBM,IF($A19=0,0,ROUND(SomaAgrupBM,15-13*ORÇAMENTO!$AF$11)))</f>
        <v>0</v>
      </c>
      <c r="Q19" s="336"/>
      <c r="R19" s="337"/>
      <c r="T19" s="116" t="str">
        <f ca="1">IF($W19&gt;0,$D19,"")</f>
        <v/>
      </c>
      <c r="U19" s="162" t="str">
        <f ca="1">IF($W19&gt;0,$E19,"")</f>
        <v/>
      </c>
      <c r="V19" s="163" t="str" cm="1">
        <f t="array" aca="1" ref="V19" ca="1">IF(AND($W19&gt;0,RegimeExecucao="Unitário"),$F19,"")</f>
        <v/>
      </c>
      <c r="W19" s="453" cm="1">
        <f t="array" aca="1" ref="W19" ca="1">IF($Y19&gt;0,CHOOSE(MATCH(RegimeExecucao,{"Unitário","Global"},0),IF($A19="S",$Y19/$X19,""),($Y19/$X19)*100),0)</f>
        <v>0</v>
      </c>
      <c r="X19" s="338" t="str" cm="1">
        <f t="array" aca="1" ref="X19" ca="1">IF($Y19&gt;0,CHOOSE(MATCH(RegimeExecucao,{"Unitário","Global"},0),IF($A19="S",ROUND($H19,ORÇAMENTO!$AF$10),""),ROUND($I19,ORÇAMENTO!$AF$11)),"")</f>
        <v/>
      </c>
      <c r="Y19" s="338">
        <f ca="1">AO19-O19</f>
        <v>0</v>
      </c>
      <c r="Z19" s="472"/>
      <c r="AB19" s="336"/>
      <c r="AC19" s="436"/>
      <c r="AD19" s="436"/>
      <c r="AE19" s="436"/>
      <c r="AF19" s="436"/>
      <c r="AG19" s="436"/>
      <c r="AH19" s="436"/>
      <c r="AI19" s="436"/>
      <c r="AJ19" s="436"/>
      <c r="AK19" s="436"/>
      <c r="AL19" s="436"/>
      <c r="AM19" s="337"/>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3" t="str">
        <f t="shared" ref="C20:C23" ca="1" si="9">IF(OR($I20&gt;0,$A20=1,$A20=2,$A20=3,$A20=4),"F","")</f>
        <v>F</v>
      </c>
      <c r="D20" s="116" t="str">
        <f ca="1">ORÇAMENTO!O20</f>
        <v>1.1.3.</v>
      </c>
      <c r="E20" s="162" t="str">
        <f t="shared" ca="1" si="8"/>
        <v>(Código não identificado nas referências)</v>
      </c>
      <c r="F20" s="163" t="str" cm="1">
        <f t="array" aca="1" ref="F20" ca="1">IF(RegimeExecucao="Global","",ORÇAMENTO.Unidade)</f>
        <v/>
      </c>
      <c r="G20" s="121" t="str" cm="1">
        <f t="array" aca="1" ref="G20" ca="1">IF(RegimeExecucao="Global","",ORÇAMENTO!T20)</f>
        <v/>
      </c>
      <c r="H20" s="121" t="str" cm="1">
        <f t="array" aca="1" ref="H20" ca="1">IF(RegimeExecucao="Global","",ORÇAMENTO!W20)</f>
        <v/>
      </c>
      <c r="I20" s="124">
        <f ca="1">ORÇAMENTO!X20</f>
        <v>30277.91</v>
      </c>
      <c r="J20" s="332" cm="1">
        <f t="array" aca="1" ref="J20" ca="1">IF($A20="S",IF(CAIXA.Modo,BM.AFAnterior,BM.MEDAnterior),IF(AND(RegimeExecucao="Global",$I20&gt;0,COUNTIF($AB$13:$AM$13,BM.medicao-1)&gt;0),M20/$I20*100,0))</f>
        <v>0</v>
      </c>
      <c r="K20" s="121">
        <f t="shared" ref="K20:K23" ca="1" si="10">L20-J20</f>
        <v>0</v>
      </c>
      <c r="L20" s="333" cm="1">
        <f t="array" aca="1" ref="L20" ca="1">IF($A20="S",IF(CAIXA.Modo,BM.AFAcumulado,BM.MEDAcumulado),IF(AND(RegimeExecucao="Global",$I20&gt;0,COUNTIF($AB$13:$AM$13,BM.medicao)&gt;0),O20/$I20*100,0))</f>
        <v>0</v>
      </c>
      <c r="M20" s="334" cm="1">
        <f t="array" aca="1" ref="M20" ca="1">IF($A20="S",VTOTALBM,IF($A20=0,0,ROUND(SomaAgrupBM,15-13*ORÇAMENTO!$AF$11)))</f>
        <v>0</v>
      </c>
      <c r="N20" s="335">
        <f t="shared" ref="N20:N23" ca="1" si="11">O20-M20</f>
        <v>0</v>
      </c>
      <c r="O20" s="124" cm="1">
        <f t="array" aca="1" ref="O20" ca="1">IF($A20="S",VTOTALBM,IF($A20=0,0,ROUND(SomaAgrupBM,15-13*ORÇAMENTO!$AF$11)))</f>
        <v>0</v>
      </c>
      <c r="Q20" s="336"/>
      <c r="R20" s="337"/>
      <c r="T20" s="116" t="str">
        <f t="shared" ref="T20:T23" ca="1" si="12">IF($W20&gt;0,$D20,"")</f>
        <v/>
      </c>
      <c r="U20" s="162" t="str">
        <f t="shared" ref="U20:U23" ca="1" si="13">IF($W20&gt;0,$E20,"")</f>
        <v/>
      </c>
      <c r="V20" s="163" t="str" cm="1">
        <f t="array" aca="1" ref="V20" ca="1">IF(AND($W20&gt;0,RegimeExecucao="Unitário"),$F20,"")</f>
        <v/>
      </c>
      <c r="W20" s="453" cm="1">
        <f t="array" aca="1" ref="W20" ca="1">IF($Y20&gt;0,CHOOSE(MATCH(RegimeExecucao,{"Unitário","Global"},0),IF($A20="S",$Y20/$X20,""),($Y20/$X20)*100),0)</f>
        <v>0</v>
      </c>
      <c r="X20" s="338" t="str" cm="1">
        <f t="array" aca="1" ref="X20" ca="1">IF($Y20&gt;0,CHOOSE(MATCH(RegimeExecucao,{"Unitário","Global"},0),IF($A20="S",ROUND($H20,ORÇAMENTO!$AF$10),""),ROUND($I20,ORÇAMENTO!$AF$11)),"")</f>
        <v/>
      </c>
      <c r="Y20" s="338">
        <f t="shared" ref="Y20:Y23" ca="1" si="14">AO20-O20</f>
        <v>0</v>
      </c>
      <c r="Z20" s="472"/>
      <c r="AB20" s="336"/>
      <c r="AC20" s="436"/>
      <c r="AD20" s="436"/>
      <c r="AE20" s="436"/>
      <c r="AF20" s="436"/>
      <c r="AG20" s="436"/>
      <c r="AH20" s="436"/>
      <c r="AI20" s="436"/>
      <c r="AJ20" s="436"/>
      <c r="AK20" s="436"/>
      <c r="AL20" s="436"/>
      <c r="AM20" s="337"/>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5</v>
      </c>
      <c r="C21" s="113" t="str">
        <f ca="1">IF(OR($I21&gt;0,$A21=1,$A21=2,$A21=3,$A21=4),"F","")</f>
        <v>F</v>
      </c>
      <c r="D21" s="116" t="str">
        <f ca="1">ORÇAMENTO!O21</f>
        <v>1.2.</v>
      </c>
      <c r="E21" s="162" t="str">
        <f t="shared" si="8"/>
        <v>Base/Sub Base</v>
      </c>
      <c r="F21" s="163" t="str" cm="1">
        <f t="array" aca="1" ref="F21" ca="1">IF(RegimeExecucao="Global","",ORÇAMENTO.Unidade)</f>
        <v/>
      </c>
      <c r="G21" s="121" t="str" cm="1">
        <f t="array" aca="1" ref="G21" ca="1">IF(RegimeExecucao="Global","",ORÇAMENTO!T21)</f>
        <v/>
      </c>
      <c r="H21" s="121" t="str" cm="1">
        <f t="array" aca="1" ref="H21" ca="1">IF(RegimeExecucao="Global","",ORÇAMENTO!W21)</f>
        <v/>
      </c>
      <c r="I21" s="124">
        <f ca="1">ORÇAMENTO!X21</f>
        <v>142625.49</v>
      </c>
      <c r="J21" s="332" cm="1">
        <f t="array" aca="1" ref="J21" ca="1">IF($A21="S",IF(CAIXA.Modo,BM.AFAnterior,BM.MEDAnterior),IF(AND(RegimeExecucao="Global",$I21&gt;0,COUNTIF($AB$13:$AM$13,BM.medicao-1)&gt;0),M21/$I21*100,0))</f>
        <v>0</v>
      </c>
      <c r="K21" s="121">
        <f ca="1">L21-J21</f>
        <v>0</v>
      </c>
      <c r="L21" s="333" cm="1">
        <f t="array" aca="1" ref="L21" ca="1">IF($A21="S",IF(CAIXA.Modo,BM.AFAcumulado,BM.MEDAcumulado),IF(AND(RegimeExecucao="Global",$I21&gt;0,COUNTIF($AB$13:$AM$13,BM.medicao)&gt;0),O21/$I21*100,0))</f>
        <v>0</v>
      </c>
      <c r="M21" s="334" cm="1">
        <f t="array" aca="1" ref="M21" ca="1">IF($A21="S",VTOTALBM,IF($A21=0,0,ROUND(SomaAgrupBM,15-13*ORÇAMENTO!$AF$11)))</f>
        <v>0</v>
      </c>
      <c r="N21" s="335">
        <f ca="1">O21-M21</f>
        <v>0</v>
      </c>
      <c r="O21" s="124" cm="1">
        <f t="array" aca="1" ref="O21" ca="1">IF($A21="S",VTOTALBM,IF($A21=0,0,ROUND(SomaAgrupBM,15-13*ORÇAMENTO!$AF$11)))</f>
        <v>0</v>
      </c>
      <c r="Q21" s="336"/>
      <c r="R21" s="337"/>
      <c r="T21" s="116" t="str">
        <f ca="1">IF($W21&gt;0,$D21,"")</f>
        <v/>
      </c>
      <c r="U21" s="162" t="str">
        <f ca="1">IF($W21&gt;0,$E21,"")</f>
        <v/>
      </c>
      <c r="V21" s="163" t="str" cm="1">
        <f t="array" aca="1" ref="V21" ca="1">IF(AND($W21&gt;0,RegimeExecucao="Unitário"),$F21,"")</f>
        <v/>
      </c>
      <c r="W21" s="453" cm="1">
        <f t="array" aca="1" ref="W21" ca="1">IF($Y21&gt;0,CHOOSE(MATCH(RegimeExecucao,{"Unitário","Global"},0),IF($A21="S",$Y21/$X21,""),($Y21/$X21)*100),0)</f>
        <v>0</v>
      </c>
      <c r="X21" s="338" t="str" cm="1">
        <f t="array" aca="1" ref="X21" ca="1">IF($Y21&gt;0,CHOOSE(MATCH(RegimeExecucao,{"Unitário","Global"},0),IF($A21="S",ROUND($H21,ORÇAMENTO!$AF$10),""),ROUND($I21,ORÇAMENTO!$AF$11)),"")</f>
        <v/>
      </c>
      <c r="Y21" s="338">
        <f ca="1">AO21-O21</f>
        <v>0</v>
      </c>
      <c r="Z21" s="472"/>
      <c r="AB21" s="336"/>
      <c r="AC21" s="436"/>
      <c r="AD21" s="436"/>
      <c r="AE21" s="436"/>
      <c r="AF21" s="436"/>
      <c r="AG21" s="436"/>
      <c r="AH21" s="436"/>
      <c r="AI21" s="436"/>
      <c r="AJ21" s="436"/>
      <c r="AK21" s="436"/>
      <c r="AL21" s="436"/>
      <c r="AM21" s="337"/>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3" t="str">
        <f t="shared" ca="1" si="9"/>
        <v>F</v>
      </c>
      <c r="D22" s="116" t="str">
        <f ca="1">ORÇAMENTO!O22</f>
        <v>1.2.1.</v>
      </c>
      <c r="E22" s="162" t="str">
        <f t="shared" ca="1" si="8"/>
        <v>(Código não identificado nas referências)</v>
      </c>
      <c r="F22" s="163" t="str" cm="1">
        <f t="array" aca="1" ref="F22" ca="1">IF(RegimeExecucao="Global","",ORÇAMENTO.Unidade)</f>
        <v/>
      </c>
      <c r="G22" s="121" t="str" cm="1">
        <f t="array" aca="1" ref="G22" ca="1">IF(RegimeExecucao="Global","",ORÇAMENTO!T22)</f>
        <v/>
      </c>
      <c r="H22" s="121" t="str" cm="1">
        <f t="array" aca="1" ref="H22" ca="1">IF(RegimeExecucao="Global","",ORÇAMENTO!W22)</f>
        <v/>
      </c>
      <c r="I22" s="124">
        <f ca="1">ORÇAMENTO!X22</f>
        <v>20278.03</v>
      </c>
      <c r="J22" s="332" cm="1">
        <f t="array" aca="1" ref="J22" ca="1">IF($A22="S",IF(CAIXA.Modo,BM.AFAnterior,BM.MEDAnterior),IF(AND(RegimeExecucao="Global",$I22&gt;0,COUNTIF($AB$13:$AM$13,BM.medicao-1)&gt;0),M22/$I22*100,0))</f>
        <v>0</v>
      </c>
      <c r="K22" s="121">
        <f t="shared" ca="1" si="10"/>
        <v>0</v>
      </c>
      <c r="L22" s="333" cm="1">
        <f t="array" aca="1" ref="L22" ca="1">IF($A22="S",IF(CAIXA.Modo,BM.AFAcumulado,BM.MEDAcumulado),IF(AND(RegimeExecucao="Global",$I22&gt;0,COUNTIF($AB$13:$AM$13,BM.medicao)&gt;0),O22/$I22*100,0))</f>
        <v>0</v>
      </c>
      <c r="M22" s="334" cm="1">
        <f t="array" aca="1" ref="M22" ca="1">IF($A22="S",VTOTALBM,IF($A22=0,0,ROUND(SomaAgrupBM,15-13*ORÇAMENTO!$AF$11)))</f>
        <v>0</v>
      </c>
      <c r="N22" s="335">
        <f t="shared" ca="1" si="11"/>
        <v>0</v>
      </c>
      <c r="O22" s="124" cm="1">
        <f t="array" aca="1" ref="O22" ca="1">IF($A22="S",VTOTALBM,IF($A22=0,0,ROUND(SomaAgrupBM,15-13*ORÇAMENTO!$AF$11)))</f>
        <v>0</v>
      </c>
      <c r="Q22" s="336"/>
      <c r="R22" s="337"/>
      <c r="T22" s="116" t="str">
        <f t="shared" ca="1" si="12"/>
        <v/>
      </c>
      <c r="U22" s="162" t="str">
        <f t="shared" ca="1" si="13"/>
        <v/>
      </c>
      <c r="V22" s="163" t="str" cm="1">
        <f t="array" aca="1" ref="V22" ca="1">IF(AND($W22&gt;0,RegimeExecucao="Unitário"),$F22,"")</f>
        <v/>
      </c>
      <c r="W22" s="453" cm="1">
        <f t="array" aca="1" ref="W22" ca="1">IF($Y22&gt;0,CHOOSE(MATCH(RegimeExecucao,{"Unitário","Global"},0),IF($A22="S",$Y22/$X22,""),($Y22/$X22)*100),0)</f>
        <v>0</v>
      </c>
      <c r="X22" s="338" t="str" cm="1">
        <f t="array" aca="1" ref="X22" ca="1">IF($Y22&gt;0,CHOOSE(MATCH(RegimeExecucao,{"Unitário","Global"},0),IF($A22="S",ROUND($H22,ORÇAMENTO!$AF$10),""),ROUND($I22,ORÇAMENTO!$AF$11)),"")</f>
        <v/>
      </c>
      <c r="Y22" s="338">
        <f t="shared" ca="1" si="14"/>
        <v>0</v>
      </c>
      <c r="Z22" s="472"/>
      <c r="AB22" s="336"/>
      <c r="AC22" s="436"/>
      <c r="AD22" s="436"/>
      <c r="AE22" s="436"/>
      <c r="AF22" s="436"/>
      <c r="AG22" s="436"/>
      <c r="AH22" s="436"/>
      <c r="AI22" s="436"/>
      <c r="AJ22" s="436"/>
      <c r="AK22" s="436"/>
      <c r="AL22" s="436"/>
      <c r="AM22" s="337"/>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3" t="str">
        <f t="shared" ca="1" si="9"/>
        <v>F</v>
      </c>
      <c r="D23" s="116" t="str">
        <f ca="1">ORÇAMENTO!O23</f>
        <v>1.2.2.</v>
      </c>
      <c r="E23" s="162" t="str">
        <f t="shared" ca="1" si="8"/>
        <v>(Código não identificado nas referências)</v>
      </c>
      <c r="F23" s="163" t="str" cm="1">
        <f t="array" aca="1" ref="F23" ca="1">IF(RegimeExecucao="Global","",ORÇAMENTO.Unidade)</f>
        <v/>
      </c>
      <c r="G23" s="121" t="str" cm="1">
        <f t="array" aca="1" ref="G23" ca="1">IF(RegimeExecucao="Global","",ORÇAMENTO!T23)</f>
        <v/>
      </c>
      <c r="H23" s="121" t="str" cm="1">
        <f t="array" aca="1" ref="H23" ca="1">IF(RegimeExecucao="Global","",ORÇAMENTO!W23)</f>
        <v/>
      </c>
      <c r="I23" s="124">
        <f ca="1">ORÇAMENTO!X23</f>
        <v>93017.68</v>
      </c>
      <c r="J23" s="332" cm="1">
        <f t="array" aca="1" ref="J23" ca="1">IF($A23="S",IF(CAIXA.Modo,BM.AFAnterior,BM.MEDAnterior),IF(AND(RegimeExecucao="Global",$I23&gt;0,COUNTIF($AB$13:$AM$13,BM.medicao-1)&gt;0),M23/$I23*100,0))</f>
        <v>0</v>
      </c>
      <c r="K23" s="121">
        <f t="shared" ca="1" si="10"/>
        <v>0</v>
      </c>
      <c r="L23" s="333" cm="1">
        <f t="array" aca="1" ref="L23" ca="1">IF($A23="S",IF(CAIXA.Modo,BM.AFAcumulado,BM.MEDAcumulado),IF(AND(RegimeExecucao="Global",$I23&gt;0,COUNTIF($AB$13:$AM$13,BM.medicao)&gt;0),O23/$I23*100,0))</f>
        <v>0</v>
      </c>
      <c r="M23" s="334" cm="1">
        <f t="array" aca="1" ref="M23" ca="1">IF($A23="S",VTOTALBM,IF($A23=0,0,ROUND(SomaAgrupBM,15-13*ORÇAMENTO!$AF$11)))</f>
        <v>0</v>
      </c>
      <c r="N23" s="335">
        <f t="shared" ca="1" si="11"/>
        <v>0</v>
      </c>
      <c r="O23" s="124" cm="1">
        <f t="array" aca="1" ref="O23" ca="1">IF($A23="S",VTOTALBM,IF($A23=0,0,ROUND(SomaAgrupBM,15-13*ORÇAMENTO!$AF$11)))</f>
        <v>0</v>
      </c>
      <c r="Q23" s="336"/>
      <c r="R23" s="337"/>
      <c r="T23" s="116" t="str">
        <f t="shared" ca="1" si="12"/>
        <v/>
      </c>
      <c r="U23" s="162" t="str">
        <f t="shared" ca="1" si="13"/>
        <v/>
      </c>
      <c r="V23" s="163" t="str" cm="1">
        <f t="array" aca="1" ref="V23" ca="1">IF(AND($W23&gt;0,RegimeExecucao="Unitário"),$F23,"")</f>
        <v/>
      </c>
      <c r="W23" s="453" cm="1">
        <f t="array" aca="1" ref="W23" ca="1">IF($Y23&gt;0,CHOOSE(MATCH(RegimeExecucao,{"Unitário","Global"},0),IF($A23="S",$Y23/$X23,""),($Y23/$X23)*100),0)</f>
        <v>0</v>
      </c>
      <c r="X23" s="338" t="str" cm="1">
        <f t="array" aca="1" ref="X23" ca="1">IF($Y23&gt;0,CHOOSE(MATCH(RegimeExecucao,{"Unitário","Global"},0),IF($A23="S",ROUND($H23,ORÇAMENTO!$AF$10),""),ROUND($I23,ORÇAMENTO!$AF$11)),"")</f>
        <v/>
      </c>
      <c r="Y23" s="338">
        <f t="shared" ca="1" si="14"/>
        <v>0</v>
      </c>
      <c r="Z23" s="472"/>
      <c r="AB23" s="336"/>
      <c r="AC23" s="436"/>
      <c r="AD23" s="436"/>
      <c r="AE23" s="436"/>
      <c r="AF23" s="436"/>
      <c r="AG23" s="436"/>
      <c r="AH23" s="436"/>
      <c r="AI23" s="436"/>
      <c r="AJ23" s="436"/>
      <c r="AK23" s="436"/>
      <c r="AL23" s="436"/>
      <c r="AM23" s="337"/>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3" t="str">
        <f ca="1">IF(OR($I24&gt;0,$A24=1,$A24=2,$A24=3,$A24=4),"F","")</f>
        <v>F</v>
      </c>
      <c r="D24" s="116" t="str">
        <f ca="1">ORÇAMENTO!O24</f>
        <v>1.2.3.</v>
      </c>
      <c r="E24" s="162" t="str">
        <f ca="1">ORÇAMENTO.Descricao</f>
        <v>(Código não identificado nas referências)</v>
      </c>
      <c r="F24" s="163" t="str" cm="1">
        <f t="array" aca="1" ref="F24" ca="1">IF(RegimeExecucao="Global","",ORÇAMENTO.Unidade)</f>
        <v/>
      </c>
      <c r="G24" s="121" t="str" cm="1">
        <f t="array" aca="1" ref="G24" ca="1">IF(RegimeExecucao="Global","",ORÇAMENTO!T24)</f>
        <v/>
      </c>
      <c r="H24" s="121" t="str" cm="1">
        <f t="array" aca="1" ref="H24" ca="1">IF(RegimeExecucao="Global","",ORÇAMENTO!W24)</f>
        <v/>
      </c>
      <c r="I24" s="124">
        <f ca="1">ORÇAMENTO!X24</f>
        <v>13138.08</v>
      </c>
      <c r="J24" s="332" cm="1">
        <f t="array" aca="1" ref="J24" ca="1">IF($A24="S",IF(CAIXA.Modo,BM.AFAnterior,BM.MEDAnterior),IF(AND(RegimeExecucao="Global",$I24&gt;0,COUNTIF($AB$13:$AM$13,BM.medicao-1)&gt;0),M24/$I24*100,0))</f>
        <v>0</v>
      </c>
      <c r="K24" s="121">
        <f ca="1">L24-J24</f>
        <v>0</v>
      </c>
      <c r="L24" s="333" cm="1">
        <f t="array" aca="1" ref="L24" ca="1">IF($A24="S",IF(CAIXA.Modo,BM.AFAcumulado,BM.MEDAcumulado),IF(AND(RegimeExecucao="Global",$I24&gt;0,COUNTIF($AB$13:$AM$13,BM.medicao)&gt;0),O24/$I24*100,0))</f>
        <v>0</v>
      </c>
      <c r="M24" s="334" cm="1">
        <f t="array" aca="1" ref="M24" ca="1">IF($A24="S",VTOTALBM,IF($A24=0,0,ROUND(SomaAgrupBM,15-13*ORÇAMENTO!$AF$11)))</f>
        <v>0</v>
      </c>
      <c r="N24" s="335">
        <f ca="1">O24-M24</f>
        <v>0</v>
      </c>
      <c r="O24" s="124" cm="1">
        <f t="array" aca="1" ref="O24" ca="1">IF($A24="S",VTOTALBM,IF($A24=0,0,ROUND(SomaAgrupBM,15-13*ORÇAMENTO!$AF$11)))</f>
        <v>0</v>
      </c>
      <c r="Q24" s="336"/>
      <c r="R24" s="337"/>
      <c r="T24" s="116" t="str">
        <f ca="1">IF($W24&gt;0,$D24,"")</f>
        <v/>
      </c>
      <c r="U24" s="162" t="str">
        <f ca="1">IF($W24&gt;0,$E24,"")</f>
        <v/>
      </c>
      <c r="V24" s="163" t="str" cm="1">
        <f t="array" aca="1" ref="V24" ca="1">IF(AND($W24&gt;0,RegimeExecucao="Unitário"),$F24,"")</f>
        <v/>
      </c>
      <c r="W24" s="453" cm="1">
        <f t="array" aca="1" ref="W24" ca="1">IF($Y24&gt;0,CHOOSE(MATCH(RegimeExecucao,{"Unitário","Global"},0),IF($A24="S",$Y24/$X24,""),($Y24/$X24)*100),0)</f>
        <v>0</v>
      </c>
      <c r="X24" s="338" t="str" cm="1">
        <f t="array" aca="1" ref="X24" ca="1">IF($Y24&gt;0,CHOOSE(MATCH(RegimeExecucao,{"Unitário","Global"},0),IF($A24="S",ROUND($H24,ORÇAMENTO!$AF$10),""),ROUND($I24,ORÇAMENTO!$AF$11)),"")</f>
        <v/>
      </c>
      <c r="Y24" s="338">
        <f ca="1">AO24-O24</f>
        <v>0</v>
      </c>
      <c r="Z24" s="472"/>
      <c r="AB24" s="336"/>
      <c r="AC24" s="436"/>
      <c r="AD24" s="436"/>
      <c r="AE24" s="436"/>
      <c r="AF24" s="436"/>
      <c r="AG24" s="436"/>
      <c r="AH24" s="436"/>
      <c r="AI24" s="436"/>
      <c r="AJ24" s="436"/>
      <c r="AK24" s="436"/>
      <c r="AL24" s="436"/>
      <c r="AM24" s="337"/>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t="str">
        <f ca="1">ORÇAMENTO!C25</f>
        <v>S</v>
      </c>
      <c r="B25">
        <f ca="1">ORÇAMENTO!D25</f>
        <v>0</v>
      </c>
      <c r="C25" s="113" t="str">
        <f ca="1">IF(OR($I25&gt;0,$A25=1,$A25=2,$A25=3,$A25=4),"F","")</f>
        <v>F</v>
      </c>
      <c r="D25" s="116" t="str">
        <f ca="1">ORÇAMENTO!O25</f>
        <v>1.2.4.</v>
      </c>
      <c r="E25" s="162" t="str">
        <f ca="1">ORÇAMENTO.Descricao</f>
        <v>(Código não identificado nas referências)</v>
      </c>
      <c r="F25" s="163" t="str" cm="1">
        <f t="array" aca="1" ref="F25" ca="1">IF(RegimeExecucao="Global","",ORÇAMENTO.Unidade)</f>
        <v/>
      </c>
      <c r="G25" s="121" t="str" cm="1">
        <f t="array" aca="1" ref="G25" ca="1">IF(RegimeExecucao="Global","",ORÇAMENTO!T25)</f>
        <v/>
      </c>
      <c r="H25" s="121" t="str" cm="1">
        <f t="array" aca="1" ref="H25" ca="1">IF(RegimeExecucao="Global","",ORÇAMENTO!W25)</f>
        <v/>
      </c>
      <c r="I25" s="124">
        <f ca="1">ORÇAMENTO!X25</f>
        <v>16191.7</v>
      </c>
      <c r="J25" s="332" cm="1">
        <f t="array" aca="1" ref="J25" ca="1">IF($A25="S",IF(CAIXA.Modo,BM.AFAnterior,BM.MEDAnterior),IF(AND(RegimeExecucao="Global",$I25&gt;0,COUNTIF($AB$13:$AM$13,BM.medicao-1)&gt;0),M25/$I25*100,0))</f>
        <v>0</v>
      </c>
      <c r="K25" s="121">
        <f ca="1">L25-J25</f>
        <v>0</v>
      </c>
      <c r="L25" s="333" cm="1">
        <f t="array" aca="1" ref="L25" ca="1">IF($A25="S",IF(CAIXA.Modo,BM.AFAcumulado,BM.MEDAcumulado),IF(AND(RegimeExecucao="Global",$I25&gt;0,COUNTIF($AB$13:$AM$13,BM.medicao)&gt;0),O25/$I25*100,0))</f>
        <v>0</v>
      </c>
      <c r="M25" s="334" cm="1">
        <f t="array" aca="1" ref="M25" ca="1">IF($A25="S",VTOTALBM,IF($A25=0,0,ROUND(SomaAgrupBM,15-13*ORÇAMENTO!$AF$11)))</f>
        <v>0</v>
      </c>
      <c r="N25" s="335">
        <f ca="1">O25-M25</f>
        <v>0</v>
      </c>
      <c r="O25" s="124" cm="1">
        <f t="array" aca="1" ref="O25" ca="1">IF($A25="S",VTOTALBM,IF($A25=0,0,ROUND(SomaAgrupBM,15-13*ORÇAMENTO!$AF$11)))</f>
        <v>0</v>
      </c>
      <c r="Q25" s="336"/>
      <c r="R25" s="337"/>
      <c r="T25" s="116" t="str">
        <f ca="1">IF($W25&gt;0,$D25,"")</f>
        <v/>
      </c>
      <c r="U25" s="162" t="str">
        <f ca="1">IF($W25&gt;0,$E25,"")</f>
        <v/>
      </c>
      <c r="V25" s="163" t="str" cm="1">
        <f t="array" aca="1" ref="V25" ca="1">IF(AND($W25&gt;0,RegimeExecucao="Unitário"),$F25,"")</f>
        <v/>
      </c>
      <c r="W25" s="453" cm="1">
        <f t="array" aca="1" ref="W25" ca="1">IF($Y25&gt;0,CHOOSE(MATCH(RegimeExecucao,{"Unitário","Global"},0),IF($A25="S",$Y25/$X25,""),($Y25/$X25)*100),0)</f>
        <v>0</v>
      </c>
      <c r="X25" s="338" t="str" cm="1">
        <f t="array" aca="1" ref="X25" ca="1">IF($Y25&gt;0,CHOOSE(MATCH(RegimeExecucao,{"Unitário","Global"},0),IF($A25="S",ROUND($H25,ORÇAMENTO!$AF$10),""),ROUND($I25,ORÇAMENTO!$AF$11)),"")</f>
        <v/>
      </c>
      <c r="Y25" s="338">
        <f ca="1">AO25-O25</f>
        <v>0</v>
      </c>
      <c r="Z25" s="472"/>
      <c r="AB25" s="336"/>
      <c r="AC25" s="436"/>
      <c r="AD25" s="436"/>
      <c r="AE25" s="436"/>
      <c r="AF25" s="436"/>
      <c r="AG25" s="436"/>
      <c r="AH25" s="436"/>
      <c r="AI25" s="436"/>
      <c r="AJ25" s="436"/>
      <c r="AK25" s="436"/>
      <c r="AL25" s="436"/>
      <c r="AM25" s="337"/>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2</v>
      </c>
      <c r="B26">
        <f ca="1">ORÇAMENTO!D26</f>
        <v>7</v>
      </c>
      <c r="C26" s="113" t="str">
        <f ca="1">IF(OR($I26&gt;0,$A26=1,$A26=2,$A26=3,$A26=4),"F","")</f>
        <v>F</v>
      </c>
      <c r="D26" s="116" t="str">
        <f ca="1">ORÇAMENTO!O26</f>
        <v>1.3.</v>
      </c>
      <c r="E26" s="162" t="str">
        <f t="shared" si="8"/>
        <v>Revestimento</v>
      </c>
      <c r="F26" s="163" t="str" cm="1">
        <f t="array" aca="1" ref="F26" ca="1">IF(RegimeExecucao="Global","",ORÇAMENTO.Unidade)</f>
        <v/>
      </c>
      <c r="G26" s="121" t="str" cm="1">
        <f t="array" aca="1" ref="G26" ca="1">IF(RegimeExecucao="Global","",ORÇAMENTO!T26)</f>
        <v/>
      </c>
      <c r="H26" s="121" t="str" cm="1">
        <f t="array" aca="1" ref="H26" ca="1">IF(RegimeExecucao="Global","",ORÇAMENTO!W26)</f>
        <v/>
      </c>
      <c r="I26" s="124">
        <f ca="1">ORÇAMENTO!X26</f>
        <v>2751105.68</v>
      </c>
      <c r="J26" s="332" cm="1">
        <f t="array" aca="1" ref="J26" ca="1">IF($A26="S",IF(CAIXA.Modo,BM.AFAnterior,BM.MEDAnterior),IF(AND(RegimeExecucao="Global",$I26&gt;0,COUNTIF($AB$13:$AM$13,BM.medicao-1)&gt;0),M26/$I26*100,0))</f>
        <v>0</v>
      </c>
      <c r="K26" s="121">
        <f ca="1">L26-J26</f>
        <v>0</v>
      </c>
      <c r="L26" s="333" cm="1">
        <f t="array" aca="1" ref="L26" ca="1">IF($A26="S",IF(CAIXA.Modo,BM.AFAcumulado,BM.MEDAcumulado),IF(AND(RegimeExecucao="Global",$I26&gt;0,COUNTIF($AB$13:$AM$13,BM.medicao)&gt;0),O26/$I26*100,0))</f>
        <v>0</v>
      </c>
      <c r="M26" s="334" cm="1">
        <f t="array" aca="1" ref="M26" ca="1">IF($A26="S",VTOTALBM,IF($A26=0,0,ROUND(SomaAgrupBM,15-13*ORÇAMENTO!$AF$11)))</f>
        <v>0</v>
      </c>
      <c r="N26" s="335">
        <f ca="1">O26-M26</f>
        <v>0</v>
      </c>
      <c r="O26" s="124" cm="1">
        <f t="array" aca="1" ref="O26" ca="1">IF($A26="S",VTOTALBM,IF($A26=0,0,ROUND(SomaAgrupBM,15-13*ORÇAMENTO!$AF$11)))</f>
        <v>0</v>
      </c>
      <c r="Q26" s="336"/>
      <c r="R26" s="337"/>
      <c r="T26" s="116" t="str">
        <f ca="1">IF($W26&gt;0,$D26,"")</f>
        <v/>
      </c>
      <c r="U26" s="162" t="str">
        <f ca="1">IF($W26&gt;0,$E26,"")</f>
        <v/>
      </c>
      <c r="V26" s="163" t="str" cm="1">
        <f t="array" aca="1" ref="V26" ca="1">IF(AND($W26&gt;0,RegimeExecucao="Unitário"),$F26,"")</f>
        <v/>
      </c>
      <c r="W26" s="453" cm="1">
        <f t="array" aca="1" ref="W26" ca="1">IF($Y26&gt;0,CHOOSE(MATCH(RegimeExecucao,{"Unitário","Global"},0),IF($A26="S",$Y26/$X26,""),($Y26/$X26)*100),0)</f>
        <v>0</v>
      </c>
      <c r="X26" s="338" t="str" cm="1">
        <f t="array" aca="1" ref="X26" ca="1">IF($Y26&gt;0,CHOOSE(MATCH(RegimeExecucao,{"Unitário","Global"},0),IF($A26="S",ROUND($H26,ORÇAMENTO!$AF$10),""),ROUND($I26,ORÇAMENTO!$AF$11)),"")</f>
        <v/>
      </c>
      <c r="Y26" s="338">
        <f ca="1">AO26-O26</f>
        <v>0</v>
      </c>
      <c r="Z26" s="472"/>
      <c r="AB26" s="336"/>
      <c r="AC26" s="436"/>
      <c r="AD26" s="436"/>
      <c r="AE26" s="436"/>
      <c r="AF26" s="436"/>
      <c r="AG26" s="436"/>
      <c r="AH26" s="436"/>
      <c r="AI26" s="436"/>
      <c r="AJ26" s="436"/>
      <c r="AK26" s="436"/>
      <c r="AL26" s="436"/>
      <c r="AM26" s="337"/>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3" t="str">
        <f t="shared" ca="1" si="1"/>
        <v>F</v>
      </c>
      <c r="D27" s="116" t="str">
        <f ca="1">ORÇAMENTO!O27</f>
        <v>1.3.1.</v>
      </c>
      <c r="E27" s="162" t="str">
        <f t="shared" ca="1" si="2"/>
        <v>(Código não identificado nas referências)</v>
      </c>
      <c r="F27" s="163" t="str" cm="1">
        <f t="array" aca="1" ref="F27" ca="1">IF(RegimeExecucao="Global","",ORÇAMENTO.Unidade)</f>
        <v/>
      </c>
      <c r="G27" s="121" t="str" cm="1">
        <f t="array" aca="1" ref="G27" ca="1">IF(RegimeExecucao="Global","",ORÇAMENTO!T27)</f>
        <v/>
      </c>
      <c r="H27" s="121" t="str" cm="1">
        <f t="array" aca="1" ref="H27" ca="1">IF(RegimeExecucao="Global","",ORÇAMENTO!W27)</f>
        <v/>
      </c>
      <c r="I27" s="124">
        <f ca="1">ORÇAMENTO!X27</f>
        <v>44291.87</v>
      </c>
      <c r="J27" s="332" cm="1">
        <f t="array" aca="1" ref="J27" ca="1">IF($A27="S",IF(CAIXA.Modo,BM.AFAnterior,BM.MEDAnterior),IF(AND(RegimeExecucao="Global",$I27&gt;0,COUNTIF($AB$13:$AM$13,BM.medicao-1)&gt;0),M27/$I27*100,0))</f>
        <v>0</v>
      </c>
      <c r="K27" s="121">
        <f t="shared" ca="1" si="3"/>
        <v>0</v>
      </c>
      <c r="L27" s="333" cm="1">
        <f t="array" aca="1" ref="L27" ca="1">IF($A27="S",IF(CAIXA.Modo,BM.AFAcumulado,BM.MEDAcumulado),IF(AND(RegimeExecucao="Global",$I27&gt;0,COUNTIF($AB$13:$AM$13,BM.medicao)&gt;0),O27/$I27*100,0))</f>
        <v>0</v>
      </c>
      <c r="M27" s="334" cm="1">
        <f t="array" aca="1" ref="M27" ca="1">IF($A27="S",VTOTALBM,IF($A27=0,0,ROUND(SomaAgrupBM,15-13*ORÇAMENTO!$AF$11)))</f>
        <v>0</v>
      </c>
      <c r="N27" s="335">
        <f t="shared" ca="1" si="4"/>
        <v>0</v>
      </c>
      <c r="O27" s="124" cm="1">
        <f t="array" aca="1" ref="O27" ca="1">IF($A27="S",VTOTALBM,IF($A27=0,0,ROUND(SomaAgrupBM,15-13*ORÇAMENTO!$AF$11)))</f>
        <v>0</v>
      </c>
      <c r="Q27" s="336"/>
      <c r="R27" s="337"/>
      <c r="T27" s="116" t="str">
        <f t="shared" ca="1" si="5"/>
        <v/>
      </c>
      <c r="U27" s="162" t="str">
        <f t="shared" ca="1" si="6"/>
        <v/>
      </c>
      <c r="V27" s="163" t="str" cm="1">
        <f t="array" aca="1" ref="V27" ca="1">IF(AND($W27&gt;0,RegimeExecucao="Unitário"),$F27,"")</f>
        <v/>
      </c>
      <c r="W27" s="453" cm="1">
        <f t="array" aca="1" ref="W27" ca="1">IF($Y27&gt;0,CHOOSE(MATCH(RegimeExecucao,{"Unitário","Global"},0),IF($A27="S",$Y27/$X27,""),($Y27/$X27)*100),0)</f>
        <v>0</v>
      </c>
      <c r="X27" s="338" t="str" cm="1">
        <f t="array" aca="1" ref="X27" ca="1">IF($Y27&gt;0,CHOOSE(MATCH(RegimeExecucao,{"Unitário","Global"},0),IF($A27="S",ROUND($H27,ORÇAMENTO!$AF$10),""),ROUND($I27,ORÇAMENTO!$AF$11)),"")</f>
        <v/>
      </c>
      <c r="Y27" s="338">
        <f t="shared" ca="1" si="7"/>
        <v>0</v>
      </c>
      <c r="Z27" s="472"/>
      <c r="AB27" s="336"/>
      <c r="AC27" s="436"/>
      <c r="AD27" s="436"/>
      <c r="AE27" s="436"/>
      <c r="AF27" s="436"/>
      <c r="AG27" s="436"/>
      <c r="AH27" s="436"/>
      <c r="AI27" s="436"/>
      <c r="AJ27" s="436"/>
      <c r="AK27" s="436"/>
      <c r="AL27" s="436"/>
      <c r="AM27" s="337"/>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13" t="str">
        <f t="shared" ca="1" si="1"/>
        <v>F</v>
      </c>
      <c r="D28" s="116" t="str">
        <f ca="1">ORÇAMENTO!O28</f>
        <v>1.3.2.</v>
      </c>
      <c r="E28" s="162" t="str">
        <f t="shared" ca="1" si="2"/>
        <v>(Código não identificado nas referências)</v>
      </c>
      <c r="F28" s="163" t="str" cm="1">
        <f t="array" aca="1" ref="F28" ca="1">IF(RegimeExecucao="Global","",ORÇAMENTO.Unidade)</f>
        <v/>
      </c>
      <c r="G28" s="121" t="str" cm="1">
        <f t="array" aca="1" ref="G28" ca="1">IF(RegimeExecucao="Global","",ORÇAMENTO!T28)</f>
        <v/>
      </c>
      <c r="H28" s="121" t="str" cm="1">
        <f t="array" aca="1" ref="H28" ca="1">IF(RegimeExecucao="Global","",ORÇAMENTO!W28)</f>
        <v/>
      </c>
      <c r="I28" s="124">
        <f ca="1">ORÇAMENTO!X28</f>
        <v>138661.66999999998</v>
      </c>
      <c r="J28" s="332" cm="1">
        <f t="array" aca="1" ref="J28" ca="1">IF($A28="S",IF(CAIXA.Modo,BM.AFAnterior,BM.MEDAnterior),IF(AND(RegimeExecucao="Global",$I28&gt;0,COUNTIF($AB$13:$AM$13,BM.medicao-1)&gt;0),M28/$I28*100,0))</f>
        <v>0</v>
      </c>
      <c r="K28" s="121">
        <f t="shared" ca="1" si="3"/>
        <v>0</v>
      </c>
      <c r="L28" s="333" cm="1">
        <f t="array" aca="1" ref="L28" ca="1">IF($A28="S",IF(CAIXA.Modo,BM.AFAcumulado,BM.MEDAcumulado),IF(AND(RegimeExecucao="Global",$I28&gt;0,COUNTIF($AB$13:$AM$13,BM.medicao)&gt;0),O28/$I28*100,0))</f>
        <v>0</v>
      </c>
      <c r="M28" s="334" cm="1">
        <f t="array" aca="1" ref="M28" ca="1">IF($A28="S",VTOTALBM,IF($A28=0,0,ROUND(SomaAgrupBM,15-13*ORÇAMENTO!$AF$11)))</f>
        <v>0</v>
      </c>
      <c r="N28" s="335">
        <f t="shared" ca="1" si="4"/>
        <v>0</v>
      </c>
      <c r="O28" s="124" cm="1">
        <f t="array" aca="1" ref="O28" ca="1">IF($A28="S",VTOTALBM,IF($A28=0,0,ROUND(SomaAgrupBM,15-13*ORÇAMENTO!$AF$11)))</f>
        <v>0</v>
      </c>
      <c r="Q28" s="336"/>
      <c r="R28" s="337"/>
      <c r="T28" s="116" t="str">
        <f t="shared" ca="1" si="5"/>
        <v/>
      </c>
      <c r="U28" s="162" t="str">
        <f t="shared" ca="1" si="6"/>
        <v/>
      </c>
      <c r="V28" s="163" t="str" cm="1">
        <f t="array" aca="1" ref="V28" ca="1">IF(AND($W28&gt;0,RegimeExecucao="Unitário"),$F28,"")</f>
        <v/>
      </c>
      <c r="W28" s="453" cm="1">
        <f t="array" aca="1" ref="W28" ca="1">IF($Y28&gt;0,CHOOSE(MATCH(RegimeExecucao,{"Unitário","Global"},0),IF($A28="S",$Y28/$X28,""),($Y28/$X28)*100),0)</f>
        <v>0</v>
      </c>
      <c r="X28" s="338" t="str" cm="1">
        <f t="array" aca="1" ref="X28" ca="1">IF($Y28&gt;0,CHOOSE(MATCH(RegimeExecucao,{"Unitário","Global"},0),IF($A28="S",ROUND($H28,ORÇAMENTO!$AF$10),""),ROUND($I28,ORÇAMENTO!$AF$11)),"")</f>
        <v/>
      </c>
      <c r="Y28" s="338">
        <f t="shared" ca="1" si="7"/>
        <v>0</v>
      </c>
      <c r="Z28" s="472"/>
      <c r="AB28" s="336"/>
      <c r="AC28" s="436"/>
      <c r="AD28" s="436"/>
      <c r="AE28" s="436"/>
      <c r="AF28" s="436"/>
      <c r="AG28" s="436"/>
      <c r="AH28" s="436"/>
      <c r="AI28" s="436"/>
      <c r="AJ28" s="436"/>
      <c r="AK28" s="436"/>
      <c r="AL28" s="436"/>
      <c r="AM28" s="337"/>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3" t="str">
        <f t="shared" ca="1" si="1"/>
        <v>F</v>
      </c>
      <c r="D29" s="116" t="str">
        <f ca="1">ORÇAMENTO!O29</f>
        <v>1.3.3.</v>
      </c>
      <c r="E29" s="162" t="str">
        <f t="shared" si="2"/>
        <v>REPERFILAMENTO - EXECUÇÃO DE PAVIMENTO COM APLICAÇÃO DE CONCRETO ASFÁLTICO, CAMADA DE BINDER - EXCLUSIVE CARGA E TRANSPORTE. AF_10/2025</v>
      </c>
      <c r="F29" s="163" t="str" cm="1">
        <f t="array" aca="1" ref="F29" ca="1">IF(RegimeExecucao="Global","",ORÇAMENTO.Unidade)</f>
        <v/>
      </c>
      <c r="G29" s="121" t="str" cm="1">
        <f t="array" aca="1" ref="G29" ca="1">IF(RegimeExecucao="Global","",ORÇAMENTO!T29)</f>
        <v/>
      </c>
      <c r="H29" s="121" t="str" cm="1">
        <f t="array" aca="1" ref="H29" ca="1">IF(RegimeExecucao="Global","",ORÇAMENTO!W29)</f>
        <v/>
      </c>
      <c r="I29" s="124">
        <f ca="1">ORÇAMENTO!X29</f>
        <v>563221.59</v>
      </c>
      <c r="J29" s="332" cm="1">
        <f t="array" aca="1" ref="J29" ca="1">IF($A29="S",IF(CAIXA.Modo,BM.AFAnterior,BM.MEDAnterior),IF(AND(RegimeExecucao="Global",$I29&gt;0,COUNTIF($AB$13:$AM$13,BM.medicao-1)&gt;0),M29/$I29*100,0))</f>
        <v>0</v>
      </c>
      <c r="K29" s="121">
        <f t="shared" ca="1" si="3"/>
        <v>0</v>
      </c>
      <c r="L29" s="333" cm="1">
        <f t="array" aca="1" ref="L29" ca="1">IF($A29="S",IF(CAIXA.Modo,BM.AFAcumulado,BM.MEDAcumulado),IF(AND(RegimeExecucao="Global",$I29&gt;0,COUNTIF($AB$13:$AM$13,BM.medicao)&gt;0),O29/$I29*100,0))</f>
        <v>0</v>
      </c>
      <c r="M29" s="334" cm="1">
        <f t="array" aca="1" ref="M29" ca="1">IF($A29="S",VTOTALBM,IF($A29=0,0,ROUND(SomaAgrupBM,15-13*ORÇAMENTO!$AF$11)))</f>
        <v>0</v>
      </c>
      <c r="N29" s="335">
        <f t="shared" ca="1" si="4"/>
        <v>0</v>
      </c>
      <c r="O29" s="124" cm="1">
        <f t="array" aca="1" ref="O29" ca="1">IF($A29="S",VTOTALBM,IF($A29=0,0,ROUND(SomaAgrupBM,15-13*ORÇAMENTO!$AF$11)))</f>
        <v>0</v>
      </c>
      <c r="Q29" s="336"/>
      <c r="R29" s="337"/>
      <c r="T29" s="116" t="str">
        <f t="shared" ca="1" si="5"/>
        <v/>
      </c>
      <c r="U29" s="162" t="str">
        <f t="shared" ca="1" si="6"/>
        <v/>
      </c>
      <c r="V29" s="163" t="str" cm="1">
        <f t="array" aca="1" ref="V29" ca="1">IF(AND($W29&gt;0,RegimeExecucao="Unitário"),$F29,"")</f>
        <v/>
      </c>
      <c r="W29" s="453" cm="1">
        <f t="array" aca="1" ref="W29" ca="1">IF($Y29&gt;0,CHOOSE(MATCH(RegimeExecucao,{"Unitário","Global"},0),IF($A29="S",$Y29/$X29,""),($Y29/$X29)*100),0)</f>
        <v>0</v>
      </c>
      <c r="X29" s="338" t="str" cm="1">
        <f t="array" aca="1" ref="X29" ca="1">IF($Y29&gt;0,CHOOSE(MATCH(RegimeExecucao,{"Unitário","Global"},0),IF($A29="S",ROUND($H29,ORÇAMENTO!$AF$10),""),ROUND($I29,ORÇAMENTO!$AF$11)),"")</f>
        <v/>
      </c>
      <c r="Y29" s="338">
        <f t="shared" ca="1" si="7"/>
        <v>0</v>
      </c>
      <c r="Z29" s="472"/>
      <c r="AB29" s="336"/>
      <c r="AC29" s="436"/>
      <c r="AD29" s="436"/>
      <c r="AE29" s="436"/>
      <c r="AF29" s="436"/>
      <c r="AG29" s="436"/>
      <c r="AH29" s="436"/>
      <c r="AI29" s="436"/>
      <c r="AJ29" s="436"/>
      <c r="AK29" s="436"/>
      <c r="AL29" s="436"/>
      <c r="AM29" s="337"/>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3" t="str">
        <f t="shared" ca="1" si="1"/>
        <v>F</v>
      </c>
      <c r="D30" s="116" t="str">
        <f ca="1">ORÇAMENTO!O30</f>
        <v>1.3.4.</v>
      </c>
      <c r="E30" s="162" t="str">
        <f t="shared" ca="1" si="2"/>
        <v>(Código não identificado nas referências)</v>
      </c>
      <c r="F30" s="163" t="str" cm="1">
        <f t="array" aca="1" ref="F30" ca="1">IF(RegimeExecucao="Global","",ORÇAMENTO.Unidade)</f>
        <v/>
      </c>
      <c r="G30" s="121" t="str" cm="1">
        <f t="array" aca="1" ref="G30" ca="1">IF(RegimeExecucao="Global","",ORÇAMENTO!T30)</f>
        <v/>
      </c>
      <c r="H30" s="121" t="str" cm="1">
        <f t="array" aca="1" ref="H30" ca="1">IF(RegimeExecucao="Global","",ORÇAMENTO!W30)</f>
        <v/>
      </c>
      <c r="I30" s="124">
        <f ca="1">ORÇAMENTO!X30</f>
        <v>1964526.8900000001</v>
      </c>
      <c r="J30" s="332" cm="1">
        <f t="array" aca="1" ref="J30" ca="1">IF($A30="S",IF(CAIXA.Modo,BM.AFAnterior,BM.MEDAnterior),IF(AND(RegimeExecucao="Global",$I30&gt;0,COUNTIF($AB$13:$AM$13,BM.medicao-1)&gt;0),M30/$I30*100,0))</f>
        <v>0</v>
      </c>
      <c r="K30" s="121">
        <f t="shared" ca="1" si="3"/>
        <v>0</v>
      </c>
      <c r="L30" s="333" cm="1">
        <f t="array" aca="1" ref="L30" ca="1">IF($A30="S",IF(CAIXA.Modo,BM.AFAcumulado,BM.MEDAcumulado),IF(AND(RegimeExecucao="Global",$I30&gt;0,COUNTIF($AB$13:$AM$13,BM.medicao)&gt;0),O30/$I30*100,0))</f>
        <v>0</v>
      </c>
      <c r="M30" s="334" cm="1">
        <f t="array" aca="1" ref="M30" ca="1">IF($A30="S",VTOTALBM,IF($A30=0,0,ROUND(SomaAgrupBM,15-13*ORÇAMENTO!$AF$11)))</f>
        <v>0</v>
      </c>
      <c r="N30" s="335">
        <f t="shared" ca="1" si="4"/>
        <v>0</v>
      </c>
      <c r="O30" s="124" cm="1">
        <f t="array" aca="1" ref="O30" ca="1">IF($A30="S",VTOTALBM,IF($A30=0,0,ROUND(SomaAgrupBM,15-13*ORÇAMENTO!$AF$11)))</f>
        <v>0</v>
      </c>
      <c r="Q30" s="336"/>
      <c r="R30" s="337"/>
      <c r="T30" s="116" t="str">
        <f t="shared" ca="1" si="5"/>
        <v/>
      </c>
      <c r="U30" s="162" t="str">
        <f t="shared" ca="1" si="6"/>
        <v/>
      </c>
      <c r="V30" s="163" t="str" cm="1">
        <f t="array" aca="1" ref="V30" ca="1">IF(AND($W30&gt;0,RegimeExecucao="Unitário"),$F30,"")</f>
        <v/>
      </c>
      <c r="W30" s="453" cm="1">
        <f t="array" aca="1" ref="W30" ca="1">IF($Y30&gt;0,CHOOSE(MATCH(RegimeExecucao,{"Unitário","Global"},0),IF($A30="S",$Y30/$X30,""),($Y30/$X30)*100),0)</f>
        <v>0</v>
      </c>
      <c r="X30" s="338" t="str" cm="1">
        <f t="array" aca="1" ref="X30" ca="1">IF($Y30&gt;0,CHOOSE(MATCH(RegimeExecucao,{"Unitário","Global"},0),IF($A30="S",ROUND($H30,ORÇAMENTO!$AF$10),""),ROUND($I30,ORÇAMENTO!$AF$11)),"")</f>
        <v/>
      </c>
      <c r="Y30" s="338">
        <f t="shared" ca="1" si="7"/>
        <v>0</v>
      </c>
      <c r="Z30" s="472"/>
      <c r="AB30" s="336"/>
      <c r="AC30" s="436"/>
      <c r="AD30" s="436"/>
      <c r="AE30" s="436"/>
      <c r="AF30" s="436"/>
      <c r="AG30" s="436"/>
      <c r="AH30" s="436"/>
      <c r="AI30" s="436"/>
      <c r="AJ30" s="436"/>
      <c r="AK30" s="436"/>
      <c r="AL30" s="436"/>
      <c r="AM30" s="337"/>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13" t="str">
        <f ca="1">IF(OR($I31&gt;0,$A31=1,$A31=2,$A31=3,$A31=4),"F","")</f>
        <v>F</v>
      </c>
      <c r="D31" s="116" t="str">
        <f ca="1">ORÇAMENTO!O31</f>
        <v>1.3.5.</v>
      </c>
      <c r="E31" s="162" t="str">
        <f ca="1">ORÇAMENTO.Descricao</f>
        <v>(Código não identificado nas referências)</v>
      </c>
      <c r="F31" s="163" t="str" cm="1">
        <f t="array" aca="1" ref="F31" ca="1">IF(RegimeExecucao="Global","",ORÇAMENTO.Unidade)</f>
        <v/>
      </c>
      <c r="G31" s="121" t="str" cm="1">
        <f t="array" aca="1" ref="G31" ca="1">IF(RegimeExecucao="Global","",ORÇAMENTO!T31)</f>
        <v/>
      </c>
      <c r="H31" s="121" t="str" cm="1">
        <f t="array" aca="1" ref="H31" ca="1">IF(RegimeExecucao="Global","",ORÇAMENTO!W31)</f>
        <v/>
      </c>
      <c r="I31" s="124">
        <f ca="1">ORÇAMENTO!X31</f>
        <v>18701.510000000002</v>
      </c>
      <c r="J31" s="332" cm="1">
        <f t="array" aca="1" ref="J31" ca="1">IF($A31="S",IF(CAIXA.Modo,BM.AFAnterior,BM.MEDAnterior),IF(AND(RegimeExecucao="Global",$I31&gt;0,COUNTIF($AB$13:$AM$13,BM.medicao-1)&gt;0),M31/$I31*100,0))</f>
        <v>0</v>
      </c>
      <c r="K31" s="121">
        <f ca="1">L31-J31</f>
        <v>0</v>
      </c>
      <c r="L31" s="333" cm="1">
        <f t="array" aca="1" ref="L31" ca="1">IF($A31="S",IF(CAIXA.Modo,BM.AFAcumulado,BM.MEDAcumulado),IF(AND(RegimeExecucao="Global",$I31&gt;0,COUNTIF($AB$13:$AM$13,BM.medicao)&gt;0),O31/$I31*100,0))</f>
        <v>0</v>
      </c>
      <c r="M31" s="334" cm="1">
        <f t="array" aca="1" ref="M31" ca="1">IF($A31="S",VTOTALBM,IF($A31=0,0,ROUND(SomaAgrupBM,15-13*ORÇAMENTO!$AF$11)))</f>
        <v>0</v>
      </c>
      <c r="N31" s="335">
        <f ca="1">O31-M31</f>
        <v>0</v>
      </c>
      <c r="O31" s="124" cm="1">
        <f t="array" aca="1" ref="O31" ca="1">IF($A31="S",VTOTALBM,IF($A31=0,0,ROUND(SomaAgrupBM,15-13*ORÇAMENTO!$AF$11)))</f>
        <v>0</v>
      </c>
      <c r="Q31" s="336"/>
      <c r="R31" s="337"/>
      <c r="T31" s="116" t="str">
        <f ca="1">IF($W31&gt;0,$D31,"")</f>
        <v/>
      </c>
      <c r="U31" s="162" t="str">
        <f ca="1">IF($W31&gt;0,$E31,"")</f>
        <v/>
      </c>
      <c r="V31" s="163" t="str" cm="1">
        <f t="array" aca="1" ref="V31" ca="1">IF(AND($W31&gt;0,RegimeExecucao="Unitário"),$F31,"")</f>
        <v/>
      </c>
      <c r="W31" s="453" cm="1">
        <f t="array" aca="1" ref="W31" ca="1">IF($Y31&gt;0,CHOOSE(MATCH(RegimeExecucao,{"Unitário","Global"},0),IF($A31="S",$Y31/$X31,""),($Y31/$X31)*100),0)</f>
        <v>0</v>
      </c>
      <c r="X31" s="338" t="str" cm="1">
        <f t="array" aca="1" ref="X31" ca="1">IF($Y31&gt;0,CHOOSE(MATCH(RegimeExecucao,{"Unitário","Global"},0),IF($A31="S",ROUND($H31,ORÇAMENTO!$AF$10),""),ROUND($I31,ORÇAMENTO!$AF$11)),"")</f>
        <v/>
      </c>
      <c r="Y31" s="338">
        <f ca="1">AO31-O31</f>
        <v>0</v>
      </c>
      <c r="Z31" s="472"/>
      <c r="AB31" s="336"/>
      <c r="AC31" s="436"/>
      <c r="AD31" s="436"/>
      <c r="AE31" s="436"/>
      <c r="AF31" s="436"/>
      <c r="AG31" s="436"/>
      <c r="AH31" s="436"/>
      <c r="AI31" s="436"/>
      <c r="AJ31" s="436"/>
      <c r="AK31" s="436"/>
      <c r="AL31" s="436"/>
      <c r="AM31" s="337"/>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t="str">
        <f ca="1">ORÇAMENTO!C32</f>
        <v>S</v>
      </c>
      <c r="B32">
        <f ca="1">ORÇAMENTO!D32</f>
        <v>0</v>
      </c>
      <c r="C32" s="113" t="str">
        <f ca="1">IF(OR($I32&gt;0,$A32=1,$A32=2,$A32=3,$A32=4),"F","")</f>
        <v>F</v>
      </c>
      <c r="D32" s="116" t="str">
        <f ca="1">ORÇAMENTO!O32</f>
        <v>1.3.6.</v>
      </c>
      <c r="E32" s="162" t="str">
        <f ca="1">ORÇAMENTO.Descricao</f>
        <v>(Código não identificado nas referências)</v>
      </c>
      <c r="F32" s="163" t="str" cm="1">
        <f t="array" aca="1" ref="F32" ca="1">IF(RegimeExecucao="Global","",ORÇAMENTO.Unidade)</f>
        <v/>
      </c>
      <c r="G32" s="121" t="str" cm="1">
        <f t="array" aca="1" ref="G32" ca="1">IF(RegimeExecucao="Global","",ORÇAMENTO!T32)</f>
        <v/>
      </c>
      <c r="H32" s="121" t="str" cm="1">
        <f t="array" aca="1" ref="H32" ca="1">IF(RegimeExecucao="Global","",ORÇAMENTO!W32)</f>
        <v/>
      </c>
      <c r="I32" s="124">
        <f ca="1">ORÇAMENTO!X32</f>
        <v>21702.15</v>
      </c>
      <c r="J32" s="332" cm="1">
        <f t="array" aca="1" ref="J32" ca="1">IF($A32="S",IF(CAIXA.Modo,BM.AFAnterior,BM.MEDAnterior),IF(AND(RegimeExecucao="Global",$I32&gt;0,COUNTIF($AB$13:$AM$13,BM.medicao-1)&gt;0),M32/$I32*100,0))</f>
        <v>0</v>
      </c>
      <c r="K32" s="121">
        <f ca="1">L32-J32</f>
        <v>0</v>
      </c>
      <c r="L32" s="333" cm="1">
        <f t="array" aca="1" ref="L32" ca="1">IF($A32="S",IF(CAIXA.Modo,BM.AFAcumulado,BM.MEDAcumulado),IF(AND(RegimeExecucao="Global",$I32&gt;0,COUNTIF($AB$13:$AM$13,BM.medicao)&gt;0),O32/$I32*100,0))</f>
        <v>0</v>
      </c>
      <c r="M32" s="334" cm="1">
        <f t="array" aca="1" ref="M32" ca="1">IF($A32="S",VTOTALBM,IF($A32=0,0,ROUND(SomaAgrupBM,15-13*ORÇAMENTO!$AF$11)))</f>
        <v>0</v>
      </c>
      <c r="N32" s="335">
        <f ca="1">O32-M32</f>
        <v>0</v>
      </c>
      <c r="O32" s="124" cm="1">
        <f t="array" aca="1" ref="O32" ca="1">IF($A32="S",VTOTALBM,IF($A32=0,0,ROUND(SomaAgrupBM,15-13*ORÇAMENTO!$AF$11)))</f>
        <v>0</v>
      </c>
      <c r="Q32" s="336"/>
      <c r="R32" s="337"/>
      <c r="T32" s="116" t="str">
        <f ca="1">IF($W32&gt;0,$D32,"")</f>
        <v/>
      </c>
      <c r="U32" s="162" t="str">
        <f ca="1">IF($W32&gt;0,$E32,"")</f>
        <v/>
      </c>
      <c r="V32" s="163" t="str" cm="1">
        <f t="array" aca="1" ref="V32" ca="1">IF(AND($W32&gt;0,RegimeExecucao="Unitário"),$F32,"")</f>
        <v/>
      </c>
      <c r="W32" s="453" cm="1">
        <f t="array" aca="1" ref="W32" ca="1">IF($Y32&gt;0,CHOOSE(MATCH(RegimeExecucao,{"Unitário","Global"},0),IF($A32="S",$Y32/$X32,""),($Y32/$X32)*100),0)</f>
        <v>0</v>
      </c>
      <c r="X32" s="338" t="str" cm="1">
        <f t="array" aca="1" ref="X32" ca="1">IF($Y32&gt;0,CHOOSE(MATCH(RegimeExecucao,{"Unitário","Global"},0),IF($A32="S",ROUND($H32,ORÇAMENTO!$AF$10),""),ROUND($I32,ORÇAMENTO!$AF$11)),"")</f>
        <v/>
      </c>
      <c r="Y32" s="338">
        <f ca="1">AO32-O32</f>
        <v>0</v>
      </c>
      <c r="Z32" s="472"/>
      <c r="AB32" s="336"/>
      <c r="AC32" s="436"/>
      <c r="AD32" s="436"/>
      <c r="AE32" s="436"/>
      <c r="AF32" s="436"/>
      <c r="AG32" s="436"/>
      <c r="AH32" s="436"/>
      <c r="AI32" s="436"/>
      <c r="AJ32" s="436"/>
      <c r="AK32" s="436"/>
      <c r="AL32" s="436"/>
      <c r="AM32" s="337"/>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2</v>
      </c>
      <c r="C33" s="113" t="str">
        <f t="shared" ca="1" si="1"/>
        <v>F</v>
      </c>
      <c r="D33" s="116" t="str">
        <f ca="1">ORÇAMENTO!O33</f>
        <v>1.4.</v>
      </c>
      <c r="E33" s="162" t="str">
        <f t="shared" si="2"/>
        <v>Sinalização</v>
      </c>
      <c r="F33" s="163" t="str" cm="1">
        <f t="array" aca="1" ref="F33" ca="1">IF(RegimeExecucao="Global","",ORÇAMENTO.Unidade)</f>
        <v/>
      </c>
      <c r="G33" s="121" t="str" cm="1">
        <f t="array" aca="1" ref="G33" ca="1">IF(RegimeExecucao="Global","",ORÇAMENTO!T33)</f>
        <v/>
      </c>
      <c r="H33" s="121" t="str" cm="1">
        <f t="array" aca="1" ref="H33" ca="1">IF(RegimeExecucao="Global","",ORÇAMENTO!W33)</f>
        <v/>
      </c>
      <c r="I33" s="124">
        <f ca="1">ORÇAMENTO!X33</f>
        <v>47162.23</v>
      </c>
      <c r="J33" s="332" cm="1">
        <f t="array" aca="1" ref="J33" ca="1">IF($A33="S",IF(CAIXA.Modo,BM.AFAnterior,BM.MEDAnterior),IF(AND(RegimeExecucao="Global",$I33&gt;0,COUNTIF($AB$13:$AM$13,BM.medicao-1)&gt;0),M33/$I33*100,0))</f>
        <v>0</v>
      </c>
      <c r="K33" s="121">
        <f t="shared" ca="1" si="3"/>
        <v>0</v>
      </c>
      <c r="L33" s="333" cm="1">
        <f t="array" aca="1" ref="L33" ca="1">IF($A33="S",IF(CAIXA.Modo,BM.AFAcumulado,BM.MEDAcumulado),IF(AND(RegimeExecucao="Global",$I33&gt;0,COUNTIF($AB$13:$AM$13,BM.medicao)&gt;0),O33/$I33*100,0))</f>
        <v>0</v>
      </c>
      <c r="M33" s="334" cm="1">
        <f t="array" aca="1" ref="M33" ca="1">IF($A33="S",VTOTALBM,IF($A33=0,0,ROUND(SomaAgrupBM,15-13*ORÇAMENTO!$AF$11)))</f>
        <v>0</v>
      </c>
      <c r="N33" s="335">
        <f t="shared" ca="1" si="4"/>
        <v>0</v>
      </c>
      <c r="O33" s="124" cm="1">
        <f t="array" aca="1" ref="O33" ca="1">IF($A33="S",VTOTALBM,IF($A33=0,0,ROUND(SomaAgrupBM,15-13*ORÇAMENTO!$AF$11)))</f>
        <v>0</v>
      </c>
      <c r="Q33" s="336"/>
      <c r="R33" s="337"/>
      <c r="T33" s="116" t="str">
        <f t="shared" ca="1" si="5"/>
        <v/>
      </c>
      <c r="U33" s="162" t="str">
        <f t="shared" ca="1" si="6"/>
        <v/>
      </c>
      <c r="V33" s="163" t="str" cm="1">
        <f t="array" aca="1" ref="V33" ca="1">IF(AND($W33&gt;0,RegimeExecucao="Unitário"),$F33,"")</f>
        <v/>
      </c>
      <c r="W33" s="453" cm="1">
        <f t="array" aca="1" ref="W33" ca="1">IF($Y33&gt;0,CHOOSE(MATCH(RegimeExecucao,{"Unitário","Global"},0),IF($A33="S",$Y33/$X33,""),($Y33/$X33)*100),0)</f>
        <v>0</v>
      </c>
      <c r="X33" s="338" t="str" cm="1">
        <f t="array" aca="1" ref="X33" ca="1">IF($Y33&gt;0,CHOOSE(MATCH(RegimeExecucao,{"Unitário","Global"},0),IF($A33="S",ROUND($H33,ORÇAMENTO!$AF$10),""),ROUND($I33,ORÇAMENTO!$AF$11)),"")</f>
        <v/>
      </c>
      <c r="Y33" s="338">
        <f t="shared" ca="1" si="7"/>
        <v>0</v>
      </c>
      <c r="Z33" s="472"/>
      <c r="AB33" s="336"/>
      <c r="AC33" s="436"/>
      <c r="AD33" s="436"/>
      <c r="AE33" s="436"/>
      <c r="AF33" s="436"/>
      <c r="AG33" s="436"/>
      <c r="AH33" s="436"/>
      <c r="AI33" s="436"/>
      <c r="AJ33" s="436"/>
      <c r="AK33" s="436"/>
      <c r="AL33" s="436"/>
      <c r="AM33" s="337"/>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3" t="str">
        <f t="shared" ca="1" si="1"/>
        <v>F</v>
      </c>
      <c r="D34" s="116" t="str">
        <f ca="1">ORÇAMENTO!O34</f>
        <v>1.4.1.</v>
      </c>
      <c r="E34" s="162" t="str">
        <f t="shared" si="2"/>
        <v>PINTURA DE FAIXA DE PEDESTRE OU ZEBRADA COM TINTA RETRORREFLETIVA À BASE DE RESINA ACRÍLICA COM MICROESFERAS DE VIDRO, E = 40 CM</v>
      </c>
      <c r="F34" s="163" t="str" cm="1">
        <f t="array" aca="1" ref="F34" ca="1">IF(RegimeExecucao="Global","",ORÇAMENTO.Unidade)</f>
        <v/>
      </c>
      <c r="G34" s="121" t="str" cm="1">
        <f t="array" aca="1" ref="G34" ca="1">IF(RegimeExecucao="Global","",ORÇAMENTO!T34)</f>
        <v/>
      </c>
      <c r="H34" s="121" t="str" cm="1">
        <f t="array" aca="1" ref="H34" ca="1">IF(RegimeExecucao="Global","",ORÇAMENTO!W34)</f>
        <v/>
      </c>
      <c r="I34" s="124">
        <f ca="1">ORÇAMENTO!X34</f>
        <v>47162.229999999996</v>
      </c>
      <c r="J34" s="332" cm="1">
        <f t="array" aca="1" ref="J34" ca="1">IF($A34="S",IF(CAIXA.Modo,BM.AFAnterior,BM.MEDAnterior),IF(AND(RegimeExecucao="Global",$I34&gt;0,COUNTIF($AB$13:$AM$13,BM.medicao-1)&gt;0),M34/$I34*100,0))</f>
        <v>0</v>
      </c>
      <c r="K34" s="121">
        <f t="shared" ca="1" si="3"/>
        <v>0</v>
      </c>
      <c r="L34" s="333" cm="1">
        <f t="array" aca="1" ref="L34" ca="1">IF($A34="S",IF(CAIXA.Modo,BM.AFAcumulado,BM.MEDAcumulado),IF(AND(RegimeExecucao="Global",$I34&gt;0,COUNTIF($AB$13:$AM$13,BM.medicao)&gt;0),O34/$I34*100,0))</f>
        <v>0</v>
      </c>
      <c r="M34" s="334" cm="1">
        <f t="array" aca="1" ref="M34" ca="1">IF($A34="S",VTOTALBM,IF($A34=0,0,ROUND(SomaAgrupBM,15-13*ORÇAMENTO!$AF$11)))</f>
        <v>0</v>
      </c>
      <c r="N34" s="335">
        <f t="shared" ca="1" si="4"/>
        <v>0</v>
      </c>
      <c r="O34" s="124" cm="1">
        <f t="array" aca="1" ref="O34" ca="1">IF($A34="S",VTOTALBM,IF($A34=0,0,ROUND(SomaAgrupBM,15-13*ORÇAMENTO!$AF$11)))</f>
        <v>0</v>
      </c>
      <c r="Q34" s="336"/>
      <c r="R34" s="337"/>
      <c r="T34" s="116" t="str">
        <f t="shared" ca="1" si="5"/>
        <v/>
      </c>
      <c r="U34" s="162" t="str">
        <f t="shared" ca="1" si="6"/>
        <v/>
      </c>
      <c r="V34" s="163" t="str" cm="1">
        <f t="array" aca="1" ref="V34" ca="1">IF(AND($W34&gt;0,RegimeExecucao="Unitário"),$F34,"")</f>
        <v/>
      </c>
      <c r="W34" s="453" cm="1">
        <f t="array" aca="1" ref="W34" ca="1">IF($Y34&gt;0,CHOOSE(MATCH(RegimeExecucao,{"Unitário","Global"},0),IF($A34="S",$Y34/$X34,""),($Y34/$X34)*100),0)</f>
        <v>0</v>
      </c>
      <c r="X34" s="338" t="str" cm="1">
        <f t="array" aca="1" ref="X34" ca="1">IF($Y34&gt;0,CHOOSE(MATCH(RegimeExecucao,{"Unitário","Global"},0),IF($A34="S",ROUND($H34,ORÇAMENTO!$AF$10),""),ROUND($I34,ORÇAMENTO!$AF$11)),"")</f>
        <v/>
      </c>
      <c r="Y34" s="338">
        <f t="shared" ca="1" si="7"/>
        <v>0</v>
      </c>
      <c r="Z34" s="472"/>
      <c r="AB34" s="336"/>
      <c r="AC34" s="436"/>
      <c r="AD34" s="436"/>
      <c r="AE34" s="436"/>
      <c r="AF34" s="436"/>
      <c r="AG34" s="436"/>
      <c r="AH34" s="436"/>
      <c r="AI34" s="436"/>
      <c r="AJ34" s="436"/>
      <c r="AK34" s="436"/>
      <c r="AL34" s="436"/>
      <c r="AM34" s="337"/>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5.0999999999999996" customHeight="1" x14ac:dyDescent="0.2">
      <c r="C35" s="113" t="s">
        <v>536</v>
      </c>
      <c r="D35" s="617"/>
      <c r="E35" s="618"/>
      <c r="F35" s="618"/>
      <c r="G35" s="618"/>
      <c r="H35" s="618"/>
      <c r="I35" s="418"/>
      <c r="J35" s="617"/>
      <c r="K35" s="618"/>
      <c r="L35" s="418"/>
      <c r="M35" s="433"/>
      <c r="N35" s="434"/>
      <c r="O35" s="435"/>
      <c r="Q35" s="617"/>
      <c r="R35" s="418"/>
      <c r="T35" s="617"/>
      <c r="U35" s="618"/>
      <c r="V35" s="618"/>
      <c r="W35" s="618"/>
      <c r="X35" s="618"/>
      <c r="Y35" s="618"/>
      <c r="Z35" s="418"/>
      <c r="AB35" s="617"/>
      <c r="AC35" s="618"/>
      <c r="AD35" s="618"/>
      <c r="AE35" s="618"/>
      <c r="AF35" s="618"/>
      <c r="AG35" s="618"/>
      <c r="AH35" s="618"/>
      <c r="AI35" s="618"/>
      <c r="AJ35" s="618"/>
      <c r="AK35" s="618"/>
      <c r="AL35" s="618"/>
      <c r="AM35" s="418"/>
    </row>
    <row r="37" spans="1:41" ht="14.25" x14ac:dyDescent="0.2">
      <c r="D37" s="810" t="s">
        <v>689</v>
      </c>
      <c r="E37" s="810"/>
      <c r="F37" s="810"/>
      <c r="G37" s="810"/>
      <c r="H37" s="810"/>
      <c r="I37" s="810"/>
      <c r="J37" s="810"/>
      <c r="K37" s="810"/>
      <c r="L37" s="810"/>
      <c r="M37" s="810"/>
      <c r="N37" s="810"/>
      <c r="O37" s="810"/>
      <c r="T37" s="811" t="s">
        <v>865</v>
      </c>
      <c r="U37" s="811"/>
      <c r="V37" s="811"/>
      <c r="W37" s="811"/>
      <c r="X37" s="811"/>
      <c r="Y37" s="811"/>
      <c r="Z37" s="811"/>
    </row>
    <row r="38" spans="1:41" ht="12.75" customHeight="1" x14ac:dyDescent="0.2">
      <c r="D38" s="690"/>
      <c r="E38" s="690"/>
      <c r="F38" s="690"/>
      <c r="G38" s="690"/>
      <c r="H38" s="690"/>
      <c r="I38" s="690"/>
      <c r="J38" s="690"/>
      <c r="K38" s="690"/>
      <c r="L38" s="690"/>
      <c r="M38" s="690"/>
      <c r="N38" s="690"/>
      <c r="O38" s="690"/>
      <c r="T38" s="812"/>
      <c r="U38" s="812"/>
      <c r="V38" s="812"/>
      <c r="W38" s="812"/>
      <c r="X38" s="812"/>
      <c r="Y38" s="812"/>
      <c r="Z38" s="812"/>
    </row>
    <row r="39" spans="1:41" ht="12.75" customHeight="1" x14ac:dyDescent="0.2">
      <c r="D39" s="690"/>
      <c r="E39" s="690"/>
      <c r="F39" s="690"/>
      <c r="G39" s="690"/>
      <c r="H39" s="690"/>
      <c r="I39" s="690"/>
      <c r="J39" s="690"/>
      <c r="K39" s="690"/>
      <c r="L39" s="690"/>
      <c r="M39" s="690"/>
      <c r="N39" s="690"/>
      <c r="O39" s="690"/>
      <c r="T39" s="812"/>
      <c r="U39" s="812"/>
      <c r="V39" s="812"/>
      <c r="W39" s="812"/>
      <c r="X39" s="812"/>
      <c r="Y39" s="812"/>
      <c r="Z39" s="812"/>
    </row>
    <row r="40" spans="1:41" ht="12.75" customHeight="1" x14ac:dyDescent="0.2">
      <c r="D40" s="690"/>
      <c r="E40" s="690"/>
      <c r="F40" s="690"/>
      <c r="G40" s="690"/>
      <c r="H40" s="690"/>
      <c r="I40" s="690"/>
      <c r="J40" s="690"/>
      <c r="K40" s="690"/>
      <c r="L40" s="690"/>
      <c r="M40" s="690"/>
      <c r="N40" s="690"/>
      <c r="O40" s="690"/>
      <c r="T40" s="812"/>
      <c r="U40" s="812"/>
      <c r="V40" s="812"/>
      <c r="W40" s="812"/>
      <c r="X40" s="812"/>
      <c r="Y40" s="812"/>
      <c r="Z40" s="812"/>
    </row>
    <row r="41" spans="1:41" ht="14.25" x14ac:dyDescent="0.2">
      <c r="D41" s="442"/>
      <c r="E41" s="442"/>
      <c r="F41" s="442"/>
      <c r="G41" s="442"/>
      <c r="H41" s="442"/>
      <c r="I41" s="442"/>
      <c r="J41" s="442"/>
      <c r="K41" s="442"/>
      <c r="L41" s="442"/>
      <c r="M41" s="442"/>
      <c r="N41" s="442"/>
      <c r="O41" s="442"/>
    </row>
    <row r="42" spans="1:41" ht="15" customHeight="1" x14ac:dyDescent="0.25">
      <c r="D42" s="691" t="str" cm="1">
        <f t="array" aca="1" ref="D42"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42" s="691"/>
      <c r="F42" s="691"/>
      <c r="G42" s="691"/>
      <c r="H42" s="691"/>
      <c r="I42" s="691"/>
      <c r="J42" s="691"/>
      <c r="K42" s="691"/>
      <c r="L42" s="691"/>
    </row>
    <row r="43" spans="1:41" x14ac:dyDescent="0.2">
      <c r="D43" s="808"/>
      <c r="E43" s="808"/>
      <c r="F43" s="808"/>
      <c r="G43" s="808"/>
      <c r="H43" s="808"/>
      <c r="I43" s="808"/>
    </row>
    <row r="44" spans="1:41" x14ac:dyDescent="0.2">
      <c r="D44"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4" s="806"/>
      <c r="F44" s="806"/>
      <c r="G44" s="806"/>
      <c r="H44" s="806"/>
      <c r="I44" s="806"/>
      <c r="J44" s="806"/>
      <c r="K44" s="806"/>
      <c r="L44" s="806"/>
      <c r="M44" s="806"/>
      <c r="N44" s="806"/>
      <c r="O44" s="806"/>
    </row>
    <row r="45" spans="1:41" ht="39.950000000000003" customHeight="1" x14ac:dyDescent="0.25">
      <c r="E45" s="137" t="str">
        <f>Import.Município</f>
        <v>Marialva-PR</v>
      </c>
      <c r="J45" s="584" t="str">
        <f ca="1">IF(DADOS!$D$50&lt;&gt;"","Preencher os Dados do Responsável pela Fiscalização, na aba DADOS.","")</f>
        <v/>
      </c>
      <c r="K45" s="584"/>
      <c r="L45" s="584"/>
      <c r="M45" s="584"/>
      <c r="W45" s="807"/>
      <c r="X45" s="807"/>
      <c r="Y45" s="807"/>
      <c r="Z45" s="807"/>
    </row>
    <row r="46" spans="1:41" x14ac:dyDescent="0.2">
      <c r="E46" s="9" t="s">
        <v>693</v>
      </c>
      <c r="J46" s="180" t="s">
        <v>841</v>
      </c>
      <c r="W46" s="180" t="s">
        <v>866</v>
      </c>
    </row>
    <row r="47" spans="1:41" x14ac:dyDescent="0.2">
      <c r="J47" s="76" t="s">
        <v>240</v>
      </c>
      <c r="K47" s="270">
        <f t="array" ref="K47:K50">Import.RespFiscalização</f>
        <v>0</v>
      </c>
      <c r="L47" s="77"/>
      <c r="W47" s="76" t="s">
        <v>240</v>
      </c>
      <c r="X47" s="805"/>
      <c r="Y47" s="805"/>
      <c r="Z47" s="805"/>
    </row>
    <row r="48" spans="1:41" x14ac:dyDescent="0.2">
      <c r="E48" s="458">
        <f>DADOS!$C$48</f>
        <v>0</v>
      </c>
      <c r="J48" s="76" t="s">
        <v>319</v>
      </c>
      <c r="K48" s="270">
        <v>0</v>
      </c>
      <c r="L48" s="77"/>
      <c r="W48" s="76" t="s">
        <v>867</v>
      </c>
      <c r="X48" s="805"/>
      <c r="Y48" s="805"/>
      <c r="Z48" s="805"/>
    </row>
    <row r="49" spans="5:26" x14ac:dyDescent="0.2">
      <c r="E49" s="139" t="s">
        <v>694</v>
      </c>
      <c r="J49" s="76" t="s">
        <v>243</v>
      </c>
      <c r="K49" s="270">
        <v>0</v>
      </c>
      <c r="L49" s="77"/>
      <c r="W49" s="76" t="s">
        <v>243</v>
      </c>
      <c r="X49" s="805"/>
      <c r="Y49" s="805"/>
      <c r="Z49" s="805"/>
    </row>
    <row r="50" spans="5:26" x14ac:dyDescent="0.2">
      <c r="J50" s="76" t="s">
        <v>246</v>
      </c>
      <c r="K50" s="12">
        <v>0</v>
      </c>
      <c r="W50" s="76"/>
      <c r="X50" s="12"/>
    </row>
  </sheetData>
  <sheetProtection algorithmName="SHA-512" hashValue="aRHxY6IspcnX9oDNEzYlZvqgJa1kJxfrQ+5+K+yEMMJQuSTeHXnf37uuUljWZmlYvsFGdmcsqDBw+4zeyhvu6g==" saltValue="qjii1nqj7u8rE2eBRCmapw==" spinCount="100000" sheet="1" objects="1" scenarios="1" autoFilter="0"/>
  <autoFilter ref="C15:C35"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42:L42"/>
    <mergeCell ref="D43:I43"/>
    <mergeCell ref="AB15:AM15"/>
    <mergeCell ref="D37:O37"/>
    <mergeCell ref="T37:Z37"/>
    <mergeCell ref="D38:O40"/>
    <mergeCell ref="T38:Z40"/>
    <mergeCell ref="D15:E15"/>
    <mergeCell ref="X49:Z49"/>
    <mergeCell ref="D44:O44"/>
    <mergeCell ref="W45:Z45"/>
    <mergeCell ref="X47:Z47"/>
    <mergeCell ref="X48:Z48"/>
  </mergeCells>
  <phoneticPr fontId="38" type="noConversion"/>
  <conditionalFormatting sqref="D14:O14 T14:Z14">
    <cfRule type="expression" dxfId="59" priority="18652" stopIfTrue="1">
      <formula>OR(ACOMPANHAMENTO="PLE",TIPOORCAMENTO="Proposto",$L14&lt;0,AND($L14&gt;100,RegimeExecucao="Global"),$O14&gt;$I14,$O14&lt;0)</formula>
    </cfRule>
    <cfRule type="expression" dxfId="58" priority="18653" stopIfTrue="1">
      <formula>$A14=1</formula>
    </cfRule>
    <cfRule type="expression" dxfId="57" priority="18654" stopIfTrue="1">
      <formula>$A14&lt;&gt;"S"</formula>
    </cfRule>
  </conditionalFormatting>
  <conditionalFormatting sqref="D15:O15">
    <cfRule type="expression" dxfId="56" priority="18659" stopIfTrue="1">
      <formula>OR(ACOMPANHAMENTO="PLE",TIPOORCAMENTO="Proposto")</formula>
    </cfRule>
  </conditionalFormatting>
  <conditionalFormatting sqref="D16:O34 T16:Z34">
    <cfRule type="expression" dxfId="55" priority="11" stopIfTrue="1">
      <formula>OR(ACOMPANHAMENTO="PLE",TIPOORCAMENTO="Proposto",$L16&lt;0,AND($L16&gt;100,RegimeExecucao="Global"),$O16&gt;$I16,$O16&lt;0)</formula>
    </cfRule>
    <cfRule type="expression" dxfId="54" priority="12" stopIfTrue="1">
      <formula>$A16=1</formula>
    </cfRule>
    <cfRule type="expression" dxfId="53" priority="13" stopIfTrue="1">
      <formula>$A16&lt;&gt;"S"</formula>
    </cfRule>
  </conditionalFormatting>
  <conditionalFormatting sqref="E2">
    <cfRule type="expression" dxfId="52" priority="18657" stopIfTrue="1">
      <formula>Import.RegimeExecução="(SELECIONAR)"</formula>
    </cfRule>
  </conditionalFormatting>
  <conditionalFormatting sqref="F13:H13">
    <cfRule type="expression" dxfId="51" priority="18658" stopIfTrue="1">
      <formula>RegimeExecucao="Global"</formula>
    </cfRule>
  </conditionalFormatting>
  <conditionalFormatting sqref="O11">
    <cfRule type="expression" dxfId="50" priority="13519">
      <formula>ROUND($P$11,4)&gt;ROUND($P$10,4)</formula>
    </cfRule>
  </conditionalFormatting>
  <conditionalFormatting sqref="Q14:R14 AB14:AM14">
    <cfRule type="expression" dxfId="49" priority="18655" stopIfTrue="1">
      <formula>$A14=1</formula>
    </cfRule>
    <cfRule type="expression" dxfId="48" priority="18656" stopIfTrue="1">
      <formula>$A14&lt;&gt;"S"</formula>
    </cfRule>
  </conditionalFormatting>
  <conditionalFormatting sqref="Q16:R34 AB16:AM34">
    <cfRule type="expression" dxfId="47" priority="14" stopIfTrue="1">
      <formula>$A16=1</formula>
    </cfRule>
    <cfRule type="expression" dxfId="46" priority="15" stopIfTrue="1">
      <formula>$A16&lt;&gt;"S"</formula>
    </cfRule>
  </conditionalFormatting>
  <conditionalFormatting sqref="AB13">
    <cfRule type="cellIs" dxfId="45" priority="18660" stopIfTrue="1" operator="notEqual">
      <formula>1</formula>
    </cfRule>
  </conditionalFormatting>
  <dataValidations count="4">
    <dataValidation type="list" allowBlank="1" showErrorMessage="1" sqref="Z14 Z16:Z3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5" t="str">
        <f>CONCATENATE("RRE - RELATÓRIO RESUMO DO EMPREENDIMENTO - ",IF(CAIXA.Modo,"CAIXA","TOMADOR"))</f>
        <v>RRE - RELATÓRIO RESUMO DO EMPREENDIMENTO - TOMADOR</v>
      </c>
      <c r="H1" s="8"/>
      <c r="I1" s="8"/>
      <c r="P1" s="491" t="s">
        <v>868</v>
      </c>
      <c r="AD1" s="646" t="s">
        <v>869</v>
      </c>
      <c r="AE1" s="346" t="s">
        <v>870</v>
      </c>
    </row>
    <row r="2" spans="1:41" x14ac:dyDescent="0.2">
      <c r="AC2" s="347" t="str">
        <f>J25</f>
        <v>Repasse</v>
      </c>
      <c r="AD2" s="348">
        <f ca="1">AD6-AD4-AD3</f>
        <v>0</v>
      </c>
      <c r="AE2" s="348">
        <f ca="1">AE6-AE4-AE3</f>
        <v>0</v>
      </c>
    </row>
    <row r="3" spans="1:41" x14ac:dyDescent="0.2">
      <c r="E3" s="678" t="s">
        <v>652</v>
      </c>
      <c r="F3" s="678"/>
      <c r="G3" s="678"/>
      <c r="H3" s="678"/>
      <c r="I3" s="677" t="s">
        <v>650</v>
      </c>
      <c r="J3" s="677"/>
      <c r="K3" s="677"/>
      <c r="L3" s="86" t="s">
        <v>707</v>
      </c>
      <c r="M3" s="145"/>
      <c r="O3" s="349"/>
      <c r="P3" s="273" t="s">
        <v>715</v>
      </c>
      <c r="R3" s="145"/>
      <c r="S3" s="145"/>
      <c r="T3" s="145"/>
      <c r="U3" s="145"/>
      <c r="AC3" s="347" t="s">
        <v>456</v>
      </c>
      <c r="AD3" s="348">
        <f ca="1">SUM(T13:OFFSET(T24,-1,0))</f>
        <v>0</v>
      </c>
      <c r="AE3" s="348">
        <f ca="1">IF(OR($O$28&lt;$M$28,$M$26&gt;$AD$3),MIN($M$26,$L$26),MIN($AD$3,$N$28-$N$27+$M$26))</f>
        <v>0</v>
      </c>
    </row>
    <row r="4" spans="1:41" ht="12.75" customHeight="1" x14ac:dyDescent="0.2">
      <c r="E4" s="685" t="str">
        <f>Import.Proponente</f>
        <v>PREFEITURA MUNICIPAL DE MARIALVA</v>
      </c>
      <c r="F4" s="685"/>
      <c r="G4" s="685"/>
      <c r="H4" s="685"/>
      <c r="I4" s="683" t="str">
        <f>Import.CR</f>
        <v>1091265-71</v>
      </c>
      <c r="J4" s="683"/>
      <c r="K4" s="683"/>
      <c r="L4" s="55" t="str">
        <f>Import.TransfereGOV</f>
        <v>060795/2023</v>
      </c>
      <c r="M4" s="817" t="s">
        <v>809</v>
      </c>
      <c r="N4" s="818"/>
      <c r="O4" s="819"/>
      <c r="P4" s="350" t="str">
        <f>import.recurso</f>
        <v>OGU</v>
      </c>
      <c r="R4" s="145"/>
      <c r="S4" s="145"/>
      <c r="T4" s="349"/>
      <c r="U4" s="349"/>
      <c r="AC4" s="347" t="s">
        <v>871</v>
      </c>
      <c r="AD4" s="348">
        <f ca="1">SUM(U13:OFFSET(U24,-1,0))</f>
        <v>0</v>
      </c>
      <c r="AE4" s="348">
        <f ca="1">IF(OR($O$28&lt;$M$28,$M$27&gt;$AD$4),MIN($M$27,$L$27),MIN($AD$4,$N$28+$M$27))</f>
        <v>0</v>
      </c>
    </row>
    <row r="5" spans="1:41" ht="5.0999999999999996" customHeight="1" x14ac:dyDescent="0.2">
      <c r="H5" s="276"/>
      <c r="I5" s="276"/>
      <c r="J5" s="276"/>
      <c r="K5" s="276"/>
      <c r="L5" s="276"/>
      <c r="M5" s="351"/>
      <c r="N5" s="264"/>
      <c r="O5" s="4"/>
      <c r="R5" s="145"/>
      <c r="S5" s="145"/>
      <c r="T5" s="145"/>
      <c r="U5" s="145"/>
    </row>
    <row r="6" spans="1:41" ht="12.75" customHeight="1" x14ac:dyDescent="0.2">
      <c r="E6" s="677" t="s">
        <v>708</v>
      </c>
      <c r="F6" s="677"/>
      <c r="G6" s="677"/>
      <c r="H6" s="677"/>
      <c r="I6" s="844" t="s">
        <v>808</v>
      </c>
      <c r="J6" s="844"/>
      <c r="K6" s="844"/>
      <c r="L6" s="844"/>
      <c r="M6" s="54" t="str">
        <f>IF(import.recurso="FGTS","FINANCIAMENTO","REPASSE")</f>
        <v>REPASSE</v>
      </c>
      <c r="N6" s="95" t="s">
        <v>810</v>
      </c>
      <c r="O6" s="54" t="s">
        <v>811</v>
      </c>
      <c r="P6" s="146" t="s">
        <v>872</v>
      </c>
      <c r="R6" s="145"/>
      <c r="S6" s="145"/>
      <c r="T6" s="145"/>
      <c r="U6" s="145"/>
      <c r="AC6" s="347" t="s">
        <v>873</v>
      </c>
      <c r="AD6" s="348">
        <f ca="1">$O$28</f>
        <v>0</v>
      </c>
      <c r="AE6" s="348">
        <f ca="1">AD6</f>
        <v>0</v>
      </c>
    </row>
    <row r="7" spans="1:41" ht="12.75" customHeight="1" x14ac:dyDescent="0.2">
      <c r="D7" s="680" t="s">
        <v>655</v>
      </c>
      <c r="E7" s="683" t="str">
        <f>Import.Apelido</f>
        <v>RECAPEAMENTO ASFÁLTICO</v>
      </c>
      <c r="F7" s="683"/>
      <c r="G7" s="683"/>
      <c r="H7" s="683"/>
      <c r="I7" s="841" t="str">
        <f>Import.Município</f>
        <v>Marialva-PR</v>
      </c>
      <c r="J7" s="841"/>
      <c r="K7" s="841"/>
      <c r="L7" s="841"/>
      <c r="M7" s="352">
        <f>Import.Repasse</f>
        <v>2870210</v>
      </c>
      <c r="N7" s="353">
        <f>Import.Contrapartida</f>
        <v>221743.04</v>
      </c>
      <c r="O7" s="352">
        <f>M7+N7</f>
        <v>3091953.04</v>
      </c>
      <c r="P7" s="422">
        <f>IF(ACOMPANHAMENTO="PLE",PLE.Medicao,BM.medicao)</f>
        <v>1</v>
      </c>
      <c r="R7" s="145"/>
      <c r="S7" s="145"/>
      <c r="T7" s="145"/>
      <c r="U7" s="145"/>
    </row>
    <row r="8" spans="1:41" x14ac:dyDescent="0.2">
      <c r="D8" s="680"/>
      <c r="E8" s="91"/>
      <c r="F8" s="91"/>
      <c r="G8" s="91"/>
      <c r="H8" s="91"/>
      <c r="I8" s="91"/>
      <c r="J8" s="91"/>
      <c r="K8" s="91"/>
      <c r="L8" s="91"/>
      <c r="M8" s="91"/>
      <c r="N8" s="91"/>
      <c r="O8" s="91"/>
      <c r="P8" s="91"/>
      <c r="R8" s="145"/>
      <c r="S8" s="145"/>
      <c r="T8" s="145"/>
      <c r="U8" s="145"/>
    </row>
    <row r="9" spans="1:41" ht="12.75" customHeight="1" x14ac:dyDescent="0.2">
      <c r="D9" s="680"/>
      <c r="G9" s="842" t="s">
        <v>874</v>
      </c>
      <c r="H9" s="842"/>
      <c r="I9" s="842" t="s">
        <v>875</v>
      </c>
      <c r="J9" s="842"/>
      <c r="K9" s="354"/>
      <c r="L9" s="843" t="s">
        <v>815</v>
      </c>
      <c r="M9" s="355" t="s">
        <v>818</v>
      </c>
      <c r="N9" s="277" t="s">
        <v>741</v>
      </c>
      <c r="P9" s="356"/>
      <c r="R9" s="145"/>
      <c r="S9" s="145"/>
      <c r="T9" s="145"/>
      <c r="U9" s="145"/>
      <c r="V9" s="7" t="s">
        <v>876</v>
      </c>
    </row>
    <row r="10" spans="1:41" ht="12.75" customHeight="1" x14ac:dyDescent="0.2">
      <c r="D10" s="680"/>
      <c r="G10" s="720" t="str">
        <f ca="1">IF(J10="-","-",IF($P$24&lt;J10,"Atrasada",IF($P$24&gt;J10,"Adiantada","Normal")))</f>
        <v>Normal</v>
      </c>
      <c r="H10" s="720"/>
      <c r="I10" s="357">
        <f>DATE(YEAR($L$35),MONTH($L$35),1)</f>
        <v>1</v>
      </c>
      <c r="J10" s="358">
        <f ca="1">IF($I$10&lt;DATE(YEAR(CRONO!$U$13),MONTH(CRONO!$U$13),1),0,IF($I$10&gt;OFFSET(CRONO!$AG$13,0,-1),1,INDEX(CRONO!$T$35:$AH$35,MATCH(RRE!$I$10,CRONO!$T$13:$AG$13,0))))</f>
        <v>0</v>
      </c>
      <c r="K10" s="354"/>
      <c r="L10" s="843"/>
      <c r="M10" s="359">
        <f ca="1">QCI!L10</f>
        <v>0</v>
      </c>
      <c r="N10" s="279">
        <f ca="1">QCI!M10</f>
        <v>0</v>
      </c>
      <c r="P10" s="356"/>
      <c r="R10" s="145"/>
      <c r="S10" s="145"/>
      <c r="T10" s="145"/>
      <c r="U10" s="145"/>
      <c r="AC10" s="838" t="s">
        <v>76</v>
      </c>
      <c r="AD10" s="838"/>
      <c r="AE10" s="838"/>
      <c r="AF10" s="838"/>
      <c r="AG10" s="838"/>
      <c r="AH10" s="838"/>
      <c r="AJ10" s="838" t="s">
        <v>78</v>
      </c>
      <c r="AK10" s="838"/>
      <c r="AL10" s="838"/>
      <c r="AM10" s="838"/>
      <c r="AN10" s="838"/>
      <c r="AO10" s="838"/>
    </row>
    <row r="11" spans="1:41" ht="20.100000000000001" customHeight="1" x14ac:dyDescent="0.2">
      <c r="D11" s="680"/>
      <c r="M11" s="450" t="str">
        <f>IF(CAIXA.Modo,"Valores Aferidos (R$)","Valores Medidos (R$)")</f>
        <v>Valores Medidos (R$)</v>
      </c>
      <c r="N11" s="450"/>
      <c r="O11" s="450"/>
      <c r="R11" s="360"/>
      <c r="S11" s="360"/>
      <c r="T11" s="450"/>
      <c r="U11" s="450"/>
      <c r="V11" s="447"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MATCH(E12,ORÇAMENTO!$E$15:$E$35,0)-1</f>
        <v>#N/A</v>
      </c>
      <c r="B12" t="e">
        <f ca="1">IF(ISERROR($A12),NA(),OFFSET(ORÇAMENTO!$D$15,$A12,0))</f>
        <v>#N/A</v>
      </c>
      <c r="C12" t="str">
        <f ca="1">QCI!B12</f>
        <v>Branco</v>
      </c>
      <c r="D12" t="str">
        <f ca="1">IF(L12&gt;0,"F","")</f>
        <v/>
      </c>
      <c r="E12" s="280">
        <f>QCI!D12</f>
        <v>-1</v>
      </c>
      <c r="F12" s="361" t="str">
        <f ca="1">QCI!G12</f>
        <v/>
      </c>
      <c r="G12" s="362">
        <f>QCI!H12</f>
        <v>0</v>
      </c>
      <c r="H12" s="281">
        <f>QCI!I12</f>
        <v>0</v>
      </c>
      <c r="I12" s="281" t="str">
        <f ca="1">QCI!J12</f>
        <v/>
      </c>
      <c r="J12" s="363" t="str">
        <f ca="1">QCI!K12</f>
        <v/>
      </c>
      <c r="K12" s="364" t="str" cm="1">
        <f t="array" aca="1" ref="K12" ca="1">IF($C12="Automático",IF(ACOMPANHAMENTO="BM",BM.medicao,PLE.Medicao),IF(ISBLANK($X12),"",$X12))</f>
        <v/>
      </c>
      <c r="L12" s="285">
        <f ca="1">QCI!$O12</f>
        <v>0</v>
      </c>
      <c r="M12" s="282">
        <f ca="1">ROUND(IF(C12="Automático",AE12+AL12,Y12),2)</f>
        <v>0</v>
      </c>
      <c r="N12" s="283">
        <f ca="1">O12-M12</f>
        <v>0</v>
      </c>
      <c r="O12" s="284">
        <f ca="1">ROUND(IF(C12="Automático",AH12+AO12,Z12),2)</f>
        <v>0</v>
      </c>
      <c r="P12" s="366">
        <f ca="1">O12/(L12+10^-12)</f>
        <v>0</v>
      </c>
      <c r="R12" s="365">
        <f ca="1">ROUND(IF($C12="Automático",AC12+AJ12,$Y12*IF(ISERROR(QCI!$AA12/QCI!$O12),0,QCI!$AA12/QCI!$O12)),2)</f>
        <v>0</v>
      </c>
      <c r="S12" s="365">
        <f ca="1">ROUND(IF($C12="Automático",AD12+AK12,$Y12*IF(ISERROR(QCI!$AB12/QCI!$O12),0,QCI!$AB12/QCI!$O12)),2)</f>
        <v>0</v>
      </c>
      <c r="T12" s="365">
        <f ca="1">ROUND(IF($C12="Automático",AF12+AM12,$Z12*IF(ISERROR(QCI!$AA12/QCI!$O12),0,QCI!$AA12/QCI!$O12)),2)</f>
        <v>0</v>
      </c>
      <c r="U12" s="365">
        <f ca="1">ROUND(IF($C12="Automático",AG12+AN12,$Z12*IF(ISERROR(QCI!$AB12/QCI!$O12),0,QCI!$AB12/QCI!$O12)),2)</f>
        <v>0</v>
      </c>
      <c r="V12" s="448" t="str">
        <f ca="1">IF(AND($L12&gt;0,$J12&lt;&gt;0,$J12&lt;&gt;"",COUNTIF($J12:$J$13,$J12)=1),OFFSET(V12,-1,0)+1,OFFSET(V12,-1,0))</f>
        <v>Lista CTEFs</v>
      </c>
      <c r="X12" s="512"/>
      <c r="Y12" s="286"/>
      <c r="Z12" s="287"/>
      <c r="AC12" s="182" t="e" cm="1">
        <f t="array" aca="1" ref="AC12" ca="1">IF(ACOMPANHAMENTO&lt;&gt;"PLE",0,SUMPRODUCT((OFFSET(CÁLCULO!$BV$15:$CN$15,$A12,0,$B12)&lt;=(PLE.Medicao-1))*OFFSET(CÁLCULO!$AJ$15:$BB$15,$A12,0,$B12)*OFFSET(ORÇAMENTO!$AA$15,$A12,0,$B12)/(OFFSET(ORÇAMENTO!$X$15,$A12,0,$B12)+10^-12))+IF(AUTOEVENTO="Manual",SUMPRODUCT((OFFSET(CÁLCULO!$M$15,$A12,0,$B12)=1)*OFFSET(ORÇAMENTO!$AA$15,$A12,0,$B12)*(PLE!$AE$9-PLE!$Y$9)),0))</f>
        <v>#N/A</v>
      </c>
      <c r="AD12" s="182" t="e" cm="1">
        <f t="array" aca="1" ref="AD12" ca="1">IF(ACOMPANHAMENTO&lt;&gt;"PLE",0,SUMPRODUCT((OFFSET(CÁLCULO!$BV$15:$CN$15,$A12,0,$B12)&lt;=(PLE.Medicao-1))*OFFSET(CÁLCULO!$AJ$15:$BB$15,$A12,0,$B12)*OFFSET(ORÇAMENTO!$AB$15,$A12,0,$B12)/(OFFSET(ORÇAMENTO!$X$15,$A12,0,$B12)+10^-12))+IF(AUTOEVENTO="Manual",SUMPRODUCT((OFFSET(CÁLCULO!$M$15,$A12,0,$B12)=1)*OFFSET(ORÇAMENTO!$AB$15,$A12,0,$B12)*(PLE!$AE$9-PLE!$Y$9)),0))</f>
        <v>#N/A</v>
      </c>
      <c r="AE12" s="182" t="e">
        <f ca="1">ROUND(
            IF(ACOMPANHAMENTO&lt;&gt;"PLE",0,
                      SUMIF(OFFSET(CÁLCULO!$BV$15:$CN$15,$A12,0,$B12),"&lt;="&amp;(PLE.Medicao-1),OFFSET(CÁLCULO!$AJ$15:$BB$15,$A12,0,$B12))
                      +IF(AdmLocal="Automática",
                              SUMIF(OFFSET(CÁLCULO!$M$15,$A12,0,$B12),1,OFFSET(ORÇAMENTO!$X$15,$A12,0,$B12))*(PLE!$AE$9-PLE!$Y$9),
                              0)),
            2)</f>
        <v>#N/A</v>
      </c>
      <c r="AF12" s="182" t="e" cm="1">
        <f t="array" aca="1" ref="AF12" ca="1">IF(ACOMPANHAMENTO&lt;&gt;"PLE",0,SUMPRODUCT((OFFSET(CÁLCULO!$BV$15:$CN$15,$A12,0,$B12)&lt;=PLE.Medicao)*OFFSET(CÁLCULO!$AJ$15:$BB$15,$A12,0,$B12)*OFFSET(ORÇAMENTO!$AA$15,$A12,0,$B12)/(OFFSET(ORÇAMENTO!$X$15,$A12,0,$B12)+10^-12))+IF(AUTOEVENTO="Manual",SUMPRODUCT((OFFSET(CÁLCULO!$M$15,$A12,0,$B12)=1)*OFFSET(ORÇAMENTO!$AA$15,$A12,0,$B12)*PLE!$AE$9),0))</f>
        <v>#N/A</v>
      </c>
      <c r="AG12" s="182" t="e" cm="1">
        <f t="array" aca="1" ref="AG12" ca="1">IF(ACOMPANHAMENTO&lt;&gt;"PLE",0,SUMPRODUCT((OFFSET(CÁLCULO!$BV$15:$CN$15,$A12,0,$B12)&lt;=PLE.Medicao)*OFFSET(CÁLCULO!$AJ$15:$BB$15,$A12,0,$B12)*OFFSET(ORÇAMENTO!$AB$15,$A12,0,$B12)/(OFFSET(ORÇAMENTO!$X$15,$A12,0,$B12)+10^-12))+IF(AUTOEVENTO="Manual",SUMPRODUCT((OFFSET(CÁLCULO!$M$15,$A12,0,$B12)=1)*OFFSET(ORÇAMENTO!$AB$15,$A12,0,$B12)*PLE!$AE$9),0))</f>
        <v>#N/A</v>
      </c>
      <c r="AH12" s="182" t="e">
        <f ca="1">ROUND(IF(ACOMPANHAMENTO&lt;&gt;"PLE",0,SUMIF(OFFSET(CÁLCULO!$BV$15:$CN$15,$A12,0,$B12),"&lt;="&amp;PLE.Medicao,OFFSET(CÁLCULO!$AJ$15:$BB$15,$A12,0,$B12))+IF(AdmLocal="Automática",SUMIF(OFFSET(CÁLCULO!$M$15,$A12,0,$B12),1,OFFSET(ORÇAMENTO!$X$15,$A12,0,$B12))*PLE!$AE$9,0)),2)</f>
        <v>#N/A</v>
      </c>
      <c r="AJ12" s="182" cm="1">
        <f t="array" aca="1" ref="AJ12" ca="1">IF(ACOMPANHAMENTO&lt;&gt;"BM",0,SUMPRODUCT(OFFSET(BM!$M$15,$A12,0,$B12)*(OFFSET(BM!$A$15,$A12,0,$B12)="S")*OFFSET(ORÇAMENTO!AA$15,$A12,0,$B12)/(OFFSET(ORÇAMENTO!$X$15,$A12,0,$B12)+10^-12)))</f>
        <v>0</v>
      </c>
      <c r="AK12" s="182" cm="1">
        <f t="array" aca="1" ref="AK12" ca="1">IF(ACOMPANHAMENTO&lt;&gt;"BM",0,SUMPRODUCT(OFFSET(BM!$M$15,$A12,0,$B12)*(OFFSET(BM!$A$15,$A12,0,$B12)="S")*OFFSET(ORÇAMENTO!AB$15,$A12,0,$B12)/(OFFSET(ORÇAMENTO!$X$15,$A12,0,$B12)+10^-12)))</f>
        <v>0</v>
      </c>
      <c r="AL12" s="182">
        <f ca="1">IF(ACOMPANHAMENTO&lt;&gt;"BM",0,OFFSET(BM!$M$15,$A12,0))</f>
        <v>0</v>
      </c>
      <c r="AM12" s="182" cm="1">
        <f t="array" aca="1" ref="AM12" ca="1">IF(ACOMPANHAMENTO&lt;&gt;"BM",0,SUMPRODUCT(OFFSET(BM!$O$15,$A12,0,$B12)*(OFFSET(BM!$A$15,$A12,0,$B12)="S")*OFFSET(ORÇAMENTO!AA$15,$A12,0,$B12)/(OFFSET(ORÇAMENTO!$X$15,$A12,0,$B12)+10^-12)))</f>
        <v>0</v>
      </c>
      <c r="AN12" s="182" cm="1">
        <f t="array" aca="1" ref="AN12" ca="1">IF(ACOMPANHAMENTO&lt;&gt;"BM",0,SUMPRODUCT(OFFSET(BM!$O$15,$A12,0,$B12)*(OFFSET(BM!$A$15,$A12,0,$B12)="S")*OFFSET(ORÇAMENTO!AB$15,$A12,0,$B12)/(OFFSET(ORÇAMENTO!$X$15,$A12,0,$B12)+10^-12)))</f>
        <v>0</v>
      </c>
      <c r="AO12" s="182">
        <f ca="1">IF(ACOMPANHAMENTO&lt;&gt;"BM",0,OFFSET(BM!$O$15,$A12,0))</f>
        <v>0</v>
      </c>
    </row>
    <row r="13" spans="1:41" ht="39.950000000000003" customHeight="1" x14ac:dyDescent="0.2">
      <c r="A13" s="289" t="s">
        <v>880</v>
      </c>
      <c r="B13" s="9" t="s">
        <v>725</v>
      </c>
      <c r="C13" s="289" t="s">
        <v>820</v>
      </c>
      <c r="D13" s="105" t="s">
        <v>660</v>
      </c>
      <c r="E13" s="106" t="s">
        <v>701</v>
      </c>
      <c r="F13" s="106" t="s">
        <v>823</v>
      </c>
      <c r="G13" s="106" t="s">
        <v>669</v>
      </c>
      <c r="H13" s="106" t="s">
        <v>712</v>
      </c>
      <c r="I13" s="106" t="s">
        <v>824</v>
      </c>
      <c r="J13" s="106" t="s">
        <v>825</v>
      </c>
      <c r="K13" s="644" t="s">
        <v>881</v>
      </c>
      <c r="L13" s="106" t="s">
        <v>882</v>
      </c>
      <c r="M13" s="644" t="s">
        <v>878</v>
      </c>
      <c r="N13" s="645" t="s">
        <v>883</v>
      </c>
      <c r="O13" s="290" t="s">
        <v>879</v>
      </c>
      <c r="P13" s="106" t="s">
        <v>884</v>
      </c>
      <c r="R13" s="367" t="s">
        <v>885</v>
      </c>
      <c r="S13" s="367" t="s">
        <v>886</v>
      </c>
      <c r="T13" s="367" t="s">
        <v>887</v>
      </c>
      <c r="U13" s="367" t="s">
        <v>888</v>
      </c>
      <c r="V13" s="449"/>
      <c r="X13" s="644" t="s">
        <v>881</v>
      </c>
      <c r="Y13" s="158" t="s">
        <v>878</v>
      </c>
      <c r="Z13" s="159" t="s">
        <v>879</v>
      </c>
      <c r="AC13" s="108" t="s">
        <v>456</v>
      </c>
      <c r="AD13" s="108" t="s">
        <v>871</v>
      </c>
      <c r="AE13" s="108" t="s">
        <v>873</v>
      </c>
      <c r="AF13" s="108" t="s">
        <v>456</v>
      </c>
      <c r="AG13" s="108" t="s">
        <v>871</v>
      </c>
      <c r="AH13" s="108" t="s">
        <v>873</v>
      </c>
      <c r="AJ13" s="108" t="s">
        <v>456</v>
      </c>
      <c r="AK13" s="108" t="s">
        <v>871</v>
      </c>
      <c r="AL13" s="108" t="s">
        <v>873</v>
      </c>
      <c r="AM13" s="108" t="s">
        <v>456</v>
      </c>
      <c r="AN13" s="108" t="s">
        <v>871</v>
      </c>
      <c r="AO13" s="108" t="s">
        <v>873</v>
      </c>
    </row>
    <row r="14" spans="1:41" ht="30" customHeight="1" x14ac:dyDescent="0.2">
      <c r="A14">
        <f ca="1">MATCH(E14,ORÇAMENTO!$E$15:$E$35,0)-1</f>
        <v>1</v>
      </c>
      <c r="B14">
        <f ca="1">IF(ISERROR($A14),NA(),OFFSET(ORÇAMENTO!$D$15,$A14,0))</f>
        <v>19</v>
      </c>
      <c r="C14" t="str">
        <f ca="1">QCI!B14</f>
        <v>Automático</v>
      </c>
      <c r="D14" t="str">
        <f t="shared" ref="D14:D22" ca="1" si="0">IF(L14&gt;0,"F","")</f>
        <v>F</v>
      </c>
      <c r="E14" s="280">
        <f>QCI!D14</f>
        <v>1</v>
      </c>
      <c r="F14" s="361" t="str">
        <f ca="1">QCI!G14</f>
        <v>RECAPEAMENTO ASFÁLTICO DE VIAS PÚBLICAS NO MÚNICIPIO DE MARIALVA/PR</v>
      </c>
      <c r="G14" s="362" t="str">
        <f>QCI!H14</f>
        <v>Em Análise</v>
      </c>
      <c r="H14" s="281">
        <f>QCI!I14</f>
        <v>35554.29</v>
      </c>
      <c r="I14" s="281" t="str">
        <f ca="1">QCI!J14</f>
        <v>m²</v>
      </c>
      <c r="J14" s="363" t="str">
        <f ca="1">QCI!K14</f>
        <v>LOTE 1</v>
      </c>
      <c r="K14" s="364" cm="1">
        <f t="array" aca="1" ref="K14" ca="1">IF($C14="Automático",IF(ACOMPANHAMENTO="BM",BM.medicao,PLE.Medicao),IF(ISBLANK($X14),"",$X14))</f>
        <v>1</v>
      </c>
      <c r="L14" s="285">
        <f ca="1">QCI!$O14</f>
        <v>3091953.04</v>
      </c>
      <c r="M14" s="282">
        <f t="shared" ref="M14:M22" ca="1" si="1">ROUND(IF(C14="Automático",AE14+AL14,Y14),2)</f>
        <v>0</v>
      </c>
      <c r="N14" s="283">
        <f t="shared" ref="N14:N22" ca="1" si="2">O14-M14</f>
        <v>0</v>
      </c>
      <c r="O14" s="284">
        <f t="shared" ref="O14:O22" ca="1" si="3">ROUND(IF(C14="Automático",AH14+AO14,Z14),2)</f>
        <v>0</v>
      </c>
      <c r="P14" s="366">
        <f t="shared" ref="P14:P22" ca="1" si="4">O14/(L14+10^-12)</f>
        <v>0</v>
      </c>
      <c r="R14" s="365">
        <f ca="1">ROUND(IF($C14="Automático",AC14+AJ14,$Y14*IF(ISERROR(QCI!$AA14/QCI!$O14),0,QCI!$AA14/QCI!$O14)),2)</f>
        <v>0</v>
      </c>
      <c r="S14" s="365">
        <f ca="1">ROUND(IF($C14="Automático",AD14+AK14,$Y14*IF(ISERROR(QCI!$AB14/QCI!$O14),0,QCI!$AB14/QCI!$O14)),2)</f>
        <v>0</v>
      </c>
      <c r="T14" s="365">
        <f ca="1">ROUND(IF($C14="Automático",AF14+AM14,$Z14*IF(ISERROR(QCI!$AA14/QCI!$O14),0,QCI!$AA14/QCI!$O14)),2)</f>
        <v>0</v>
      </c>
      <c r="U14" s="365">
        <f ca="1">ROUND(IF($C14="Automático",AG14+AN14,$Z14*IF(ISERROR(QCI!$AB14/QCI!$O14),0,QCI!$AB14/QCI!$O14)),2)</f>
        <v>0</v>
      </c>
      <c r="V14" s="448">
        <f ca="1">IF(AND($L14&gt;0,$J14&lt;&gt;0,$J14&lt;&gt;"",COUNTIF($J$13:$J14,$J14)=1),OFFSET(V14,-1,0)+1,OFFSET(V14,-1,0))</f>
        <v>1</v>
      </c>
      <c r="X14" s="512"/>
      <c r="Y14" s="286"/>
      <c r="Z14" s="287"/>
      <c r="AC14" s="182" cm="1">
        <f t="array" aca="1" ref="AC14" ca="1">IF(ACOMPANHAMENTO&lt;&gt;"PLE",0,SUMPRODUCT((OFFSET(CÁLCULO!$BV$15:$CN$15,$A14,0,$B14)&lt;=(PLE.Medicao-1))*OFFSET(CÁLCULO!$AJ$15:$BB$15,$A14,0,$B14)*OFFSET(ORÇAMENTO!$AA$15,$A14,0,$B14)/(OFFSET(ORÇAMENTO!$X$15,$A14,0,$B14)+10^-12))+IF(AUTOEVENTO="Manual",SUMPRODUCT((OFFSET(CÁLCULO!$M$15,$A14,0,$B14)=1)*OFFSET(ORÇAMENTO!$AA$15,$A14,0,$B14)*(PLE!$AE$9-PLE!$Y$9)),0))</f>
        <v>0</v>
      </c>
      <c r="AD14" s="182" cm="1">
        <f t="array" aca="1" ref="AD14" ca="1">IF(ACOMPANHAMENTO&lt;&gt;"PLE",0,SUMPRODUCT((OFFSET(CÁLCULO!$BV$15:$CN$15,$A14,0,$B14)&lt;=(PLE.Medicao-1))*OFFSET(CÁLCULO!$AJ$15:$BB$15,$A14,0,$B14)*OFFSET(ORÇAMENTO!$AB$15,$A14,0,$B14)/(OFFSET(ORÇAMENTO!$X$15,$A14,0,$B14)+10^-12))+IF(AUTOEVENTO="Manual",SUMPRODUCT((OFFSET(CÁLCULO!$M$15,$A14,0,$B14)=1)*OFFSET(ORÇAMENTO!$AB$15,$A14,0,$B14)*(PLE!$AE$9-PLE!$Y$9)),0))</f>
        <v>0</v>
      </c>
      <c r="AE14" s="182">
        <f ca="1">ROUND(
            IF(ACOMPANHAMENTO&lt;&gt;"PLE",0,
                      SUMIF(OFFSET(CÁLCULO!$BV$15:$CN$15,$A14,0,$B14),"&lt;="&amp;(PLE.Medicao-1),OFFSET(CÁLCULO!$AJ$15:$BB$15,$A14,0,$B14))
                      +IF(AdmLocal="Automática",
                              SUMIF(OFFSET(CÁLCULO!$M$15,$A14,0,$B14),1,OFFSET(ORÇAMENTO!$X$15,$A14,0,$B14))*(PLE!$AE$9-PLE!$Y$9),
                              0)),
            2)</f>
        <v>0</v>
      </c>
      <c r="AF14" s="182" cm="1">
        <f t="array" aca="1" ref="AF14" ca="1">IF(ACOMPANHAMENTO&lt;&gt;"PLE",0,SUMPRODUCT((OFFSET(CÁLCULO!$BV$15:$CN$15,$A14,0,$B14)&lt;=PLE.Medicao)*OFFSET(CÁLCULO!$AJ$15:$BB$15,$A14,0,$B14)*OFFSET(ORÇAMENTO!$AA$15,$A14,0,$B14)/(OFFSET(ORÇAMENTO!$X$15,$A14,0,$B14)+10^-12))+IF(AUTOEVENTO="Manual",SUMPRODUCT((OFFSET(CÁLCULO!$M$15,$A14,0,$B14)=1)*OFFSET(ORÇAMENTO!$AA$15,$A14,0,$B14)*PLE!$AE$9),0))</f>
        <v>0</v>
      </c>
      <c r="AG14" s="182" cm="1">
        <f t="array" aca="1" ref="AG14" ca="1">IF(ACOMPANHAMENTO&lt;&gt;"PLE",0,SUMPRODUCT((OFFSET(CÁLCULO!$BV$15:$CN$15,$A14,0,$B14)&lt;=PLE.Medicao)*OFFSET(CÁLCULO!$AJ$15:$BB$15,$A14,0,$B14)*OFFSET(ORÇAMENTO!$AB$15,$A14,0,$B14)/(OFFSET(ORÇAMENTO!$X$15,$A14,0,$B14)+10^-12))+IF(AUTOEVENTO="Manual",SUMPRODUCT((OFFSET(CÁLCULO!$M$15,$A14,0,$B14)=1)*OFFSET(ORÇAMENTO!$AB$15,$A14,0,$B14)*PLE!$AE$9),0))</f>
        <v>0</v>
      </c>
      <c r="AH14" s="182">
        <f ca="1">ROUND(IF(ACOMPANHAMENTO&lt;&gt;"PLE",0,SUMIF(OFFSET(CÁLCULO!$BV$15:$CN$15,$A14,0,$B14),"&lt;="&amp;PLE.Medicao,OFFSET(CÁLCULO!$AJ$15:$BB$15,$A14,0,$B14))+IF(AdmLocal="Automática",SUMIF(OFFSET(CÁLCULO!$M$15,$A14,0,$B14),1,OFFSET(ORÇAMENTO!$X$15,$A14,0,$B14))*PLE!$AE$9,0)),2)</f>
        <v>0</v>
      </c>
      <c r="AJ14" s="182" cm="1">
        <f t="array" aca="1" ref="AJ14" ca="1">IF(ACOMPANHAMENTO&lt;&gt;"BM",0,SUMPRODUCT(OFFSET(BM!$M$15,$A14,0,$B14)*(OFFSET(BM!$A$15,$A14,0,$B14)="S")*OFFSET(ORÇAMENTO!AA$15,$A14,0,$B14)/(OFFSET(ORÇAMENTO!$X$15,$A14,0,$B14)+10^-12)))</f>
        <v>0</v>
      </c>
      <c r="AK14" s="182" cm="1">
        <f t="array" aca="1" ref="AK14" ca="1">IF(ACOMPANHAMENTO&lt;&gt;"BM",0,SUMPRODUCT(OFFSET(BM!$M$15,$A14,0,$B14)*(OFFSET(BM!$A$15,$A14,0,$B14)="S")*OFFSET(ORÇAMENTO!AB$15,$A14,0,$B14)/(OFFSET(ORÇAMENTO!$X$15,$A14,0,$B14)+10^-12)))</f>
        <v>0</v>
      </c>
      <c r="AL14" s="182">
        <f ca="1">IF(ACOMPANHAMENTO&lt;&gt;"BM",0,OFFSET(BM!$M$15,$A14,0))</f>
        <v>0</v>
      </c>
      <c r="AM14" s="182" cm="1">
        <f t="array" aca="1" ref="AM14" ca="1">IF(ACOMPANHAMENTO&lt;&gt;"BM",0,SUMPRODUCT(OFFSET(BM!$O$15,$A14,0,$B14)*(OFFSET(BM!$A$15,$A14,0,$B14)="S")*OFFSET(ORÇAMENTO!AA$15,$A14,0,$B14)/(OFFSET(ORÇAMENTO!$X$15,$A14,0,$B14)+10^-12)))</f>
        <v>0</v>
      </c>
      <c r="AN14" s="182" cm="1">
        <f t="array" aca="1" ref="AN14" ca="1">IF(ACOMPANHAMENTO&lt;&gt;"BM",0,SUMPRODUCT(OFFSET(BM!$O$15,$A14,0,$B14)*(OFFSET(BM!$A$15,$A14,0,$B14)="S")*OFFSET(ORÇAMENTO!AB$15,$A14,0,$B14)/(OFFSET(ORÇAMENTO!$X$15,$A14,0,$B14)+10^-12)))</f>
        <v>0</v>
      </c>
      <c r="AO14" s="182">
        <f ca="1">IF(ACOMPANHAMENTO&lt;&gt;"BM",0,OFFSET(BM!$O$15,$A14,0))</f>
        <v>0</v>
      </c>
    </row>
    <row r="15" spans="1:41" ht="30" customHeight="1" x14ac:dyDescent="0.2">
      <c r="A15" t="e">
        <f ca="1">MATCH(E15,ORÇAMENTO!$E$15:$E$35,0)-1</f>
        <v>#N/A</v>
      </c>
      <c r="B15" t="e">
        <f ca="1">IF(ISERROR($A15),NA(),OFFSET(ORÇAMENTO!$D$15,$A15,0))</f>
        <v>#N/A</v>
      </c>
      <c r="C15" t="str">
        <f ca="1">QCI!B15</f>
        <v>Branco</v>
      </c>
      <c r="D15" t="str">
        <f t="shared" ca="1" si="0"/>
        <v/>
      </c>
      <c r="E15" s="280">
        <f>QCI!D15</f>
        <v>2</v>
      </c>
      <c r="F15" s="361" t="str">
        <f ca="1">QCI!G15</f>
        <v/>
      </c>
      <c r="G15" s="362">
        <f>QCI!H15</f>
        <v>0</v>
      </c>
      <c r="H15" s="281">
        <f>QCI!I15</f>
        <v>0</v>
      </c>
      <c r="I15" s="281" t="str">
        <f ca="1">QCI!J15</f>
        <v/>
      </c>
      <c r="J15" s="363" t="str">
        <f ca="1">QCI!K15</f>
        <v/>
      </c>
      <c r="K15" s="364" t="str" cm="1">
        <f t="array" aca="1" ref="K15" ca="1">IF($C15="Automático",IF(ACOMPANHAMENTO="BM",BM.medicao,PLE.Medicao),IF(ISBLANK($X15),"",$X15))</f>
        <v/>
      </c>
      <c r="L15" s="285">
        <f ca="1">QCI!$O15</f>
        <v>0</v>
      </c>
      <c r="M15" s="282">
        <f t="shared" ca="1" si="1"/>
        <v>0</v>
      </c>
      <c r="N15" s="283">
        <f t="shared" ca="1" si="2"/>
        <v>0</v>
      </c>
      <c r="O15" s="284">
        <f t="shared" ca="1" si="3"/>
        <v>0</v>
      </c>
      <c r="P15" s="366">
        <f t="shared" ca="1" si="4"/>
        <v>0</v>
      </c>
      <c r="R15" s="365">
        <f ca="1">ROUND(IF($C15="Automático",AC15+AJ15,$Y15*IF(ISERROR(QCI!$AA15/QCI!$O15),0,QCI!$AA15/QCI!$O15)),2)</f>
        <v>0</v>
      </c>
      <c r="S15" s="365">
        <f ca="1">ROUND(IF($C15="Automático",AD15+AK15,$Y15*IF(ISERROR(QCI!$AB15/QCI!$O15),0,QCI!$AB15/QCI!$O15)),2)</f>
        <v>0</v>
      </c>
      <c r="T15" s="365">
        <f ca="1">ROUND(IF($C15="Automático",AF15+AM15,$Z15*IF(ISERROR(QCI!$AA15/QCI!$O15),0,QCI!$AA15/QCI!$O15)),2)</f>
        <v>0</v>
      </c>
      <c r="U15" s="365">
        <f ca="1">ROUND(IF($C15="Automático",AG15+AN15,$Z15*IF(ISERROR(QCI!$AB15/QCI!$O15),0,QCI!$AB15/QCI!$O15)),2)</f>
        <v>0</v>
      </c>
      <c r="V15" s="448">
        <f ca="1">IF(AND($L15&gt;0,$J15&lt;&gt;0,$J15&lt;&gt;"",COUNTIF($J$13:$J15,$J15)=1),OFFSET(V15,-1,0)+1,OFFSET(V15,-1,0))</f>
        <v>1</v>
      </c>
      <c r="X15" s="512"/>
      <c r="Y15" s="286"/>
      <c r="Z15" s="287"/>
      <c r="AC15" s="182" t="e" cm="1">
        <f t="array" aca="1" ref="AC15" ca="1">IF(ACOMPANHAMENTO&lt;&gt;"PLE",0,SUMPRODUCT((OFFSET(CÁLCULO!$BV$15:$CN$15,$A15,0,$B15)&lt;=(PLE.Medicao-1))*OFFSET(CÁLCULO!$AJ$15:$BB$15,$A15,0,$B15)*OFFSET(ORÇAMENTO!$AA$15,$A15,0,$B15)/(OFFSET(ORÇAMENTO!$X$15,$A15,0,$B15)+10^-12))+IF(AUTOEVENTO="Manual",SUMPRODUCT((OFFSET(CÁLCULO!$M$15,$A15,0,$B15)=1)*OFFSET(ORÇAMENTO!$AA$15,$A15,0,$B15)*(PLE!$AE$9-PLE!$Y$9)),0))</f>
        <v>#N/A</v>
      </c>
      <c r="AD15" s="182" t="e" cm="1">
        <f t="array" aca="1" ref="AD15" ca="1">IF(ACOMPANHAMENTO&lt;&gt;"PLE",0,SUMPRODUCT((OFFSET(CÁLCULO!$BV$15:$CN$15,$A15,0,$B15)&lt;=(PLE.Medicao-1))*OFFSET(CÁLCULO!$AJ$15:$BB$15,$A15,0,$B15)*OFFSET(ORÇAMENTO!$AB$15,$A15,0,$B15)/(OFFSET(ORÇAMENTO!$X$15,$A15,0,$B15)+10^-12))+IF(AUTOEVENTO="Manual",SUMPRODUCT((OFFSET(CÁLCULO!$M$15,$A15,0,$B15)=1)*OFFSET(ORÇAMENTO!$AB$15,$A15,0,$B15)*(PLE!$AE$9-PLE!$Y$9)),0))</f>
        <v>#N/A</v>
      </c>
      <c r="AE15" s="182" t="e">
        <f ca="1">ROUND(
            IF(ACOMPANHAMENTO&lt;&gt;"PLE",0,
                      SUMIF(OFFSET(CÁLCULO!$BV$15:$CN$15,$A15,0,$B15),"&lt;="&amp;(PLE.Medicao-1),OFFSET(CÁLCULO!$AJ$15:$BB$15,$A15,0,$B15))
                      +IF(AdmLocal="Automática",
                              SUMIF(OFFSET(CÁLCULO!$M$15,$A15,0,$B15),1,OFFSET(ORÇAMENTO!$X$15,$A15,0,$B15))*(PLE!$AE$9-PLE!$Y$9),
                              0)),
            2)</f>
        <v>#N/A</v>
      </c>
      <c r="AF15" s="182" t="e" cm="1">
        <f t="array" aca="1" ref="AF15" ca="1">IF(ACOMPANHAMENTO&lt;&gt;"PLE",0,SUMPRODUCT((OFFSET(CÁLCULO!$BV$15:$CN$15,$A15,0,$B15)&lt;=PLE.Medicao)*OFFSET(CÁLCULO!$AJ$15:$BB$15,$A15,0,$B15)*OFFSET(ORÇAMENTO!$AA$15,$A15,0,$B15)/(OFFSET(ORÇAMENTO!$X$15,$A15,0,$B15)+10^-12))+IF(AUTOEVENTO="Manual",SUMPRODUCT((OFFSET(CÁLCULO!$M$15,$A15,0,$B15)=1)*OFFSET(ORÇAMENTO!$AA$15,$A15,0,$B15)*PLE!$AE$9),0))</f>
        <v>#N/A</v>
      </c>
      <c r="AG15" s="182" t="e" cm="1">
        <f t="array" aca="1" ref="AG15" ca="1">IF(ACOMPANHAMENTO&lt;&gt;"PLE",0,SUMPRODUCT((OFFSET(CÁLCULO!$BV$15:$CN$15,$A15,0,$B15)&lt;=PLE.Medicao)*OFFSET(CÁLCULO!$AJ$15:$BB$15,$A15,0,$B15)*OFFSET(ORÇAMENTO!$AB$15,$A15,0,$B15)/(OFFSET(ORÇAMENTO!$X$15,$A15,0,$B15)+10^-12))+IF(AUTOEVENTO="Manual",SUMPRODUCT((OFFSET(CÁLCULO!$M$15,$A15,0,$B15)=1)*OFFSET(ORÇAMENTO!$AB$15,$A15,0,$B15)*PLE!$AE$9),0))</f>
        <v>#N/A</v>
      </c>
      <c r="AH15" s="182" t="e">
        <f ca="1">ROUND(IF(ACOMPANHAMENTO&lt;&gt;"PLE",0,SUMIF(OFFSET(CÁLCULO!$BV$15:$CN$15,$A15,0,$B15),"&lt;="&amp;PLE.Medicao,OFFSET(CÁLCULO!$AJ$15:$BB$15,$A15,0,$B15))+IF(AdmLocal="Automática",SUMIF(OFFSET(CÁLCULO!$M$15,$A15,0,$B15),1,OFFSET(ORÇAMENTO!$X$15,$A15,0,$B15))*PLE!$AE$9,0)),2)</f>
        <v>#N/A</v>
      </c>
      <c r="AJ15" s="182" cm="1">
        <f t="array" aca="1" ref="AJ15" ca="1">IF(ACOMPANHAMENTO&lt;&gt;"BM",0,SUMPRODUCT(OFFSET(BM!$M$15,$A15,0,$B15)*(OFFSET(BM!$A$15,$A15,0,$B15)="S")*OFFSET(ORÇAMENTO!AA$15,$A15,0,$B15)/(OFFSET(ORÇAMENTO!$X$15,$A15,0,$B15)+10^-12)))</f>
        <v>0</v>
      </c>
      <c r="AK15" s="182" cm="1">
        <f t="array" aca="1" ref="AK15" ca="1">IF(ACOMPANHAMENTO&lt;&gt;"BM",0,SUMPRODUCT(OFFSET(BM!$M$15,$A15,0,$B15)*(OFFSET(BM!$A$15,$A15,0,$B15)="S")*OFFSET(ORÇAMENTO!AB$15,$A15,0,$B15)/(OFFSET(ORÇAMENTO!$X$15,$A15,0,$B15)+10^-12)))</f>
        <v>0</v>
      </c>
      <c r="AL15" s="182">
        <f ca="1">IF(ACOMPANHAMENTO&lt;&gt;"BM",0,OFFSET(BM!$M$15,$A15,0))</f>
        <v>0</v>
      </c>
      <c r="AM15" s="182" cm="1">
        <f t="array" aca="1" ref="AM15" ca="1">IF(ACOMPANHAMENTO&lt;&gt;"BM",0,SUMPRODUCT(OFFSET(BM!$O$15,$A15,0,$B15)*(OFFSET(BM!$A$15,$A15,0,$B15)="S")*OFFSET(ORÇAMENTO!AA$15,$A15,0,$B15)/(OFFSET(ORÇAMENTO!$X$15,$A15,0,$B15)+10^-12)))</f>
        <v>0</v>
      </c>
      <c r="AN15" s="182" cm="1">
        <f t="array" aca="1" ref="AN15" ca="1">IF(ACOMPANHAMENTO&lt;&gt;"BM",0,SUMPRODUCT(OFFSET(BM!$O$15,$A15,0,$B15)*(OFFSET(BM!$A$15,$A15,0,$B15)="S")*OFFSET(ORÇAMENTO!AB$15,$A15,0,$B15)/(OFFSET(ORÇAMENTO!$X$15,$A15,0,$B15)+10^-12)))</f>
        <v>0</v>
      </c>
      <c r="AO15" s="182">
        <f ca="1">IF(ACOMPANHAMENTO&lt;&gt;"BM",0,OFFSET(BM!$O$15,$A15,0))</f>
        <v>0</v>
      </c>
    </row>
    <row r="16" spans="1:41" ht="30" customHeight="1" x14ac:dyDescent="0.2">
      <c r="A16" t="e">
        <f ca="1">MATCH(E16,ORÇAMENTO!$E$15:$E$35,0)-1</f>
        <v>#N/A</v>
      </c>
      <c r="B16" t="e">
        <f ca="1">IF(ISERROR($A16),NA(),OFFSET(ORÇAMENTO!$D$15,$A16,0))</f>
        <v>#N/A</v>
      </c>
      <c r="C16" t="str">
        <f ca="1">QCI!B16</f>
        <v>Branco</v>
      </c>
      <c r="D16" t="str">
        <f t="shared" ca="1" si="0"/>
        <v/>
      </c>
      <c r="E16" s="280">
        <f>QCI!D16</f>
        <v>3</v>
      </c>
      <c r="F16" s="361" t="str">
        <f ca="1">QCI!G16</f>
        <v/>
      </c>
      <c r="G16" s="362">
        <f>QCI!H16</f>
        <v>0</v>
      </c>
      <c r="H16" s="281">
        <f>QCI!I16</f>
        <v>0</v>
      </c>
      <c r="I16" s="281" t="str">
        <f ca="1">QCI!J16</f>
        <v/>
      </c>
      <c r="J16" s="363" t="str">
        <f ca="1">QCI!K16</f>
        <v/>
      </c>
      <c r="K16" s="364" t="str" cm="1">
        <f t="array" aca="1" ref="K16" ca="1">IF($C16="Automático",IF(ACOMPANHAMENTO="BM",BM.medicao,PLE.Medicao),IF(ISBLANK($X16),"",$X16))</f>
        <v/>
      </c>
      <c r="L16" s="285">
        <f ca="1">QCI!$O16</f>
        <v>0</v>
      </c>
      <c r="M16" s="282">
        <f t="shared" ca="1" si="1"/>
        <v>0</v>
      </c>
      <c r="N16" s="283">
        <f t="shared" ca="1" si="2"/>
        <v>0</v>
      </c>
      <c r="O16" s="284">
        <f t="shared" ca="1" si="3"/>
        <v>0</v>
      </c>
      <c r="P16" s="366">
        <f t="shared" ca="1" si="4"/>
        <v>0</v>
      </c>
      <c r="R16" s="365">
        <f ca="1">ROUND(IF($C16="Automático",AC16+AJ16,$Y16*IF(ISERROR(QCI!$AA16/QCI!$O16),0,QCI!$AA16/QCI!$O16)),2)</f>
        <v>0</v>
      </c>
      <c r="S16" s="365">
        <f ca="1">ROUND(IF($C16="Automático",AD16+AK16,$Y16*IF(ISERROR(QCI!$AB16/QCI!$O16),0,QCI!$AB16/QCI!$O16)),2)</f>
        <v>0</v>
      </c>
      <c r="T16" s="365">
        <f ca="1">ROUND(IF($C16="Automático",AF16+AM16,$Z16*IF(ISERROR(QCI!$AA16/QCI!$O16),0,QCI!$AA16/QCI!$O16)),2)</f>
        <v>0</v>
      </c>
      <c r="U16" s="365">
        <f ca="1">ROUND(IF($C16="Automático",AG16+AN16,$Z16*IF(ISERROR(QCI!$AB16/QCI!$O16),0,QCI!$AB16/QCI!$O16)),2)</f>
        <v>0</v>
      </c>
      <c r="V16" s="448">
        <f ca="1">IF(AND($L16&gt;0,$J16&lt;&gt;0,$J16&lt;&gt;"",COUNTIF($J$13:$J16,$J16)=1),OFFSET(V16,-1,0)+1,OFFSET(V16,-1,0))</f>
        <v>1</v>
      </c>
      <c r="X16" s="512"/>
      <c r="Y16" s="286"/>
      <c r="Z16" s="287"/>
      <c r="AC16" s="182" t="e" cm="1">
        <f t="array" aca="1" ref="AC16" ca="1">IF(ACOMPANHAMENTO&lt;&gt;"PLE",0,SUMPRODUCT((OFFSET(CÁLCULO!$BV$15:$CN$15,$A16,0,$B16)&lt;=(PLE.Medicao-1))*OFFSET(CÁLCULO!$AJ$15:$BB$15,$A16,0,$B16)*OFFSET(ORÇAMENTO!$AA$15,$A16,0,$B16)/(OFFSET(ORÇAMENTO!$X$15,$A16,0,$B16)+10^-12))+IF(AUTOEVENTO="Manual",SUMPRODUCT((OFFSET(CÁLCULO!$M$15,$A16,0,$B16)=1)*OFFSET(ORÇAMENTO!$AA$15,$A16,0,$B16)*(PLE!$AE$9-PLE!$Y$9)),0))</f>
        <v>#N/A</v>
      </c>
      <c r="AD16" s="182" t="e" cm="1">
        <f t="array" aca="1" ref="AD16" ca="1">IF(ACOMPANHAMENTO&lt;&gt;"PLE",0,SUMPRODUCT((OFFSET(CÁLCULO!$BV$15:$CN$15,$A16,0,$B16)&lt;=(PLE.Medicao-1))*OFFSET(CÁLCULO!$AJ$15:$BB$15,$A16,0,$B16)*OFFSET(ORÇAMENTO!$AB$15,$A16,0,$B16)/(OFFSET(ORÇAMENTO!$X$15,$A16,0,$B16)+10^-12))+IF(AUTOEVENTO="Manual",SUMPRODUCT((OFFSET(CÁLCULO!$M$15,$A16,0,$B16)=1)*OFFSET(ORÇAMENTO!$AB$15,$A16,0,$B16)*(PLE!$AE$9-PLE!$Y$9)),0))</f>
        <v>#N/A</v>
      </c>
      <c r="AE16" s="182" t="e">
        <f ca="1">ROUND(
            IF(ACOMPANHAMENTO&lt;&gt;"PLE",0,
                      SUMIF(OFFSET(CÁLCULO!$BV$15:$CN$15,$A16,0,$B16),"&lt;="&amp;(PLE.Medicao-1),OFFSET(CÁLCULO!$AJ$15:$BB$15,$A16,0,$B16))
                      +IF(AdmLocal="Automática",
                              SUMIF(OFFSET(CÁLCULO!$M$15,$A16,0,$B16),1,OFFSET(ORÇAMENTO!$X$15,$A16,0,$B16))*(PLE!$AE$9-PLE!$Y$9),
                              0)),
            2)</f>
        <v>#N/A</v>
      </c>
      <c r="AF16" s="182" t="e" cm="1">
        <f t="array" aca="1" ref="AF16" ca="1">IF(ACOMPANHAMENTO&lt;&gt;"PLE",0,SUMPRODUCT((OFFSET(CÁLCULO!$BV$15:$CN$15,$A16,0,$B16)&lt;=PLE.Medicao)*OFFSET(CÁLCULO!$AJ$15:$BB$15,$A16,0,$B16)*OFFSET(ORÇAMENTO!$AA$15,$A16,0,$B16)/(OFFSET(ORÇAMENTO!$X$15,$A16,0,$B16)+10^-12))+IF(AUTOEVENTO="Manual",SUMPRODUCT((OFFSET(CÁLCULO!$M$15,$A16,0,$B16)=1)*OFFSET(ORÇAMENTO!$AA$15,$A16,0,$B16)*PLE!$AE$9),0))</f>
        <v>#N/A</v>
      </c>
      <c r="AG16" s="182" t="e" cm="1">
        <f t="array" aca="1" ref="AG16" ca="1">IF(ACOMPANHAMENTO&lt;&gt;"PLE",0,SUMPRODUCT((OFFSET(CÁLCULO!$BV$15:$CN$15,$A16,0,$B16)&lt;=PLE.Medicao)*OFFSET(CÁLCULO!$AJ$15:$BB$15,$A16,0,$B16)*OFFSET(ORÇAMENTO!$AB$15,$A16,0,$B16)/(OFFSET(ORÇAMENTO!$X$15,$A16,0,$B16)+10^-12))+IF(AUTOEVENTO="Manual",SUMPRODUCT((OFFSET(CÁLCULO!$M$15,$A16,0,$B16)=1)*OFFSET(ORÇAMENTO!$AB$15,$A16,0,$B16)*PLE!$AE$9),0))</f>
        <v>#N/A</v>
      </c>
      <c r="AH16" s="182" t="e">
        <f ca="1">ROUND(IF(ACOMPANHAMENTO&lt;&gt;"PLE",0,SUMIF(OFFSET(CÁLCULO!$BV$15:$CN$15,$A16,0,$B16),"&lt;="&amp;PLE.Medicao,OFFSET(CÁLCULO!$AJ$15:$BB$15,$A16,0,$B16))+IF(AdmLocal="Automática",SUMIF(OFFSET(CÁLCULO!$M$15,$A16,0,$B16),1,OFFSET(ORÇAMENTO!$X$15,$A16,0,$B16))*PLE!$AE$9,0)),2)</f>
        <v>#N/A</v>
      </c>
      <c r="AJ16" s="182" cm="1">
        <f t="array" aca="1" ref="AJ16" ca="1">IF(ACOMPANHAMENTO&lt;&gt;"BM",0,SUMPRODUCT(OFFSET(BM!$M$15,$A16,0,$B16)*(OFFSET(BM!$A$15,$A16,0,$B16)="S")*OFFSET(ORÇAMENTO!AA$15,$A16,0,$B16)/(OFFSET(ORÇAMENTO!$X$15,$A16,0,$B16)+10^-12)))</f>
        <v>0</v>
      </c>
      <c r="AK16" s="182" cm="1">
        <f t="array" aca="1" ref="AK16" ca="1">IF(ACOMPANHAMENTO&lt;&gt;"BM",0,SUMPRODUCT(OFFSET(BM!$M$15,$A16,0,$B16)*(OFFSET(BM!$A$15,$A16,0,$B16)="S")*OFFSET(ORÇAMENTO!AB$15,$A16,0,$B16)/(OFFSET(ORÇAMENTO!$X$15,$A16,0,$B16)+10^-12)))</f>
        <v>0</v>
      </c>
      <c r="AL16" s="182">
        <f ca="1">IF(ACOMPANHAMENTO&lt;&gt;"BM",0,OFFSET(BM!$M$15,$A16,0))</f>
        <v>0</v>
      </c>
      <c r="AM16" s="182" cm="1">
        <f t="array" aca="1" ref="AM16" ca="1">IF(ACOMPANHAMENTO&lt;&gt;"BM",0,SUMPRODUCT(OFFSET(BM!$O$15,$A16,0,$B16)*(OFFSET(BM!$A$15,$A16,0,$B16)="S")*OFFSET(ORÇAMENTO!AA$15,$A16,0,$B16)/(OFFSET(ORÇAMENTO!$X$15,$A16,0,$B16)+10^-12)))</f>
        <v>0</v>
      </c>
      <c r="AN16" s="182" cm="1">
        <f t="array" aca="1" ref="AN16" ca="1">IF(ACOMPANHAMENTO&lt;&gt;"BM",0,SUMPRODUCT(OFFSET(BM!$O$15,$A16,0,$B16)*(OFFSET(BM!$A$15,$A16,0,$B16)="S")*OFFSET(ORÇAMENTO!AB$15,$A16,0,$B16)/(OFFSET(ORÇAMENTO!$X$15,$A16,0,$B16)+10^-12)))</f>
        <v>0</v>
      </c>
      <c r="AO16" s="182">
        <f ca="1">IF(ACOMPANHAMENTO&lt;&gt;"BM",0,OFFSET(BM!$O$15,$A16,0))</f>
        <v>0</v>
      </c>
    </row>
    <row r="17" spans="1:41" ht="30" customHeight="1" x14ac:dyDescent="0.2">
      <c r="A17" t="e">
        <f ca="1">MATCH(E17,ORÇAMENTO!$E$15:$E$35,0)-1</f>
        <v>#N/A</v>
      </c>
      <c r="B17" t="e">
        <f ca="1">IF(ISERROR($A17),NA(),OFFSET(ORÇAMENTO!$D$15,$A17,0))</f>
        <v>#N/A</v>
      </c>
      <c r="C17" t="str">
        <f ca="1">QCI!B17</f>
        <v>Branco</v>
      </c>
      <c r="D17" t="str">
        <f t="shared" ca="1" si="0"/>
        <v/>
      </c>
      <c r="E17" s="280">
        <f>QCI!D17</f>
        <v>4</v>
      </c>
      <c r="F17" s="361" t="str">
        <f ca="1">QCI!G17</f>
        <v/>
      </c>
      <c r="G17" s="362">
        <f>QCI!H17</f>
        <v>0</v>
      </c>
      <c r="H17" s="281">
        <f>QCI!I17</f>
        <v>0</v>
      </c>
      <c r="I17" s="281" t="str">
        <f ca="1">QCI!J17</f>
        <v/>
      </c>
      <c r="J17" s="363" t="str">
        <f ca="1">QCI!K17</f>
        <v/>
      </c>
      <c r="K17" s="364" t="str" cm="1">
        <f t="array" aca="1" ref="K17" ca="1">IF($C17="Automático",IF(ACOMPANHAMENTO="BM",BM.medicao,PLE.Medicao),IF(ISBLANK($X17),"",$X17))</f>
        <v/>
      </c>
      <c r="L17" s="285">
        <f ca="1">QCI!$O17</f>
        <v>0</v>
      </c>
      <c r="M17" s="282">
        <f t="shared" ca="1" si="1"/>
        <v>0</v>
      </c>
      <c r="N17" s="283">
        <f t="shared" ca="1" si="2"/>
        <v>0</v>
      </c>
      <c r="O17" s="284">
        <f t="shared" ca="1" si="3"/>
        <v>0</v>
      </c>
      <c r="P17" s="366">
        <f t="shared" ca="1" si="4"/>
        <v>0</v>
      </c>
      <c r="R17" s="365">
        <f ca="1">ROUND(IF($C17="Automático",AC17+AJ17,$Y17*IF(ISERROR(QCI!$AA17/QCI!$O17),0,QCI!$AA17/QCI!$O17)),2)</f>
        <v>0</v>
      </c>
      <c r="S17" s="365">
        <f ca="1">ROUND(IF($C17="Automático",AD17+AK17,$Y17*IF(ISERROR(QCI!$AB17/QCI!$O17),0,QCI!$AB17/QCI!$O17)),2)</f>
        <v>0</v>
      </c>
      <c r="T17" s="365">
        <f ca="1">ROUND(IF($C17="Automático",AF17+AM17,$Z17*IF(ISERROR(QCI!$AA17/QCI!$O17),0,QCI!$AA17/QCI!$O17)),2)</f>
        <v>0</v>
      </c>
      <c r="U17" s="365">
        <f ca="1">ROUND(IF($C17="Automático",AG17+AN17,$Z17*IF(ISERROR(QCI!$AB17/QCI!$O17),0,QCI!$AB17/QCI!$O17)),2)</f>
        <v>0</v>
      </c>
      <c r="V17" s="448">
        <f ca="1">IF(AND($L17&gt;0,$J17&lt;&gt;0,$J17&lt;&gt;"",COUNTIF($J$13:$J17,$J17)=1),OFFSET(V17,-1,0)+1,OFFSET(V17,-1,0))</f>
        <v>1</v>
      </c>
      <c r="X17" s="512"/>
      <c r="Y17" s="286"/>
      <c r="Z17" s="287"/>
      <c r="AC17" s="182" t="e" cm="1">
        <f t="array" aca="1" ref="AC17" ca="1">IF(ACOMPANHAMENTO&lt;&gt;"PLE",0,SUMPRODUCT((OFFSET(CÁLCULO!$BV$15:$CN$15,$A17,0,$B17)&lt;=(PLE.Medicao-1))*OFFSET(CÁLCULO!$AJ$15:$BB$15,$A17,0,$B17)*OFFSET(ORÇAMENTO!$AA$15,$A17,0,$B17)/(OFFSET(ORÇAMENTO!$X$15,$A17,0,$B17)+10^-12))+IF(AUTOEVENTO="Manual",SUMPRODUCT((OFFSET(CÁLCULO!$M$15,$A17,0,$B17)=1)*OFFSET(ORÇAMENTO!$AA$15,$A17,0,$B17)*(PLE!$AE$9-PLE!$Y$9)),0))</f>
        <v>#N/A</v>
      </c>
      <c r="AD17" s="182" t="e" cm="1">
        <f t="array" aca="1" ref="AD17" ca="1">IF(ACOMPANHAMENTO&lt;&gt;"PLE",0,SUMPRODUCT((OFFSET(CÁLCULO!$BV$15:$CN$15,$A17,0,$B17)&lt;=(PLE.Medicao-1))*OFFSET(CÁLCULO!$AJ$15:$BB$15,$A17,0,$B17)*OFFSET(ORÇAMENTO!$AB$15,$A17,0,$B17)/(OFFSET(ORÇAMENTO!$X$15,$A17,0,$B17)+10^-12))+IF(AUTOEVENTO="Manual",SUMPRODUCT((OFFSET(CÁLCULO!$M$15,$A17,0,$B17)=1)*OFFSET(ORÇAMENTO!$AB$15,$A17,0,$B17)*(PLE!$AE$9-PLE!$Y$9)),0))</f>
        <v>#N/A</v>
      </c>
      <c r="AE17" s="182" t="e">
        <f ca="1">ROUND(
            IF(ACOMPANHAMENTO&lt;&gt;"PLE",0,
                      SUMIF(OFFSET(CÁLCULO!$BV$15:$CN$15,$A17,0,$B17),"&lt;="&amp;(PLE.Medicao-1),OFFSET(CÁLCULO!$AJ$15:$BB$15,$A17,0,$B17))
                      +IF(AdmLocal="Automática",
                              SUMIF(OFFSET(CÁLCULO!$M$15,$A17,0,$B17),1,OFFSET(ORÇAMENTO!$X$15,$A17,0,$B17))*(PLE!$AE$9-PLE!$Y$9),
                              0)),
            2)</f>
        <v>#N/A</v>
      </c>
      <c r="AF17" s="182" t="e" cm="1">
        <f t="array" aca="1" ref="AF17" ca="1">IF(ACOMPANHAMENTO&lt;&gt;"PLE",0,SUMPRODUCT((OFFSET(CÁLCULO!$BV$15:$CN$15,$A17,0,$B17)&lt;=PLE.Medicao)*OFFSET(CÁLCULO!$AJ$15:$BB$15,$A17,0,$B17)*OFFSET(ORÇAMENTO!$AA$15,$A17,0,$B17)/(OFFSET(ORÇAMENTO!$X$15,$A17,0,$B17)+10^-12))+IF(AUTOEVENTO="Manual",SUMPRODUCT((OFFSET(CÁLCULO!$M$15,$A17,0,$B17)=1)*OFFSET(ORÇAMENTO!$AA$15,$A17,0,$B17)*PLE!$AE$9),0))</f>
        <v>#N/A</v>
      </c>
      <c r="AG17" s="182" t="e" cm="1">
        <f t="array" aca="1" ref="AG17" ca="1">IF(ACOMPANHAMENTO&lt;&gt;"PLE",0,SUMPRODUCT((OFFSET(CÁLCULO!$BV$15:$CN$15,$A17,0,$B17)&lt;=PLE.Medicao)*OFFSET(CÁLCULO!$AJ$15:$BB$15,$A17,0,$B17)*OFFSET(ORÇAMENTO!$AB$15,$A17,0,$B17)/(OFFSET(ORÇAMENTO!$X$15,$A17,0,$B17)+10^-12))+IF(AUTOEVENTO="Manual",SUMPRODUCT((OFFSET(CÁLCULO!$M$15,$A17,0,$B17)=1)*OFFSET(ORÇAMENTO!$AB$15,$A17,0,$B17)*PLE!$AE$9),0))</f>
        <v>#N/A</v>
      </c>
      <c r="AH17" s="182" t="e">
        <f ca="1">ROUND(IF(ACOMPANHAMENTO&lt;&gt;"PLE",0,SUMIF(OFFSET(CÁLCULO!$BV$15:$CN$15,$A17,0,$B17),"&lt;="&amp;PLE.Medicao,OFFSET(CÁLCULO!$AJ$15:$BB$15,$A17,0,$B17))+IF(AdmLocal="Automática",SUMIF(OFFSET(CÁLCULO!$M$15,$A17,0,$B17),1,OFFSET(ORÇAMENTO!$X$15,$A17,0,$B17))*PLE!$AE$9,0)),2)</f>
        <v>#N/A</v>
      </c>
      <c r="AJ17" s="182" cm="1">
        <f t="array" aca="1" ref="AJ17" ca="1">IF(ACOMPANHAMENTO&lt;&gt;"BM",0,SUMPRODUCT(OFFSET(BM!$M$15,$A17,0,$B17)*(OFFSET(BM!$A$15,$A17,0,$B17)="S")*OFFSET(ORÇAMENTO!AA$15,$A17,0,$B17)/(OFFSET(ORÇAMENTO!$X$15,$A17,0,$B17)+10^-12)))</f>
        <v>0</v>
      </c>
      <c r="AK17" s="182" cm="1">
        <f t="array" aca="1" ref="AK17" ca="1">IF(ACOMPANHAMENTO&lt;&gt;"BM",0,SUMPRODUCT(OFFSET(BM!$M$15,$A17,0,$B17)*(OFFSET(BM!$A$15,$A17,0,$B17)="S")*OFFSET(ORÇAMENTO!AB$15,$A17,0,$B17)/(OFFSET(ORÇAMENTO!$X$15,$A17,0,$B17)+10^-12)))</f>
        <v>0</v>
      </c>
      <c r="AL17" s="182">
        <f ca="1">IF(ACOMPANHAMENTO&lt;&gt;"BM",0,OFFSET(BM!$M$15,$A17,0))</f>
        <v>0</v>
      </c>
      <c r="AM17" s="182" cm="1">
        <f t="array" aca="1" ref="AM17" ca="1">IF(ACOMPANHAMENTO&lt;&gt;"BM",0,SUMPRODUCT(OFFSET(BM!$O$15,$A17,0,$B17)*(OFFSET(BM!$A$15,$A17,0,$B17)="S")*OFFSET(ORÇAMENTO!AA$15,$A17,0,$B17)/(OFFSET(ORÇAMENTO!$X$15,$A17,0,$B17)+10^-12)))</f>
        <v>0</v>
      </c>
      <c r="AN17" s="182" cm="1">
        <f t="array" aca="1" ref="AN17" ca="1">IF(ACOMPANHAMENTO&lt;&gt;"BM",0,SUMPRODUCT(OFFSET(BM!$O$15,$A17,0,$B17)*(OFFSET(BM!$A$15,$A17,0,$B17)="S")*OFFSET(ORÇAMENTO!AB$15,$A17,0,$B17)/(OFFSET(ORÇAMENTO!$X$15,$A17,0,$B17)+10^-12)))</f>
        <v>0</v>
      </c>
      <c r="AO17" s="182">
        <f ca="1">IF(ACOMPANHAMENTO&lt;&gt;"BM",0,OFFSET(BM!$O$15,$A17,0))</f>
        <v>0</v>
      </c>
    </row>
    <row r="18" spans="1:41" ht="30" customHeight="1" x14ac:dyDescent="0.2">
      <c r="A18" t="e">
        <f ca="1">MATCH(E18,ORÇAMENTO!$E$15:$E$35,0)-1</f>
        <v>#N/A</v>
      </c>
      <c r="B18" t="e">
        <f ca="1">IF(ISERROR($A18),NA(),OFFSET(ORÇAMENTO!$D$15,$A18,0))</f>
        <v>#N/A</v>
      </c>
      <c r="C18" t="str">
        <f ca="1">QCI!B18</f>
        <v>Branco</v>
      </c>
      <c r="D18" t="str">
        <f t="shared" ca="1" si="0"/>
        <v/>
      </c>
      <c r="E18" s="280">
        <f>QCI!D18</f>
        <v>5</v>
      </c>
      <c r="F18" s="361" t="str">
        <f ca="1">QCI!G18</f>
        <v/>
      </c>
      <c r="G18" s="362">
        <f>QCI!H18</f>
        <v>0</v>
      </c>
      <c r="H18" s="281">
        <f>QCI!I18</f>
        <v>0</v>
      </c>
      <c r="I18" s="281" t="str">
        <f ca="1">QCI!J18</f>
        <v/>
      </c>
      <c r="J18" s="363" t="str">
        <f ca="1">QCI!K18</f>
        <v/>
      </c>
      <c r="K18" s="364" t="str" cm="1">
        <f t="array" aca="1" ref="K18" ca="1">IF($C18="Automático",IF(ACOMPANHAMENTO="BM",BM.medicao,PLE.Medicao),IF(ISBLANK($X18),"",$X18))</f>
        <v/>
      </c>
      <c r="L18" s="285">
        <f ca="1">QCI!$O18</f>
        <v>0</v>
      </c>
      <c r="M18" s="282">
        <f t="shared" ca="1" si="1"/>
        <v>0</v>
      </c>
      <c r="N18" s="283">
        <f t="shared" ca="1" si="2"/>
        <v>0</v>
      </c>
      <c r="O18" s="284">
        <f t="shared" ca="1" si="3"/>
        <v>0</v>
      </c>
      <c r="P18" s="366">
        <f t="shared" ca="1" si="4"/>
        <v>0</v>
      </c>
      <c r="R18" s="365">
        <f ca="1">ROUND(IF($C18="Automático",AC18+AJ18,$Y18*IF(ISERROR(QCI!$AA18/QCI!$O18),0,QCI!$AA18/QCI!$O18)),2)</f>
        <v>0</v>
      </c>
      <c r="S18" s="365">
        <f ca="1">ROUND(IF($C18="Automático",AD18+AK18,$Y18*IF(ISERROR(QCI!$AB18/QCI!$O18),0,QCI!$AB18/QCI!$O18)),2)</f>
        <v>0</v>
      </c>
      <c r="T18" s="365">
        <f ca="1">ROUND(IF($C18="Automático",AF18+AM18,$Z18*IF(ISERROR(QCI!$AA18/QCI!$O18),0,QCI!$AA18/QCI!$O18)),2)</f>
        <v>0</v>
      </c>
      <c r="U18" s="365">
        <f ca="1">ROUND(IF($C18="Automático",AG18+AN18,$Z18*IF(ISERROR(QCI!$AB18/QCI!$O18),0,QCI!$AB18/QCI!$O18)),2)</f>
        <v>0</v>
      </c>
      <c r="V18" s="448">
        <f ca="1">IF(AND($L18&gt;0,$J18&lt;&gt;0,$J18&lt;&gt;"",COUNTIF($J$13:$J18,$J18)=1),OFFSET(V18,-1,0)+1,OFFSET(V18,-1,0))</f>
        <v>1</v>
      </c>
      <c r="X18" s="512"/>
      <c r="Y18" s="286"/>
      <c r="Z18" s="287"/>
      <c r="AC18" s="182" t="e" cm="1">
        <f t="array" aca="1" ref="AC18" ca="1">IF(ACOMPANHAMENTO&lt;&gt;"PLE",0,SUMPRODUCT((OFFSET(CÁLCULO!$BV$15:$CN$15,$A18,0,$B18)&lt;=(PLE.Medicao-1))*OFFSET(CÁLCULO!$AJ$15:$BB$15,$A18,0,$B18)*OFFSET(ORÇAMENTO!$AA$15,$A18,0,$B18)/(OFFSET(ORÇAMENTO!$X$15,$A18,0,$B18)+10^-12))+IF(AUTOEVENTO="Manual",SUMPRODUCT((OFFSET(CÁLCULO!$M$15,$A18,0,$B18)=1)*OFFSET(ORÇAMENTO!$AA$15,$A18,0,$B18)*(PLE!$AE$9-PLE!$Y$9)),0))</f>
        <v>#N/A</v>
      </c>
      <c r="AD18" s="182" t="e" cm="1">
        <f t="array" aca="1" ref="AD18" ca="1">IF(ACOMPANHAMENTO&lt;&gt;"PLE",0,SUMPRODUCT((OFFSET(CÁLCULO!$BV$15:$CN$15,$A18,0,$B18)&lt;=(PLE.Medicao-1))*OFFSET(CÁLCULO!$AJ$15:$BB$15,$A18,0,$B18)*OFFSET(ORÇAMENTO!$AB$15,$A18,0,$B18)/(OFFSET(ORÇAMENTO!$X$15,$A18,0,$B18)+10^-12))+IF(AUTOEVENTO="Manual",SUMPRODUCT((OFFSET(CÁLCULO!$M$15,$A18,0,$B18)=1)*OFFSET(ORÇAMENTO!$AB$15,$A18,0,$B18)*(PLE!$AE$9-PLE!$Y$9)),0))</f>
        <v>#N/A</v>
      </c>
      <c r="AE18" s="182" t="e">
        <f ca="1">ROUND(
            IF(ACOMPANHAMENTO&lt;&gt;"PLE",0,
                      SUMIF(OFFSET(CÁLCULO!$BV$15:$CN$15,$A18,0,$B18),"&lt;="&amp;(PLE.Medicao-1),OFFSET(CÁLCULO!$AJ$15:$BB$15,$A18,0,$B18))
                      +IF(AdmLocal="Automática",
                              SUMIF(OFFSET(CÁLCULO!$M$15,$A18,0,$B18),1,OFFSET(ORÇAMENTO!$X$15,$A18,0,$B18))*(PLE!$AE$9-PLE!$Y$9),
                              0)),
            2)</f>
        <v>#N/A</v>
      </c>
      <c r="AF18" s="182" t="e" cm="1">
        <f t="array" aca="1" ref="AF18" ca="1">IF(ACOMPANHAMENTO&lt;&gt;"PLE",0,SUMPRODUCT((OFFSET(CÁLCULO!$BV$15:$CN$15,$A18,0,$B18)&lt;=PLE.Medicao)*OFFSET(CÁLCULO!$AJ$15:$BB$15,$A18,0,$B18)*OFFSET(ORÇAMENTO!$AA$15,$A18,0,$B18)/(OFFSET(ORÇAMENTO!$X$15,$A18,0,$B18)+10^-12))+IF(AUTOEVENTO="Manual",SUMPRODUCT((OFFSET(CÁLCULO!$M$15,$A18,0,$B18)=1)*OFFSET(ORÇAMENTO!$AA$15,$A18,0,$B18)*PLE!$AE$9),0))</f>
        <v>#N/A</v>
      </c>
      <c r="AG18" s="182" t="e" cm="1">
        <f t="array" aca="1" ref="AG18" ca="1">IF(ACOMPANHAMENTO&lt;&gt;"PLE",0,SUMPRODUCT((OFFSET(CÁLCULO!$BV$15:$CN$15,$A18,0,$B18)&lt;=PLE.Medicao)*OFFSET(CÁLCULO!$AJ$15:$BB$15,$A18,0,$B18)*OFFSET(ORÇAMENTO!$AB$15,$A18,0,$B18)/(OFFSET(ORÇAMENTO!$X$15,$A18,0,$B18)+10^-12))+IF(AUTOEVENTO="Manual",SUMPRODUCT((OFFSET(CÁLCULO!$M$15,$A18,0,$B18)=1)*OFFSET(ORÇAMENTO!$AB$15,$A18,0,$B18)*PLE!$AE$9),0))</f>
        <v>#N/A</v>
      </c>
      <c r="AH18" s="182" t="e">
        <f ca="1">ROUND(IF(ACOMPANHAMENTO&lt;&gt;"PLE",0,SUMIF(OFFSET(CÁLCULO!$BV$15:$CN$15,$A18,0,$B18),"&lt;="&amp;PLE.Medicao,OFFSET(CÁLCULO!$AJ$15:$BB$15,$A18,0,$B18))+IF(AdmLocal="Automática",SUMIF(OFFSET(CÁLCULO!$M$15,$A18,0,$B18),1,OFFSET(ORÇAMENTO!$X$15,$A18,0,$B18))*PLE!$AE$9,0)),2)</f>
        <v>#N/A</v>
      </c>
      <c r="AJ18" s="182" cm="1">
        <f t="array" aca="1" ref="AJ18" ca="1">IF(ACOMPANHAMENTO&lt;&gt;"BM",0,SUMPRODUCT(OFFSET(BM!$M$15,$A18,0,$B18)*(OFFSET(BM!$A$15,$A18,0,$B18)="S")*OFFSET(ORÇAMENTO!AA$15,$A18,0,$B18)/(OFFSET(ORÇAMENTO!$X$15,$A18,0,$B18)+10^-12)))</f>
        <v>0</v>
      </c>
      <c r="AK18" s="182" cm="1">
        <f t="array" aca="1" ref="AK18" ca="1">IF(ACOMPANHAMENTO&lt;&gt;"BM",0,SUMPRODUCT(OFFSET(BM!$M$15,$A18,0,$B18)*(OFFSET(BM!$A$15,$A18,0,$B18)="S")*OFFSET(ORÇAMENTO!AB$15,$A18,0,$B18)/(OFFSET(ORÇAMENTO!$X$15,$A18,0,$B18)+10^-12)))</f>
        <v>0</v>
      </c>
      <c r="AL18" s="182">
        <f ca="1">IF(ACOMPANHAMENTO&lt;&gt;"BM",0,OFFSET(BM!$M$15,$A18,0))</f>
        <v>0</v>
      </c>
      <c r="AM18" s="182" cm="1">
        <f t="array" aca="1" ref="AM18" ca="1">IF(ACOMPANHAMENTO&lt;&gt;"BM",0,SUMPRODUCT(OFFSET(BM!$O$15,$A18,0,$B18)*(OFFSET(BM!$A$15,$A18,0,$B18)="S")*OFFSET(ORÇAMENTO!AA$15,$A18,0,$B18)/(OFFSET(ORÇAMENTO!$X$15,$A18,0,$B18)+10^-12)))</f>
        <v>0</v>
      </c>
      <c r="AN18" s="182" cm="1">
        <f t="array" aca="1" ref="AN18" ca="1">IF(ACOMPANHAMENTO&lt;&gt;"BM",0,SUMPRODUCT(OFFSET(BM!$O$15,$A18,0,$B18)*(OFFSET(BM!$A$15,$A18,0,$B18)="S")*OFFSET(ORÇAMENTO!AB$15,$A18,0,$B18)/(OFFSET(ORÇAMENTO!$X$15,$A18,0,$B18)+10^-12)))</f>
        <v>0</v>
      </c>
      <c r="AO18" s="182">
        <f ca="1">IF(ACOMPANHAMENTO&lt;&gt;"BM",0,OFFSET(BM!$O$15,$A18,0))</f>
        <v>0</v>
      </c>
    </row>
    <row r="19" spans="1:41" ht="30" customHeight="1" x14ac:dyDescent="0.2">
      <c r="A19" t="e">
        <f ca="1">MATCH(E19,ORÇAMENTO!$E$15:$E$35,0)-1</f>
        <v>#N/A</v>
      </c>
      <c r="B19" t="e">
        <f ca="1">IF(ISERROR($A19),NA(),OFFSET(ORÇAMENTO!$D$15,$A19,0))</f>
        <v>#N/A</v>
      </c>
      <c r="C19" t="str">
        <f ca="1">QCI!B19</f>
        <v>Branco</v>
      </c>
      <c r="D19" t="str">
        <f t="shared" ca="1" si="0"/>
        <v/>
      </c>
      <c r="E19" s="280">
        <f>QCI!D19</f>
        <v>6</v>
      </c>
      <c r="F19" s="361" t="str">
        <f ca="1">QCI!G19</f>
        <v/>
      </c>
      <c r="G19" s="362">
        <f>QCI!H19</f>
        <v>0</v>
      </c>
      <c r="H19" s="281">
        <f>QCI!I19</f>
        <v>0</v>
      </c>
      <c r="I19" s="281" t="str">
        <f ca="1">QCI!J19</f>
        <v/>
      </c>
      <c r="J19" s="363" t="str">
        <f ca="1">QCI!K19</f>
        <v/>
      </c>
      <c r="K19" s="364" t="str" cm="1">
        <f t="array" aca="1" ref="K19" ca="1">IF($C19="Automático",IF(ACOMPANHAMENTO="BM",BM.medicao,PLE.Medicao),IF(ISBLANK($X19),"",$X19))</f>
        <v/>
      </c>
      <c r="L19" s="285">
        <f ca="1">QCI!$O19</f>
        <v>0</v>
      </c>
      <c r="M19" s="282">
        <f t="shared" ca="1" si="1"/>
        <v>0</v>
      </c>
      <c r="N19" s="283">
        <f t="shared" ca="1" si="2"/>
        <v>0</v>
      </c>
      <c r="O19" s="284">
        <f t="shared" ca="1" si="3"/>
        <v>0</v>
      </c>
      <c r="P19" s="366">
        <f t="shared" ca="1" si="4"/>
        <v>0</v>
      </c>
      <c r="R19" s="365">
        <f ca="1">ROUND(IF($C19="Automático",AC19+AJ19,$Y19*IF(ISERROR(QCI!$AA19/QCI!$O19),0,QCI!$AA19/QCI!$O19)),2)</f>
        <v>0</v>
      </c>
      <c r="S19" s="365">
        <f ca="1">ROUND(IF($C19="Automático",AD19+AK19,$Y19*IF(ISERROR(QCI!$AB19/QCI!$O19),0,QCI!$AB19/QCI!$O19)),2)</f>
        <v>0</v>
      </c>
      <c r="T19" s="365">
        <f ca="1">ROUND(IF($C19="Automático",AF19+AM19,$Z19*IF(ISERROR(QCI!$AA19/QCI!$O19),0,QCI!$AA19/QCI!$O19)),2)</f>
        <v>0</v>
      </c>
      <c r="U19" s="365">
        <f ca="1">ROUND(IF($C19="Automático",AG19+AN19,$Z19*IF(ISERROR(QCI!$AB19/QCI!$O19),0,QCI!$AB19/QCI!$O19)),2)</f>
        <v>0</v>
      </c>
      <c r="V19" s="448">
        <f ca="1">IF(AND($L19&gt;0,$J19&lt;&gt;0,$J19&lt;&gt;"",COUNTIF($J$13:$J19,$J19)=1),OFFSET(V19,-1,0)+1,OFFSET(V19,-1,0))</f>
        <v>1</v>
      </c>
      <c r="X19" s="512"/>
      <c r="Y19" s="286"/>
      <c r="Z19" s="287"/>
      <c r="AC19" s="182" t="e" cm="1">
        <f t="array" aca="1" ref="AC19" ca="1">IF(ACOMPANHAMENTO&lt;&gt;"PLE",0,SUMPRODUCT((OFFSET(CÁLCULO!$BV$15:$CN$15,$A19,0,$B19)&lt;=(PLE.Medicao-1))*OFFSET(CÁLCULO!$AJ$15:$BB$15,$A19,0,$B19)*OFFSET(ORÇAMENTO!$AA$15,$A19,0,$B19)/(OFFSET(ORÇAMENTO!$X$15,$A19,0,$B19)+10^-12))+IF(AUTOEVENTO="Manual",SUMPRODUCT((OFFSET(CÁLCULO!$M$15,$A19,0,$B19)=1)*OFFSET(ORÇAMENTO!$AA$15,$A19,0,$B19)*(PLE!$AE$9-PLE!$Y$9)),0))</f>
        <v>#N/A</v>
      </c>
      <c r="AD19" s="182" t="e" cm="1">
        <f t="array" aca="1" ref="AD19" ca="1">IF(ACOMPANHAMENTO&lt;&gt;"PLE",0,SUMPRODUCT((OFFSET(CÁLCULO!$BV$15:$CN$15,$A19,0,$B19)&lt;=(PLE.Medicao-1))*OFFSET(CÁLCULO!$AJ$15:$BB$15,$A19,0,$B19)*OFFSET(ORÇAMENTO!$AB$15,$A19,0,$B19)/(OFFSET(ORÇAMENTO!$X$15,$A19,0,$B19)+10^-12))+IF(AUTOEVENTO="Manual",SUMPRODUCT((OFFSET(CÁLCULO!$M$15,$A19,0,$B19)=1)*OFFSET(ORÇAMENTO!$AB$15,$A19,0,$B19)*(PLE!$AE$9-PLE!$Y$9)),0))</f>
        <v>#N/A</v>
      </c>
      <c r="AE19" s="182" t="e">
        <f ca="1">ROUND(
            IF(ACOMPANHAMENTO&lt;&gt;"PLE",0,
                      SUMIF(OFFSET(CÁLCULO!$BV$15:$CN$15,$A19,0,$B19),"&lt;="&amp;(PLE.Medicao-1),OFFSET(CÁLCULO!$AJ$15:$BB$15,$A19,0,$B19))
                      +IF(AdmLocal="Automática",
                              SUMIF(OFFSET(CÁLCULO!$M$15,$A19,0,$B19),1,OFFSET(ORÇAMENTO!$X$15,$A19,0,$B19))*(PLE!$AE$9-PLE!$Y$9),
                              0)),
            2)</f>
        <v>#N/A</v>
      </c>
      <c r="AF19" s="182" t="e" cm="1">
        <f t="array" aca="1" ref="AF19" ca="1">IF(ACOMPANHAMENTO&lt;&gt;"PLE",0,SUMPRODUCT((OFFSET(CÁLCULO!$BV$15:$CN$15,$A19,0,$B19)&lt;=PLE.Medicao)*OFFSET(CÁLCULO!$AJ$15:$BB$15,$A19,0,$B19)*OFFSET(ORÇAMENTO!$AA$15,$A19,0,$B19)/(OFFSET(ORÇAMENTO!$X$15,$A19,0,$B19)+10^-12))+IF(AUTOEVENTO="Manual",SUMPRODUCT((OFFSET(CÁLCULO!$M$15,$A19,0,$B19)=1)*OFFSET(ORÇAMENTO!$AA$15,$A19,0,$B19)*PLE!$AE$9),0))</f>
        <v>#N/A</v>
      </c>
      <c r="AG19" s="182" t="e" cm="1">
        <f t="array" aca="1" ref="AG19" ca="1">IF(ACOMPANHAMENTO&lt;&gt;"PLE",0,SUMPRODUCT((OFFSET(CÁLCULO!$BV$15:$CN$15,$A19,0,$B19)&lt;=PLE.Medicao)*OFFSET(CÁLCULO!$AJ$15:$BB$15,$A19,0,$B19)*OFFSET(ORÇAMENTO!$AB$15,$A19,0,$B19)/(OFFSET(ORÇAMENTO!$X$15,$A19,0,$B19)+10^-12))+IF(AUTOEVENTO="Manual",SUMPRODUCT((OFFSET(CÁLCULO!$M$15,$A19,0,$B19)=1)*OFFSET(ORÇAMENTO!$AB$15,$A19,0,$B19)*PLE!$AE$9),0))</f>
        <v>#N/A</v>
      </c>
      <c r="AH19" s="182" t="e">
        <f ca="1">ROUND(IF(ACOMPANHAMENTO&lt;&gt;"PLE",0,SUMIF(OFFSET(CÁLCULO!$BV$15:$CN$15,$A19,0,$B19),"&lt;="&amp;PLE.Medicao,OFFSET(CÁLCULO!$AJ$15:$BB$15,$A19,0,$B19))+IF(AdmLocal="Automática",SUMIF(OFFSET(CÁLCULO!$M$15,$A19,0,$B19),1,OFFSET(ORÇAMENTO!$X$15,$A19,0,$B19))*PLE!$AE$9,0)),2)</f>
        <v>#N/A</v>
      </c>
      <c r="AJ19" s="182" cm="1">
        <f t="array" aca="1" ref="AJ19" ca="1">IF(ACOMPANHAMENTO&lt;&gt;"BM",0,SUMPRODUCT(OFFSET(BM!$M$15,$A19,0,$B19)*(OFFSET(BM!$A$15,$A19,0,$B19)="S")*OFFSET(ORÇAMENTO!AA$15,$A19,0,$B19)/(OFFSET(ORÇAMENTO!$X$15,$A19,0,$B19)+10^-12)))</f>
        <v>0</v>
      </c>
      <c r="AK19" s="182" cm="1">
        <f t="array" aca="1" ref="AK19" ca="1">IF(ACOMPANHAMENTO&lt;&gt;"BM",0,SUMPRODUCT(OFFSET(BM!$M$15,$A19,0,$B19)*(OFFSET(BM!$A$15,$A19,0,$B19)="S")*OFFSET(ORÇAMENTO!AB$15,$A19,0,$B19)/(OFFSET(ORÇAMENTO!$X$15,$A19,0,$B19)+10^-12)))</f>
        <v>0</v>
      </c>
      <c r="AL19" s="182">
        <f ca="1">IF(ACOMPANHAMENTO&lt;&gt;"BM",0,OFFSET(BM!$M$15,$A19,0))</f>
        <v>0</v>
      </c>
      <c r="AM19" s="182" cm="1">
        <f t="array" aca="1" ref="AM19" ca="1">IF(ACOMPANHAMENTO&lt;&gt;"BM",0,SUMPRODUCT(OFFSET(BM!$O$15,$A19,0,$B19)*(OFFSET(BM!$A$15,$A19,0,$B19)="S")*OFFSET(ORÇAMENTO!AA$15,$A19,0,$B19)/(OFFSET(ORÇAMENTO!$X$15,$A19,0,$B19)+10^-12)))</f>
        <v>0</v>
      </c>
      <c r="AN19" s="182" cm="1">
        <f t="array" aca="1" ref="AN19" ca="1">IF(ACOMPANHAMENTO&lt;&gt;"BM",0,SUMPRODUCT(OFFSET(BM!$O$15,$A19,0,$B19)*(OFFSET(BM!$A$15,$A19,0,$B19)="S")*OFFSET(ORÇAMENTO!AB$15,$A19,0,$B19)/(OFFSET(ORÇAMENTO!$X$15,$A19,0,$B19)+10^-12)))</f>
        <v>0</v>
      </c>
      <c r="AO19" s="182">
        <f ca="1">IF(ACOMPANHAMENTO&lt;&gt;"BM",0,OFFSET(BM!$O$15,$A19,0))</f>
        <v>0</v>
      </c>
    </row>
    <row r="20" spans="1:41" ht="30" customHeight="1" x14ac:dyDescent="0.2">
      <c r="A20" t="e">
        <f ca="1">MATCH(E20,ORÇAMENTO!$E$15:$E$35,0)-1</f>
        <v>#N/A</v>
      </c>
      <c r="B20" t="e">
        <f ca="1">IF(ISERROR($A20),NA(),OFFSET(ORÇAMENTO!$D$15,$A20,0))</f>
        <v>#N/A</v>
      </c>
      <c r="C20" t="str">
        <f ca="1">QCI!B20</f>
        <v>Branco</v>
      </c>
      <c r="D20" t="str">
        <f t="shared" ca="1" si="0"/>
        <v/>
      </c>
      <c r="E20" s="280">
        <f>QCI!D20</f>
        <v>7</v>
      </c>
      <c r="F20" s="361" t="str">
        <f ca="1">QCI!G20</f>
        <v/>
      </c>
      <c r="G20" s="362">
        <f>QCI!H20</f>
        <v>0</v>
      </c>
      <c r="H20" s="281">
        <f>QCI!I20</f>
        <v>0</v>
      </c>
      <c r="I20" s="281" t="str">
        <f ca="1">QCI!J20</f>
        <v/>
      </c>
      <c r="J20" s="363" t="str">
        <f ca="1">QCI!K20</f>
        <v/>
      </c>
      <c r="K20" s="364" t="str" cm="1">
        <f t="array" aca="1" ref="K20" ca="1">IF($C20="Automático",IF(ACOMPANHAMENTO="BM",BM.medicao,PLE.Medicao),IF(ISBLANK($X20),"",$X20))</f>
        <v/>
      </c>
      <c r="L20" s="285">
        <f ca="1">QCI!$O20</f>
        <v>0</v>
      </c>
      <c r="M20" s="282">
        <f t="shared" ca="1" si="1"/>
        <v>0</v>
      </c>
      <c r="N20" s="283">
        <f t="shared" ca="1" si="2"/>
        <v>0</v>
      </c>
      <c r="O20" s="284">
        <f t="shared" ca="1" si="3"/>
        <v>0</v>
      </c>
      <c r="P20" s="366">
        <f t="shared" ca="1" si="4"/>
        <v>0</v>
      </c>
      <c r="R20" s="365">
        <f ca="1">ROUND(IF($C20="Automático",AC20+AJ20,$Y20*IF(ISERROR(QCI!$AA20/QCI!$O20),0,QCI!$AA20/QCI!$O20)),2)</f>
        <v>0</v>
      </c>
      <c r="S20" s="365">
        <f ca="1">ROUND(IF($C20="Automático",AD20+AK20,$Y20*IF(ISERROR(QCI!$AB20/QCI!$O20),0,QCI!$AB20/QCI!$O20)),2)</f>
        <v>0</v>
      </c>
      <c r="T20" s="365">
        <f ca="1">ROUND(IF($C20="Automático",AF20+AM20,$Z20*IF(ISERROR(QCI!$AA20/QCI!$O20),0,QCI!$AA20/QCI!$O20)),2)</f>
        <v>0</v>
      </c>
      <c r="U20" s="365">
        <f ca="1">ROUND(IF($C20="Automático",AG20+AN20,$Z20*IF(ISERROR(QCI!$AB20/QCI!$O20),0,QCI!$AB20/QCI!$O20)),2)</f>
        <v>0</v>
      </c>
      <c r="V20" s="448">
        <f ca="1">IF(AND($L20&gt;0,$J20&lt;&gt;0,$J20&lt;&gt;"",COUNTIF($J$13:$J20,$J20)=1),OFFSET(V20,-1,0)+1,OFFSET(V20,-1,0))</f>
        <v>1</v>
      </c>
      <c r="X20" s="512"/>
      <c r="Y20" s="286"/>
      <c r="Z20" s="287"/>
      <c r="AC20" s="182" t="e" cm="1">
        <f t="array" aca="1" ref="AC20" ca="1">IF(ACOMPANHAMENTO&lt;&gt;"PLE",0,SUMPRODUCT((OFFSET(CÁLCULO!$BV$15:$CN$15,$A20,0,$B20)&lt;=(PLE.Medicao-1))*OFFSET(CÁLCULO!$AJ$15:$BB$15,$A20,0,$B20)*OFFSET(ORÇAMENTO!$AA$15,$A20,0,$B20)/(OFFSET(ORÇAMENTO!$X$15,$A20,0,$B20)+10^-12))+IF(AUTOEVENTO="Manual",SUMPRODUCT((OFFSET(CÁLCULO!$M$15,$A20,0,$B20)=1)*OFFSET(ORÇAMENTO!$AA$15,$A20,0,$B20)*(PLE!$AE$9-PLE!$Y$9)),0))</f>
        <v>#N/A</v>
      </c>
      <c r="AD20" s="182" t="e" cm="1">
        <f t="array" aca="1" ref="AD20" ca="1">IF(ACOMPANHAMENTO&lt;&gt;"PLE",0,SUMPRODUCT((OFFSET(CÁLCULO!$BV$15:$CN$15,$A20,0,$B20)&lt;=(PLE.Medicao-1))*OFFSET(CÁLCULO!$AJ$15:$BB$15,$A20,0,$B20)*OFFSET(ORÇAMENTO!$AB$15,$A20,0,$B20)/(OFFSET(ORÇAMENTO!$X$15,$A20,0,$B20)+10^-12))+IF(AUTOEVENTO="Manual",SUMPRODUCT((OFFSET(CÁLCULO!$M$15,$A20,0,$B20)=1)*OFFSET(ORÇAMENTO!$AB$15,$A20,0,$B20)*(PLE!$AE$9-PLE!$Y$9)),0))</f>
        <v>#N/A</v>
      </c>
      <c r="AE20" s="182" t="e">
        <f ca="1">ROUND(
            IF(ACOMPANHAMENTO&lt;&gt;"PLE",0,
                      SUMIF(OFFSET(CÁLCULO!$BV$15:$CN$15,$A20,0,$B20),"&lt;="&amp;(PLE.Medicao-1),OFFSET(CÁLCULO!$AJ$15:$BB$15,$A20,0,$B20))
                      +IF(AdmLocal="Automática",
                              SUMIF(OFFSET(CÁLCULO!$M$15,$A20,0,$B20),1,OFFSET(ORÇAMENTO!$X$15,$A20,0,$B20))*(PLE!$AE$9-PLE!$Y$9),
                              0)),
            2)</f>
        <v>#N/A</v>
      </c>
      <c r="AF20" s="182" t="e" cm="1">
        <f t="array" aca="1" ref="AF20" ca="1">IF(ACOMPANHAMENTO&lt;&gt;"PLE",0,SUMPRODUCT((OFFSET(CÁLCULO!$BV$15:$CN$15,$A20,0,$B20)&lt;=PLE.Medicao)*OFFSET(CÁLCULO!$AJ$15:$BB$15,$A20,0,$B20)*OFFSET(ORÇAMENTO!$AA$15,$A20,0,$B20)/(OFFSET(ORÇAMENTO!$X$15,$A20,0,$B20)+10^-12))+IF(AUTOEVENTO="Manual",SUMPRODUCT((OFFSET(CÁLCULO!$M$15,$A20,0,$B20)=1)*OFFSET(ORÇAMENTO!$AA$15,$A20,0,$B20)*PLE!$AE$9),0))</f>
        <v>#N/A</v>
      </c>
      <c r="AG20" s="182" t="e" cm="1">
        <f t="array" aca="1" ref="AG20" ca="1">IF(ACOMPANHAMENTO&lt;&gt;"PLE",0,SUMPRODUCT((OFFSET(CÁLCULO!$BV$15:$CN$15,$A20,0,$B20)&lt;=PLE.Medicao)*OFFSET(CÁLCULO!$AJ$15:$BB$15,$A20,0,$B20)*OFFSET(ORÇAMENTO!$AB$15,$A20,0,$B20)/(OFFSET(ORÇAMENTO!$X$15,$A20,0,$B20)+10^-12))+IF(AUTOEVENTO="Manual",SUMPRODUCT((OFFSET(CÁLCULO!$M$15,$A20,0,$B20)=1)*OFFSET(ORÇAMENTO!$AB$15,$A20,0,$B20)*PLE!$AE$9),0))</f>
        <v>#N/A</v>
      </c>
      <c r="AH20" s="182" t="e">
        <f ca="1">ROUND(IF(ACOMPANHAMENTO&lt;&gt;"PLE",0,SUMIF(OFFSET(CÁLCULO!$BV$15:$CN$15,$A20,0,$B20),"&lt;="&amp;PLE.Medicao,OFFSET(CÁLCULO!$AJ$15:$BB$15,$A20,0,$B20))+IF(AdmLocal="Automática",SUMIF(OFFSET(CÁLCULO!$M$15,$A20,0,$B20),1,OFFSET(ORÇAMENTO!$X$15,$A20,0,$B20))*PLE!$AE$9,0)),2)</f>
        <v>#N/A</v>
      </c>
      <c r="AJ20" s="182" cm="1">
        <f t="array" aca="1" ref="AJ20" ca="1">IF(ACOMPANHAMENTO&lt;&gt;"BM",0,SUMPRODUCT(OFFSET(BM!$M$15,$A20,0,$B20)*(OFFSET(BM!$A$15,$A20,0,$B20)="S")*OFFSET(ORÇAMENTO!AA$15,$A20,0,$B20)/(OFFSET(ORÇAMENTO!$X$15,$A20,0,$B20)+10^-12)))</f>
        <v>0</v>
      </c>
      <c r="AK20" s="182" cm="1">
        <f t="array" aca="1" ref="AK20" ca="1">IF(ACOMPANHAMENTO&lt;&gt;"BM",0,SUMPRODUCT(OFFSET(BM!$M$15,$A20,0,$B20)*(OFFSET(BM!$A$15,$A20,0,$B20)="S")*OFFSET(ORÇAMENTO!AB$15,$A20,0,$B20)/(OFFSET(ORÇAMENTO!$X$15,$A20,0,$B20)+10^-12)))</f>
        <v>0</v>
      </c>
      <c r="AL20" s="182">
        <f ca="1">IF(ACOMPANHAMENTO&lt;&gt;"BM",0,OFFSET(BM!$M$15,$A20,0))</f>
        <v>0</v>
      </c>
      <c r="AM20" s="182" cm="1">
        <f t="array" aca="1" ref="AM20" ca="1">IF(ACOMPANHAMENTO&lt;&gt;"BM",0,SUMPRODUCT(OFFSET(BM!$O$15,$A20,0,$B20)*(OFFSET(BM!$A$15,$A20,0,$B20)="S")*OFFSET(ORÇAMENTO!AA$15,$A20,0,$B20)/(OFFSET(ORÇAMENTO!$X$15,$A20,0,$B20)+10^-12)))</f>
        <v>0</v>
      </c>
      <c r="AN20" s="182" cm="1">
        <f t="array" aca="1" ref="AN20" ca="1">IF(ACOMPANHAMENTO&lt;&gt;"BM",0,SUMPRODUCT(OFFSET(BM!$O$15,$A20,0,$B20)*(OFFSET(BM!$A$15,$A20,0,$B20)="S")*OFFSET(ORÇAMENTO!AB$15,$A20,0,$B20)/(OFFSET(ORÇAMENTO!$X$15,$A20,0,$B20)+10^-12)))</f>
        <v>0</v>
      </c>
      <c r="AO20" s="182">
        <f ca="1">IF(ACOMPANHAMENTO&lt;&gt;"BM",0,OFFSET(BM!$O$15,$A20,0))</f>
        <v>0</v>
      </c>
    </row>
    <row r="21" spans="1:41" ht="30" customHeight="1" x14ac:dyDescent="0.2">
      <c r="A21" t="e">
        <f ca="1">MATCH(E21,ORÇAMENTO!$E$15:$E$35,0)-1</f>
        <v>#N/A</v>
      </c>
      <c r="B21" t="e">
        <f ca="1">IF(ISERROR($A21),NA(),OFFSET(ORÇAMENTO!$D$15,$A21,0))</f>
        <v>#N/A</v>
      </c>
      <c r="C21" t="str">
        <f ca="1">QCI!B21</f>
        <v>Branco</v>
      </c>
      <c r="D21" t="str">
        <f t="shared" ca="1" si="0"/>
        <v/>
      </c>
      <c r="E21" s="280">
        <f>QCI!D21</f>
        <v>8</v>
      </c>
      <c r="F21" s="361" t="str">
        <f ca="1">QCI!G21</f>
        <v/>
      </c>
      <c r="G21" s="362">
        <f>QCI!H21</f>
        <v>0</v>
      </c>
      <c r="H21" s="281">
        <f>QCI!I21</f>
        <v>0</v>
      </c>
      <c r="I21" s="281" t="str">
        <f ca="1">QCI!J21</f>
        <v/>
      </c>
      <c r="J21" s="363" t="str">
        <f ca="1">QCI!K21</f>
        <v/>
      </c>
      <c r="K21" s="364" t="str" cm="1">
        <f t="array" aca="1" ref="K21" ca="1">IF($C21="Automático",IF(ACOMPANHAMENTO="BM",BM.medicao,PLE.Medicao),IF(ISBLANK($X21),"",$X21))</f>
        <v/>
      </c>
      <c r="L21" s="285">
        <f ca="1">QCI!$O21</f>
        <v>0</v>
      </c>
      <c r="M21" s="282">
        <f t="shared" ca="1" si="1"/>
        <v>0</v>
      </c>
      <c r="N21" s="283">
        <f t="shared" ca="1" si="2"/>
        <v>0</v>
      </c>
      <c r="O21" s="284">
        <f t="shared" ca="1" si="3"/>
        <v>0</v>
      </c>
      <c r="P21" s="366">
        <f t="shared" ca="1" si="4"/>
        <v>0</v>
      </c>
      <c r="R21" s="365">
        <f ca="1">ROUND(IF($C21="Automático",AC21+AJ21,$Y21*IF(ISERROR(QCI!$AA21/QCI!$O21),0,QCI!$AA21/QCI!$O21)),2)</f>
        <v>0</v>
      </c>
      <c r="S21" s="365">
        <f ca="1">ROUND(IF($C21="Automático",AD21+AK21,$Y21*IF(ISERROR(QCI!$AB21/QCI!$O21),0,QCI!$AB21/QCI!$O21)),2)</f>
        <v>0</v>
      </c>
      <c r="T21" s="365">
        <f ca="1">ROUND(IF($C21="Automático",AF21+AM21,$Z21*IF(ISERROR(QCI!$AA21/QCI!$O21),0,QCI!$AA21/QCI!$O21)),2)</f>
        <v>0</v>
      </c>
      <c r="U21" s="365">
        <f ca="1">ROUND(IF($C21="Automático",AG21+AN21,$Z21*IF(ISERROR(QCI!$AB21/QCI!$O21),0,QCI!$AB21/QCI!$O21)),2)</f>
        <v>0</v>
      </c>
      <c r="V21" s="448">
        <f ca="1">IF(AND($L21&gt;0,$J21&lt;&gt;0,$J21&lt;&gt;"",COUNTIF($J$13:$J21,$J21)=1),OFFSET(V21,-1,0)+1,OFFSET(V21,-1,0))</f>
        <v>1</v>
      </c>
      <c r="X21" s="512"/>
      <c r="Y21" s="286"/>
      <c r="Z21" s="287"/>
      <c r="AC21" s="182" t="e" cm="1">
        <f t="array" aca="1" ref="AC21" ca="1">IF(ACOMPANHAMENTO&lt;&gt;"PLE",0,SUMPRODUCT((OFFSET(CÁLCULO!$BV$15:$CN$15,$A21,0,$B21)&lt;=(PLE.Medicao-1))*OFFSET(CÁLCULO!$AJ$15:$BB$15,$A21,0,$B21)*OFFSET(ORÇAMENTO!$AA$15,$A21,0,$B21)/(OFFSET(ORÇAMENTO!$X$15,$A21,0,$B21)+10^-12))+IF(AUTOEVENTO="Manual",SUMPRODUCT((OFFSET(CÁLCULO!$M$15,$A21,0,$B21)=1)*OFFSET(ORÇAMENTO!$AA$15,$A21,0,$B21)*(PLE!$AE$9-PLE!$Y$9)),0))</f>
        <v>#N/A</v>
      </c>
      <c r="AD21" s="182" t="e" cm="1">
        <f t="array" aca="1" ref="AD21" ca="1">IF(ACOMPANHAMENTO&lt;&gt;"PLE",0,SUMPRODUCT((OFFSET(CÁLCULO!$BV$15:$CN$15,$A21,0,$B21)&lt;=(PLE.Medicao-1))*OFFSET(CÁLCULO!$AJ$15:$BB$15,$A21,0,$B21)*OFFSET(ORÇAMENTO!$AB$15,$A21,0,$B21)/(OFFSET(ORÇAMENTO!$X$15,$A21,0,$B21)+10^-12))+IF(AUTOEVENTO="Manual",SUMPRODUCT((OFFSET(CÁLCULO!$M$15,$A21,0,$B21)=1)*OFFSET(ORÇAMENTO!$AB$15,$A21,0,$B21)*(PLE!$AE$9-PLE!$Y$9)),0))</f>
        <v>#N/A</v>
      </c>
      <c r="AE21" s="182" t="e">
        <f ca="1">ROUND(
            IF(ACOMPANHAMENTO&lt;&gt;"PLE",0,
                      SUMIF(OFFSET(CÁLCULO!$BV$15:$CN$15,$A21,0,$B21),"&lt;="&amp;(PLE.Medicao-1),OFFSET(CÁLCULO!$AJ$15:$BB$15,$A21,0,$B21))
                      +IF(AdmLocal="Automática",
                              SUMIF(OFFSET(CÁLCULO!$M$15,$A21,0,$B21),1,OFFSET(ORÇAMENTO!$X$15,$A21,0,$B21))*(PLE!$AE$9-PLE!$Y$9),
                              0)),
            2)</f>
        <v>#N/A</v>
      </c>
      <c r="AF21" s="182" t="e" cm="1">
        <f t="array" aca="1" ref="AF21" ca="1">IF(ACOMPANHAMENTO&lt;&gt;"PLE",0,SUMPRODUCT((OFFSET(CÁLCULO!$BV$15:$CN$15,$A21,0,$B21)&lt;=PLE.Medicao)*OFFSET(CÁLCULO!$AJ$15:$BB$15,$A21,0,$B21)*OFFSET(ORÇAMENTO!$AA$15,$A21,0,$B21)/(OFFSET(ORÇAMENTO!$X$15,$A21,0,$B21)+10^-12))+IF(AUTOEVENTO="Manual",SUMPRODUCT((OFFSET(CÁLCULO!$M$15,$A21,0,$B21)=1)*OFFSET(ORÇAMENTO!$AA$15,$A21,0,$B21)*PLE!$AE$9),0))</f>
        <v>#N/A</v>
      </c>
      <c r="AG21" s="182" t="e" cm="1">
        <f t="array" aca="1" ref="AG21" ca="1">IF(ACOMPANHAMENTO&lt;&gt;"PLE",0,SUMPRODUCT((OFFSET(CÁLCULO!$BV$15:$CN$15,$A21,0,$B21)&lt;=PLE.Medicao)*OFFSET(CÁLCULO!$AJ$15:$BB$15,$A21,0,$B21)*OFFSET(ORÇAMENTO!$AB$15,$A21,0,$B21)/(OFFSET(ORÇAMENTO!$X$15,$A21,0,$B21)+10^-12))+IF(AUTOEVENTO="Manual",SUMPRODUCT((OFFSET(CÁLCULO!$M$15,$A21,0,$B21)=1)*OFFSET(ORÇAMENTO!$AB$15,$A21,0,$B21)*PLE!$AE$9),0))</f>
        <v>#N/A</v>
      </c>
      <c r="AH21" s="182" t="e">
        <f ca="1">ROUND(IF(ACOMPANHAMENTO&lt;&gt;"PLE",0,SUMIF(OFFSET(CÁLCULO!$BV$15:$CN$15,$A21,0,$B21),"&lt;="&amp;PLE.Medicao,OFFSET(CÁLCULO!$AJ$15:$BB$15,$A21,0,$B21))+IF(AdmLocal="Automática",SUMIF(OFFSET(CÁLCULO!$M$15,$A21,0,$B21),1,OFFSET(ORÇAMENTO!$X$15,$A21,0,$B21))*PLE!$AE$9,0)),2)</f>
        <v>#N/A</v>
      </c>
      <c r="AJ21" s="182" cm="1">
        <f t="array" aca="1" ref="AJ21" ca="1">IF(ACOMPANHAMENTO&lt;&gt;"BM",0,SUMPRODUCT(OFFSET(BM!$M$15,$A21,0,$B21)*(OFFSET(BM!$A$15,$A21,0,$B21)="S")*OFFSET(ORÇAMENTO!AA$15,$A21,0,$B21)/(OFFSET(ORÇAMENTO!$X$15,$A21,0,$B21)+10^-12)))</f>
        <v>0</v>
      </c>
      <c r="AK21" s="182" cm="1">
        <f t="array" aca="1" ref="AK21" ca="1">IF(ACOMPANHAMENTO&lt;&gt;"BM",0,SUMPRODUCT(OFFSET(BM!$M$15,$A21,0,$B21)*(OFFSET(BM!$A$15,$A21,0,$B21)="S")*OFFSET(ORÇAMENTO!AB$15,$A21,0,$B21)/(OFFSET(ORÇAMENTO!$X$15,$A21,0,$B21)+10^-12)))</f>
        <v>0</v>
      </c>
      <c r="AL21" s="182">
        <f ca="1">IF(ACOMPANHAMENTO&lt;&gt;"BM",0,OFFSET(BM!$M$15,$A21,0))</f>
        <v>0</v>
      </c>
      <c r="AM21" s="182" cm="1">
        <f t="array" aca="1" ref="AM21" ca="1">IF(ACOMPANHAMENTO&lt;&gt;"BM",0,SUMPRODUCT(OFFSET(BM!$O$15,$A21,0,$B21)*(OFFSET(BM!$A$15,$A21,0,$B21)="S")*OFFSET(ORÇAMENTO!AA$15,$A21,0,$B21)/(OFFSET(ORÇAMENTO!$X$15,$A21,0,$B21)+10^-12)))</f>
        <v>0</v>
      </c>
      <c r="AN21" s="182" cm="1">
        <f t="array" aca="1" ref="AN21" ca="1">IF(ACOMPANHAMENTO&lt;&gt;"BM",0,SUMPRODUCT(OFFSET(BM!$O$15,$A21,0,$B21)*(OFFSET(BM!$A$15,$A21,0,$B21)="S")*OFFSET(ORÇAMENTO!AB$15,$A21,0,$B21)/(OFFSET(ORÇAMENTO!$X$15,$A21,0,$B21)+10^-12)))</f>
        <v>0</v>
      </c>
      <c r="AO21" s="182">
        <f ca="1">IF(ACOMPANHAMENTO&lt;&gt;"BM",0,OFFSET(BM!$O$15,$A21,0))</f>
        <v>0</v>
      </c>
    </row>
    <row r="22" spans="1:41" ht="30" customHeight="1" x14ac:dyDescent="0.2">
      <c r="A22" t="e">
        <f ca="1">MATCH(E22,ORÇAMENTO!$E$15:$E$35,0)-1</f>
        <v>#N/A</v>
      </c>
      <c r="B22" t="e">
        <f ca="1">IF(ISERROR($A22),NA(),OFFSET(ORÇAMENTO!$D$15,$A22,0))</f>
        <v>#N/A</v>
      </c>
      <c r="C22" t="str">
        <f ca="1">QCI!B22</f>
        <v>Branco</v>
      </c>
      <c r="D22" t="str">
        <f t="shared" ca="1" si="0"/>
        <v/>
      </c>
      <c r="E22" s="280">
        <f>QCI!D22</f>
        <v>9</v>
      </c>
      <c r="F22" s="361" t="str">
        <f ca="1">QCI!G22</f>
        <v/>
      </c>
      <c r="G22" s="362">
        <f>QCI!H22</f>
        <v>0</v>
      </c>
      <c r="H22" s="281">
        <f>QCI!I22</f>
        <v>0</v>
      </c>
      <c r="I22" s="281" t="str">
        <f ca="1">QCI!J22</f>
        <v/>
      </c>
      <c r="J22" s="363" t="str">
        <f ca="1">QCI!K22</f>
        <v/>
      </c>
      <c r="K22" s="364" t="str" cm="1">
        <f t="array" aca="1" ref="K22" ca="1">IF($C22="Automático",IF(ACOMPANHAMENTO="BM",BM.medicao,PLE.Medicao),IF(ISBLANK($X22),"",$X22))</f>
        <v/>
      </c>
      <c r="L22" s="285">
        <f ca="1">QCI!$O22</f>
        <v>0</v>
      </c>
      <c r="M22" s="282">
        <f t="shared" ca="1" si="1"/>
        <v>0</v>
      </c>
      <c r="N22" s="283">
        <f t="shared" ca="1" si="2"/>
        <v>0</v>
      </c>
      <c r="O22" s="284">
        <f t="shared" ca="1" si="3"/>
        <v>0</v>
      </c>
      <c r="P22" s="366">
        <f t="shared" ca="1" si="4"/>
        <v>0</v>
      </c>
      <c r="R22" s="365">
        <f ca="1">ROUND(IF($C22="Automático",AC22+AJ22,$Y22*IF(ISERROR(QCI!$AA22/QCI!$O22),0,QCI!$AA22/QCI!$O22)),2)</f>
        <v>0</v>
      </c>
      <c r="S22" s="365">
        <f ca="1">ROUND(IF($C22="Automático",AD22+AK22,$Y22*IF(ISERROR(QCI!$AB22/QCI!$O22),0,QCI!$AB22/QCI!$O22)),2)</f>
        <v>0</v>
      </c>
      <c r="T22" s="365">
        <f ca="1">ROUND(IF($C22="Automático",AF22+AM22,$Z22*IF(ISERROR(QCI!$AA22/QCI!$O22),0,QCI!$AA22/QCI!$O22)),2)</f>
        <v>0</v>
      </c>
      <c r="U22" s="365">
        <f ca="1">ROUND(IF($C22="Automático",AG22+AN22,$Z22*IF(ISERROR(QCI!$AB22/QCI!$O22),0,QCI!$AB22/QCI!$O22)),2)</f>
        <v>0</v>
      </c>
      <c r="V22" s="448">
        <f ca="1">IF(AND($L22&gt;0,$J22&lt;&gt;0,$J22&lt;&gt;"",COUNTIF($J$13:$J22,$J22)=1),OFFSET(V22,-1,0)+1,OFFSET(V22,-1,0))</f>
        <v>1</v>
      </c>
      <c r="X22" s="512"/>
      <c r="Y22" s="286"/>
      <c r="Z22" s="287"/>
      <c r="AC22" s="182" t="e" cm="1">
        <f t="array" aca="1" ref="AC22" ca="1">IF(ACOMPANHAMENTO&lt;&gt;"PLE",0,SUMPRODUCT((OFFSET(CÁLCULO!$BV$15:$CN$15,$A22,0,$B22)&lt;=(PLE.Medicao-1))*OFFSET(CÁLCULO!$AJ$15:$BB$15,$A22,0,$B22)*OFFSET(ORÇAMENTO!$AA$15,$A22,0,$B22)/(OFFSET(ORÇAMENTO!$X$15,$A22,0,$B22)+10^-12))+IF(AUTOEVENTO="Manual",SUMPRODUCT((OFFSET(CÁLCULO!$M$15,$A22,0,$B22)=1)*OFFSET(ORÇAMENTO!$AA$15,$A22,0,$B22)*(PLE!$AE$9-PLE!$Y$9)),0))</f>
        <v>#N/A</v>
      </c>
      <c r="AD22" s="182" t="e" cm="1">
        <f t="array" aca="1" ref="AD22" ca="1">IF(ACOMPANHAMENTO&lt;&gt;"PLE",0,SUMPRODUCT((OFFSET(CÁLCULO!$BV$15:$CN$15,$A22,0,$B22)&lt;=(PLE.Medicao-1))*OFFSET(CÁLCULO!$AJ$15:$BB$15,$A22,0,$B22)*OFFSET(ORÇAMENTO!$AB$15,$A22,0,$B22)/(OFFSET(ORÇAMENTO!$X$15,$A22,0,$B22)+10^-12))+IF(AUTOEVENTO="Manual",SUMPRODUCT((OFFSET(CÁLCULO!$M$15,$A22,0,$B22)=1)*OFFSET(ORÇAMENTO!$AB$15,$A22,0,$B22)*(PLE!$AE$9-PLE!$Y$9)),0))</f>
        <v>#N/A</v>
      </c>
      <c r="AE22" s="182" t="e">
        <f ca="1">ROUND(
            IF(ACOMPANHAMENTO&lt;&gt;"PLE",0,
                      SUMIF(OFFSET(CÁLCULO!$BV$15:$CN$15,$A22,0,$B22),"&lt;="&amp;(PLE.Medicao-1),OFFSET(CÁLCULO!$AJ$15:$BB$15,$A22,0,$B22))
                      +IF(AdmLocal="Automática",
                              SUMIF(OFFSET(CÁLCULO!$M$15,$A22,0,$B22),1,OFFSET(ORÇAMENTO!$X$15,$A22,0,$B22))*(PLE!$AE$9-PLE!$Y$9),
                              0)),
            2)</f>
        <v>#N/A</v>
      </c>
      <c r="AF22" s="182" t="e" cm="1">
        <f t="array" aca="1" ref="AF22" ca="1">IF(ACOMPANHAMENTO&lt;&gt;"PLE",0,SUMPRODUCT((OFFSET(CÁLCULO!$BV$15:$CN$15,$A22,0,$B22)&lt;=PLE.Medicao)*OFFSET(CÁLCULO!$AJ$15:$BB$15,$A22,0,$B22)*OFFSET(ORÇAMENTO!$AA$15,$A22,0,$B22)/(OFFSET(ORÇAMENTO!$X$15,$A22,0,$B22)+10^-12))+IF(AUTOEVENTO="Manual",SUMPRODUCT((OFFSET(CÁLCULO!$M$15,$A22,0,$B22)=1)*OFFSET(ORÇAMENTO!$AA$15,$A22,0,$B22)*PLE!$AE$9),0))</f>
        <v>#N/A</v>
      </c>
      <c r="AG22" s="182" t="e" cm="1">
        <f t="array" aca="1" ref="AG22" ca="1">IF(ACOMPANHAMENTO&lt;&gt;"PLE",0,SUMPRODUCT((OFFSET(CÁLCULO!$BV$15:$CN$15,$A22,0,$B22)&lt;=PLE.Medicao)*OFFSET(CÁLCULO!$AJ$15:$BB$15,$A22,0,$B22)*OFFSET(ORÇAMENTO!$AB$15,$A22,0,$B22)/(OFFSET(ORÇAMENTO!$X$15,$A22,0,$B22)+10^-12))+IF(AUTOEVENTO="Manual",SUMPRODUCT((OFFSET(CÁLCULO!$M$15,$A22,0,$B22)=1)*OFFSET(ORÇAMENTO!$AB$15,$A22,0,$B22)*PLE!$AE$9),0))</f>
        <v>#N/A</v>
      </c>
      <c r="AH22" s="182" t="e">
        <f ca="1">ROUND(IF(ACOMPANHAMENTO&lt;&gt;"PLE",0,SUMIF(OFFSET(CÁLCULO!$BV$15:$CN$15,$A22,0,$B22),"&lt;="&amp;PLE.Medicao,OFFSET(CÁLCULO!$AJ$15:$BB$15,$A22,0,$B22))+IF(AdmLocal="Automática",SUMIF(OFFSET(CÁLCULO!$M$15,$A22,0,$B22),1,OFFSET(ORÇAMENTO!$X$15,$A22,0,$B22))*PLE!$AE$9,0)),2)</f>
        <v>#N/A</v>
      </c>
      <c r="AJ22" s="182" cm="1">
        <f t="array" aca="1" ref="AJ22" ca="1">IF(ACOMPANHAMENTO&lt;&gt;"BM",0,SUMPRODUCT(OFFSET(BM!$M$15,$A22,0,$B22)*(OFFSET(BM!$A$15,$A22,0,$B22)="S")*OFFSET(ORÇAMENTO!AA$15,$A22,0,$B22)/(OFFSET(ORÇAMENTO!$X$15,$A22,0,$B22)+10^-12)))</f>
        <v>0</v>
      </c>
      <c r="AK22" s="182" cm="1">
        <f t="array" aca="1" ref="AK22" ca="1">IF(ACOMPANHAMENTO&lt;&gt;"BM",0,SUMPRODUCT(OFFSET(BM!$M$15,$A22,0,$B22)*(OFFSET(BM!$A$15,$A22,0,$B22)="S")*OFFSET(ORÇAMENTO!AB$15,$A22,0,$B22)/(OFFSET(ORÇAMENTO!$X$15,$A22,0,$B22)+10^-12)))</f>
        <v>0</v>
      </c>
      <c r="AL22" s="182">
        <f ca="1">IF(ACOMPANHAMENTO&lt;&gt;"BM",0,OFFSET(BM!$M$15,$A22,0))</f>
        <v>0</v>
      </c>
      <c r="AM22" s="182" cm="1">
        <f t="array" aca="1" ref="AM22" ca="1">IF(ACOMPANHAMENTO&lt;&gt;"BM",0,SUMPRODUCT(OFFSET(BM!$O$15,$A22,0,$B22)*(OFFSET(BM!$A$15,$A22,0,$B22)="S")*OFFSET(ORÇAMENTO!AA$15,$A22,0,$B22)/(OFFSET(ORÇAMENTO!$X$15,$A22,0,$B22)+10^-12)))</f>
        <v>0</v>
      </c>
      <c r="AN22" s="182" cm="1">
        <f t="array" aca="1" ref="AN22" ca="1">IF(ACOMPANHAMENTO&lt;&gt;"BM",0,SUMPRODUCT(OFFSET(BM!$O$15,$A22,0,$B22)*(OFFSET(BM!$A$15,$A22,0,$B22)="S")*OFFSET(ORÇAMENTO!AB$15,$A22,0,$B22)/(OFFSET(ORÇAMENTO!$X$15,$A22,0,$B22)+10^-12)))</f>
        <v>0</v>
      </c>
      <c r="AO22" s="182">
        <f ca="1">IF(ACOMPANHAMENTO&lt;&gt;"BM",0,OFFSET(BM!$O$15,$A22,0))</f>
        <v>0</v>
      </c>
    </row>
    <row r="23" spans="1:41" ht="30" customHeight="1" x14ac:dyDescent="0.2">
      <c r="A23" t="e">
        <f ca="1">MATCH(E23,ORÇAMENTO!$E$15:$E$35,0)-1</f>
        <v>#N/A</v>
      </c>
      <c r="B23" t="e">
        <f ca="1">IF(ISERROR($A23),NA(),OFFSET(ORÇAMENTO!$D$15,$A23,0))</f>
        <v>#N/A</v>
      </c>
      <c r="C23" t="str">
        <f ca="1">QCI!B23</f>
        <v>Branco</v>
      </c>
      <c r="D23" t="str">
        <f ca="1">IF(L23&gt;0,"F","")</f>
        <v/>
      </c>
      <c r="E23" s="280">
        <f>QCI!D23</f>
        <v>10</v>
      </c>
      <c r="F23" s="361" t="str">
        <f ca="1">QCI!G23</f>
        <v/>
      </c>
      <c r="G23" s="362">
        <f>QCI!H23</f>
        <v>0</v>
      </c>
      <c r="H23" s="281">
        <f>QCI!I23</f>
        <v>0</v>
      </c>
      <c r="I23" s="281" t="str">
        <f ca="1">QCI!J23</f>
        <v/>
      </c>
      <c r="J23" s="363" t="str">
        <f ca="1">QCI!K23</f>
        <v/>
      </c>
      <c r="K23" s="364" t="str" cm="1">
        <f t="array" aca="1" ref="K23" ca="1">IF($C23="Automático",IF(ACOMPANHAMENTO="BM",BM.medicao,PLE.Medicao),IF(ISBLANK($X23),"",$X23))</f>
        <v/>
      </c>
      <c r="L23" s="285">
        <f ca="1">QCI!$O23</f>
        <v>0</v>
      </c>
      <c r="M23" s="282">
        <f ca="1">ROUND(IF(C23="Automático",AE23+AL23,Y23),2)</f>
        <v>0</v>
      </c>
      <c r="N23" s="283">
        <f ca="1">O23-M23</f>
        <v>0</v>
      </c>
      <c r="O23" s="284">
        <f ca="1">ROUND(IF(C23="Automático",AH23+AO23,Z23),2)</f>
        <v>0</v>
      </c>
      <c r="P23" s="366">
        <f ca="1">O23/(L23+10^-12)</f>
        <v>0</v>
      </c>
      <c r="R23" s="365">
        <f ca="1">ROUND(IF($C23="Automático",AC23+AJ23,$Y23*IF(ISERROR(QCI!$AA23/QCI!$O23),0,QCI!$AA23/QCI!$O23)),2)</f>
        <v>0</v>
      </c>
      <c r="S23" s="365">
        <f ca="1">ROUND(IF($C23="Automático",AD23+AK23,$Y23*IF(ISERROR(QCI!$AB23/QCI!$O23),0,QCI!$AB23/QCI!$O23)),2)</f>
        <v>0</v>
      </c>
      <c r="T23" s="365">
        <f ca="1">ROUND(IF($C23="Automático",AF23+AM23,$Z23*IF(ISERROR(QCI!$AA23/QCI!$O23),0,QCI!$AA23/QCI!$O23)),2)</f>
        <v>0</v>
      </c>
      <c r="U23" s="365">
        <f ca="1">ROUND(IF($C23="Automático",AG23+AN23,$Z23*IF(ISERROR(QCI!$AB23/QCI!$O23),0,QCI!$AB23/QCI!$O23)),2)</f>
        <v>0</v>
      </c>
      <c r="V23" s="448">
        <f ca="1">IF(AND($L23&gt;0,$J23&lt;&gt;0,$J23&lt;&gt;"",COUNTIF($J$13:$J23,$J23)=1),OFFSET(V23,-1,0)+1,OFFSET(V23,-1,0))</f>
        <v>1</v>
      </c>
      <c r="X23" s="512"/>
      <c r="Y23" s="286"/>
      <c r="Z23" s="287"/>
      <c r="AC23" s="182" t="e" cm="1">
        <f t="array" aca="1" ref="AC23" ca="1">IF(ACOMPANHAMENTO&lt;&gt;"PLE",0,SUMPRODUCT((OFFSET(CÁLCULO!$BV$15:$CN$15,$A23,0,$B23)&lt;=(PLE.Medicao-1))*OFFSET(CÁLCULO!$AJ$15:$BB$15,$A23,0,$B23)*OFFSET(ORÇAMENTO!$AA$15,$A23,0,$B23)/(OFFSET(ORÇAMENTO!$X$15,$A23,0,$B23)+10^-12))+IF(AUTOEVENTO="Manual",SUMPRODUCT((OFFSET(CÁLCULO!$M$15,$A23,0,$B23)=1)*OFFSET(ORÇAMENTO!$AA$15,$A23,0,$B23)*(PLE!$AE$9-PLE!$Y$9)),0))</f>
        <v>#N/A</v>
      </c>
      <c r="AD23" s="182" t="e" cm="1">
        <f t="array" aca="1" ref="AD23" ca="1">IF(ACOMPANHAMENTO&lt;&gt;"PLE",0,SUMPRODUCT((OFFSET(CÁLCULO!$BV$15:$CN$15,$A23,0,$B23)&lt;=(PLE.Medicao-1))*OFFSET(CÁLCULO!$AJ$15:$BB$15,$A23,0,$B23)*OFFSET(ORÇAMENTO!$AB$15,$A23,0,$B23)/(OFFSET(ORÇAMENTO!$X$15,$A23,0,$B23)+10^-12))+IF(AUTOEVENTO="Manual",SUMPRODUCT((OFFSET(CÁLCULO!$M$15,$A23,0,$B23)=1)*OFFSET(ORÇAMENTO!$AB$15,$A23,0,$B23)*(PLE!$AE$9-PLE!$Y$9)),0))</f>
        <v>#N/A</v>
      </c>
      <c r="AE23" s="182" t="e">
        <f ca="1">ROUND(
            IF(ACOMPANHAMENTO&lt;&gt;"PLE",0,
                      SUMIF(OFFSET(CÁLCULO!$BV$15:$CN$15,$A23,0,$B23),"&lt;="&amp;(PLE.Medicao-1),OFFSET(CÁLCULO!$AJ$15:$BB$15,$A23,0,$B23))
                      +IF(AdmLocal="Automática",
                              SUMIF(OFFSET(CÁLCULO!$M$15,$A23,0,$B23),1,OFFSET(ORÇAMENTO!$X$15,$A23,0,$B23))*(PLE!$AE$9-PLE!$Y$9),
                              0)),
            2)</f>
        <v>#N/A</v>
      </c>
      <c r="AF23" s="182" t="e" cm="1">
        <f t="array" aca="1" ref="AF23" ca="1">IF(ACOMPANHAMENTO&lt;&gt;"PLE",0,SUMPRODUCT((OFFSET(CÁLCULO!$BV$15:$CN$15,$A23,0,$B23)&lt;=PLE.Medicao)*OFFSET(CÁLCULO!$AJ$15:$BB$15,$A23,0,$B23)*OFFSET(ORÇAMENTO!$AA$15,$A23,0,$B23)/(OFFSET(ORÇAMENTO!$X$15,$A23,0,$B23)+10^-12))+IF(AUTOEVENTO="Manual",SUMPRODUCT((OFFSET(CÁLCULO!$M$15,$A23,0,$B23)=1)*OFFSET(ORÇAMENTO!$AA$15,$A23,0,$B23)*PLE!$AE$9),0))</f>
        <v>#N/A</v>
      </c>
      <c r="AG23" s="182" t="e" cm="1">
        <f t="array" aca="1" ref="AG23" ca="1">IF(ACOMPANHAMENTO&lt;&gt;"PLE",0,SUMPRODUCT((OFFSET(CÁLCULO!$BV$15:$CN$15,$A23,0,$B23)&lt;=PLE.Medicao)*OFFSET(CÁLCULO!$AJ$15:$BB$15,$A23,0,$B23)*OFFSET(ORÇAMENTO!$AB$15,$A23,0,$B23)/(OFFSET(ORÇAMENTO!$X$15,$A23,0,$B23)+10^-12))+IF(AUTOEVENTO="Manual",SUMPRODUCT((OFFSET(CÁLCULO!$M$15,$A23,0,$B23)=1)*OFFSET(ORÇAMENTO!$AB$15,$A23,0,$B23)*PLE!$AE$9),0))</f>
        <v>#N/A</v>
      </c>
      <c r="AH23" s="182" t="e">
        <f ca="1">ROUND(IF(ACOMPANHAMENTO&lt;&gt;"PLE",0,SUMIF(OFFSET(CÁLCULO!$BV$15:$CN$15,$A23,0,$B23),"&lt;="&amp;PLE.Medicao,OFFSET(CÁLCULO!$AJ$15:$BB$15,$A23,0,$B23))+IF(AdmLocal="Automática",SUMIF(OFFSET(CÁLCULO!$M$15,$A23,0,$B23),1,OFFSET(ORÇAMENTO!$X$15,$A23,0,$B23))*PLE!$AE$9,0)),2)</f>
        <v>#N/A</v>
      </c>
      <c r="AJ23" s="182" cm="1">
        <f t="array" aca="1" ref="AJ23" ca="1">IF(ACOMPANHAMENTO&lt;&gt;"BM",0,SUMPRODUCT(OFFSET(BM!$M$15,$A23,0,$B23)*(OFFSET(BM!$A$15,$A23,0,$B23)="S")*OFFSET(ORÇAMENTO!AA$15,$A23,0,$B23)/(OFFSET(ORÇAMENTO!$X$15,$A23,0,$B23)+10^-12)))</f>
        <v>0</v>
      </c>
      <c r="AK23" s="182" cm="1">
        <f t="array" aca="1" ref="AK23" ca="1">IF(ACOMPANHAMENTO&lt;&gt;"BM",0,SUMPRODUCT(OFFSET(BM!$M$15,$A23,0,$B23)*(OFFSET(BM!$A$15,$A23,0,$B23)="S")*OFFSET(ORÇAMENTO!AB$15,$A23,0,$B23)/(OFFSET(ORÇAMENTO!$X$15,$A23,0,$B23)+10^-12)))</f>
        <v>0</v>
      </c>
      <c r="AL23" s="182">
        <f ca="1">IF(ACOMPANHAMENTO&lt;&gt;"BM",0,OFFSET(BM!$M$15,$A23,0))</f>
        <v>0</v>
      </c>
      <c r="AM23" s="182" cm="1">
        <f t="array" aca="1" ref="AM23" ca="1">IF(ACOMPANHAMENTO&lt;&gt;"BM",0,SUMPRODUCT(OFFSET(BM!$O$15,$A23,0,$B23)*(OFFSET(BM!$A$15,$A23,0,$B23)="S")*OFFSET(ORÇAMENTO!AA$15,$A23,0,$B23)/(OFFSET(ORÇAMENTO!$X$15,$A23,0,$B23)+10^-12)))</f>
        <v>0</v>
      </c>
      <c r="AN23" s="182" cm="1">
        <f t="array" aca="1" ref="AN23" ca="1">IF(ACOMPANHAMENTO&lt;&gt;"BM",0,SUMPRODUCT(OFFSET(BM!$O$15,$A23,0,$B23)*(OFFSET(BM!$A$15,$A23,0,$B23)="S")*OFFSET(ORÇAMENTO!AB$15,$A23,0,$B23)/(OFFSET(ORÇAMENTO!$X$15,$A23,0,$B23)+10^-12)))</f>
        <v>0</v>
      </c>
      <c r="AO23" s="182">
        <f ca="1">IF(ACOMPANHAMENTO&lt;&gt;"BM",0,OFFSET(BM!$O$15,$A23,0))</f>
        <v>0</v>
      </c>
    </row>
    <row r="24" spans="1:41" ht="12.95" customHeight="1" x14ac:dyDescent="0.2">
      <c r="D24" t="s">
        <v>536</v>
      </c>
      <c r="E24" s="1"/>
      <c r="F24" s="1"/>
      <c r="G24" s="1"/>
      <c r="H24" s="1"/>
      <c r="I24" s="2"/>
      <c r="J24" s="826" t="s">
        <v>889</v>
      </c>
      <c r="K24" s="827"/>
      <c r="L24" s="368">
        <f ca="1">IF(ISERROR(L28/$L28),0,ROUND(L28/$L28,4))</f>
        <v>1</v>
      </c>
      <c r="M24" s="370">
        <f ca="1">IF(ISERROR(M28/$L28),0,ROUND(M28/$L28,4))</f>
        <v>0</v>
      </c>
      <c r="N24" s="369">
        <f ca="1">IF(ISERROR(N28/$L28),0,ROUND(N28/$L28,4))</f>
        <v>0</v>
      </c>
      <c r="O24" s="371">
        <f ca="1">IF(ISERROR(O28/$L28),0,ROUND(O28/$L28,4))</f>
        <v>0</v>
      </c>
      <c r="P24" s="828">
        <f ca="1">O28/(L28+10^-12)</f>
        <v>0</v>
      </c>
      <c r="X24" s="301"/>
      <c r="Y24" s="303"/>
      <c r="Z24" s="304"/>
    </row>
    <row r="25" spans="1:41" ht="12.95" customHeight="1" x14ac:dyDescent="0.2">
      <c r="D25" t="s">
        <v>536</v>
      </c>
      <c r="I25" s="4"/>
      <c r="J25" s="829" t="str">
        <f>IF(import.recurso="FGTS","Financiamento","Repasse")</f>
        <v>Repasse</v>
      </c>
      <c r="K25" s="830"/>
      <c r="L25" s="285">
        <f ca="1">QCI!L24</f>
        <v>2870210</v>
      </c>
      <c r="M25" s="282">
        <f ca="1">M28-M27-M26</f>
        <v>0</v>
      </c>
      <c r="N25" s="283">
        <f ca="1">O25-M25</f>
        <v>0</v>
      </c>
      <c r="O25" s="284">
        <f ca="1">O28-O27-O26</f>
        <v>0</v>
      </c>
      <c r="P25" s="828"/>
      <c r="X25" s="372"/>
      <c r="Y25" s="373" t="s">
        <v>890</v>
      </c>
      <c r="Z25" s="374" t="s">
        <v>891</v>
      </c>
      <c r="AC25" s="375" t="s">
        <v>892</v>
      </c>
      <c r="AD25" s="375" t="s">
        <v>893</v>
      </c>
    </row>
    <row r="26" spans="1:41" ht="12.95" customHeight="1" x14ac:dyDescent="0.2">
      <c r="D26" t="s">
        <v>536</v>
      </c>
      <c r="I26" s="4"/>
      <c r="J26" s="831" t="s">
        <v>894</v>
      </c>
      <c r="K26" s="832"/>
      <c r="L26" s="376">
        <f ca="1">QCI!M24</f>
        <v>221743.04</v>
      </c>
      <c r="M26" s="377">
        <f ca="1">ROUND(IF(OFFSET($X$26,0,1)&lt;&gt;"",OFFSET($X$26,0,1),SUM(R13:OFFSET(R24,-1,0))),2)</f>
        <v>0</v>
      </c>
      <c r="N26" s="378">
        <f ca="1">O26-M26</f>
        <v>0</v>
      </c>
      <c r="O26" s="379">
        <f ca="1">IF(OFFSET($X$26,0,2)&lt;&gt;"",OFFSET($X$26,0,2),$AE$3)</f>
        <v>0</v>
      </c>
      <c r="P26" s="828"/>
      <c r="X26" s="380" t="s">
        <v>456</v>
      </c>
      <c r="Y26" s="443"/>
      <c r="Z26" s="444"/>
      <c r="AC26" s="381">
        <f ca="1">MIN($L26,$O$28-OFFSET($X$27,0,1))</f>
        <v>0</v>
      </c>
      <c r="AD26" s="381">
        <f ca="1">MIN($L26,$O$28-OFFSET($X$27,0,2))</f>
        <v>0</v>
      </c>
    </row>
    <row r="27" spans="1:41" ht="12.95" customHeight="1" x14ac:dyDescent="0.2">
      <c r="D27" t="s">
        <v>536</v>
      </c>
      <c r="I27" s="4"/>
      <c r="J27" s="833" t="s">
        <v>871</v>
      </c>
      <c r="K27" s="834"/>
      <c r="L27" s="382">
        <f ca="1">QCI!N24</f>
        <v>0</v>
      </c>
      <c r="M27" s="383">
        <f ca="1">ROUND(IF(OFFSET($X$27,0,1)&lt;&gt;"",OFFSET($X$27,0,1),SUM(S13:OFFSET(S24,-1,0))),2)</f>
        <v>0</v>
      </c>
      <c r="N27" s="384">
        <f ca="1">O27-M27</f>
        <v>0</v>
      </c>
      <c r="O27" s="385">
        <f ca="1">IF(OFFSET($X$27,0,2)&lt;&gt;"",OFFSET($X$27,0,2),$AE$4)</f>
        <v>0</v>
      </c>
      <c r="P27" s="828"/>
      <c r="X27" s="386" t="s">
        <v>794</v>
      </c>
      <c r="Y27" s="445"/>
      <c r="Z27" s="446"/>
      <c r="AC27" s="381">
        <f ca="1">MIN($L27,$O$28-OFFSET($X$26,0,1))</f>
        <v>0</v>
      </c>
      <c r="AD27" s="381">
        <f ca="1">MIN($L27,$O$28-OFFSET($X$26,0,2))</f>
        <v>0</v>
      </c>
    </row>
    <row r="28" spans="1:41" ht="15" x14ac:dyDescent="0.2">
      <c r="D28" t="s">
        <v>536</v>
      </c>
      <c r="I28" s="4"/>
      <c r="J28" s="835" t="s">
        <v>873</v>
      </c>
      <c r="K28" s="836"/>
      <c r="L28" s="387">
        <f ca="1">SUM(L13:OFFSET(L24,-1,0))</f>
        <v>3091953.04</v>
      </c>
      <c r="M28" s="647">
        <f ca="1">ROUND(SUM(M13:OFFSET(M24,-1,0)),2)</f>
        <v>0</v>
      </c>
      <c r="N28" s="648">
        <f ca="1">O28-M28</f>
        <v>0</v>
      </c>
      <c r="O28" s="388">
        <f ca="1">SUM(O13:OFFSET(O24,-1,0))</f>
        <v>0</v>
      </c>
      <c r="P28" s="828"/>
      <c r="X28" s="313"/>
      <c r="Y28" s="315"/>
      <c r="Z28" s="316"/>
    </row>
    <row r="29" spans="1:41" x14ac:dyDescent="0.2">
      <c r="O29" s="837" t="str">
        <f ca="1">"Acumulado Anterior:  "&amp;TEXT($M$28/($L$28+10^-12),"0,00%")</f>
        <v>Acumulado Anterior:  0,00%</v>
      </c>
      <c r="P29" s="837"/>
    </row>
    <row r="30" spans="1:41" ht="14.25" x14ac:dyDescent="0.2">
      <c r="E30" s="134" t="s">
        <v>689</v>
      </c>
      <c r="P30" s="413"/>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89"/>
      <c r="Z32" s="389"/>
    </row>
    <row r="33" spans="5:16" ht="12.75" customHeight="1" x14ac:dyDescent="0.2">
      <c r="E33" s="823"/>
      <c r="F33" s="824"/>
      <c r="G33" s="824"/>
      <c r="H33" s="824"/>
      <c r="I33" s="824"/>
      <c r="J33" s="824"/>
      <c r="K33" s="824"/>
      <c r="L33" s="824"/>
      <c r="M33" s="824"/>
      <c r="N33" s="824"/>
      <c r="O33" s="824"/>
      <c r="P33" s="825"/>
    </row>
    <row r="34" spans="5:16" x14ac:dyDescent="0.2">
      <c r="L34" s="570" t="str">
        <f>IF(L35=0,"Preencher a data de fechamento do RRE na aba DADOS (célula "&amp;ADDRESS(ROW(Import.DataFechaRRE),COLUMN(Import.DataFechaRRE),4)&amp;")","")</f>
        <v>Preencher a data de fechamento do RRE na aba DADOS (célula C48)</v>
      </c>
    </row>
    <row r="35" spans="5:16" ht="15" x14ac:dyDescent="0.2">
      <c r="E35" s="692" t="str">
        <f>Import.Município</f>
        <v>Marialva-PR</v>
      </c>
      <c r="F35" s="692"/>
      <c r="G35" s="692"/>
      <c r="I35" s="390"/>
      <c r="K35" s="583"/>
      <c r="L35" s="771">
        <f>DADOS!$C$48</f>
        <v>0</v>
      </c>
      <c r="M35" s="771"/>
      <c r="N35" s="771"/>
      <c r="O35" s="771"/>
    </row>
    <row r="36" spans="5:16" x14ac:dyDescent="0.2">
      <c r="E36" s="9" t="s">
        <v>693</v>
      </c>
      <c r="L36" s="9" t="s">
        <v>694</v>
      </c>
    </row>
    <row r="38" spans="5:16" x14ac:dyDescent="0.2">
      <c r="E38" s="179"/>
      <c r="F38" s="179"/>
      <c r="G38" s="179"/>
      <c r="L38" s="179"/>
      <c r="M38" s="179"/>
      <c r="N38" s="179"/>
      <c r="O38" s="179"/>
    </row>
    <row r="39" spans="5:16" x14ac:dyDescent="0.2">
      <c r="E39" s="391" t="str">
        <f>IF(CAIXA.Modo,"Responsável Gerencial CAIXA","Representante Tomador")</f>
        <v>Representante Tomador</v>
      </c>
      <c r="F39" s="7"/>
      <c r="L39" s="391" t="str">
        <f>IF(CAIXA.Modo,"Responsável Técnico CAIXA","Responsável Técnico pela Fiscalização")</f>
        <v>Responsável Técnico pela Fiscalização</v>
      </c>
    </row>
    <row r="40" spans="5:16" x14ac:dyDescent="0.2">
      <c r="E40" s="76" t="s">
        <v>240</v>
      </c>
      <c r="F40" s="270" t="str">
        <f>IF(CAIXA.Modo,DADOS!C60,DADOS!C28)</f>
        <v>Flávia Cheroni Brita da Silva</v>
      </c>
      <c r="L40" s="76" t="s">
        <v>240</v>
      </c>
      <c r="M40" s="806">
        <f>IF(CAIXA.Modo,BM!X47,DADOS!C51)</f>
        <v>0</v>
      </c>
      <c r="N40" s="806"/>
      <c r="O40" s="806"/>
    </row>
    <row r="41" spans="5:16" x14ac:dyDescent="0.2">
      <c r="E41" s="76" t="str">
        <f>IF(CAIXA.Modo,"Função:","Cargo:")</f>
        <v>Cargo:</v>
      </c>
      <c r="F41" s="270" t="str">
        <f>IF(CAIXA.Modo,DADOS!C61,DADOS!C29)</f>
        <v>Prefeita</v>
      </c>
      <c r="L41" s="76" t="str">
        <f>IF(CAIXA.Modo,"Matrícula:","Profissão:")</f>
        <v>Profissão:</v>
      </c>
      <c r="M41" s="806">
        <f>IF(CAIXA.Modo,BM!X48,DADOS!C52)</f>
        <v>0</v>
      </c>
      <c r="N41" s="806"/>
      <c r="O41" s="806"/>
    </row>
    <row r="42" spans="5:16" x14ac:dyDescent="0.2">
      <c r="L42" s="76" t="s">
        <v>243</v>
      </c>
      <c r="M42" s="806">
        <f>IF(CAIXA.Modo,BM!X49,DADOS!C53)</f>
        <v>0</v>
      </c>
      <c r="N42" s="806"/>
      <c r="O42" s="806"/>
    </row>
    <row r="43" spans="5:16" x14ac:dyDescent="0.2">
      <c r="L43" s="76" t="str">
        <f>IF(CAIXA.Modo,"","ART/RRT:")</f>
        <v>ART/RRT:</v>
      </c>
      <c r="M43" s="12">
        <f>IF(CAIXA.Modo,"",DADOS!C54)</f>
        <v>0</v>
      </c>
    </row>
    <row r="45" spans="5:16" x14ac:dyDescent="0.2">
      <c r="E45" s="179"/>
      <c r="F45" s="179"/>
      <c r="G45" s="179"/>
      <c r="L45" s="179"/>
      <c r="M45" s="179"/>
      <c r="N45" s="179"/>
      <c r="O45" s="17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6" t="s">
        <v>240</v>
      </c>
      <c r="F47" s="805"/>
      <c r="G47" s="805"/>
      <c r="L47" s="76" t="s">
        <v>240</v>
      </c>
      <c r="M47" s="805"/>
      <c r="N47" s="805"/>
      <c r="O47" s="805"/>
    </row>
    <row r="48" spans="5:16" x14ac:dyDescent="0.2">
      <c r="E48" s="76" t="str">
        <f>IF(CAIXA.Modo,"Função:","Cargo:")</f>
        <v>Cargo:</v>
      </c>
      <c r="F48" s="805"/>
      <c r="G48" s="805"/>
      <c r="L48" s="76" t="str">
        <f>IF(CAIXA.Modo,"Função:","Cargo:")</f>
        <v>Cargo:</v>
      </c>
      <c r="M48" s="805"/>
      <c r="N48" s="805"/>
      <c r="O48" s="805"/>
    </row>
    <row r="49" spans="5:15" x14ac:dyDescent="0.2">
      <c r="E49" s="76" t="str">
        <f>IF(CAIXA.Modo,"Matr:","")</f>
        <v/>
      </c>
      <c r="F49" s="805"/>
      <c r="G49" s="805"/>
      <c r="L49" s="76" t="str">
        <f>IF(CAIXA.Modo,"Matrícula:","")</f>
        <v/>
      </c>
      <c r="M49" s="805"/>
      <c r="N49" s="805"/>
      <c r="O49" s="805"/>
    </row>
  </sheetData>
  <sheetProtection algorithmName="SHA-512" hashValue="1N27i2umCP4PEyjTw07GKZpUkWqDXUgB+y3onJK8Ac4J8w18t/F40XXkLyj39HSqQVK6u1y2bESJrdqU5z/CGQ==" saltValue="qTeutHOKRiNJgX6ZS3cBRA=="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F49:G49 M49:O49">
    <cfRule type="expression" dxfId="44" priority="483" stopIfTrue="1">
      <formula>CAIXA.Modo=FALSE</formula>
    </cfRule>
  </conditionalFormatting>
  <conditionalFormatting sqref="M12 O12 M25:M28 O25:O28">
    <cfRule type="cellIs" dxfId="43" priority="484" stopIfTrue="1" operator="notBetween">
      <formula>0</formula>
      <formula>$L12</formula>
    </cfRule>
  </conditionalFormatting>
  <conditionalFormatting sqref="M14:M23 O14:O23">
    <cfRule type="cellIs" dxfId="42" priority="2" stopIfTrue="1" operator="notBetween">
      <formula>0</formula>
      <formula>$L14</formula>
    </cfRule>
  </conditionalFormatting>
  <conditionalFormatting sqref="M10:N10">
    <cfRule type="cellIs" dxfId="41" priority="485" stopIfTrue="1" operator="lessThan">
      <formula>0</formula>
    </cfRule>
  </conditionalFormatting>
  <conditionalFormatting sqref="X12:Z12">
    <cfRule type="expression" dxfId="40" priority="482" stopIfTrue="1">
      <formula>OR($C12="Automático",$C12="Branco")</formula>
    </cfRule>
  </conditionalFormatting>
  <conditionalFormatting sqref="X14:Z23">
    <cfRule type="expression" dxfId="39" priority="1" stopIfTrue="1">
      <formula>OR($C14="Automático",$C14="Branco")</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8"/>
      <c r="E1" s="48"/>
      <c r="F1" s="48"/>
      <c r="G1" s="51" t="s">
        <v>644</v>
      </c>
    </row>
    <row r="2" spans="2:13" x14ac:dyDescent="0.2">
      <c r="B2" s="862"/>
      <c r="C2" s="862"/>
      <c r="D2" s="48"/>
      <c r="E2" s="48"/>
      <c r="F2" s="48"/>
      <c r="G2" s="11" t="s">
        <v>895</v>
      </c>
    </row>
    <row r="3" spans="2:13" ht="26.1" customHeight="1" x14ac:dyDescent="0.2">
      <c r="B3" s="862"/>
      <c r="C3" s="862"/>
      <c r="D3" s="48"/>
      <c r="E3" s="48"/>
      <c r="F3" s="48"/>
      <c r="G3" s="392"/>
    </row>
    <row r="4" spans="2:13" ht="12.75" customHeight="1" x14ac:dyDescent="0.2">
      <c r="B4" s="862"/>
      <c r="C4" s="862"/>
      <c r="D4" s="48"/>
      <c r="E4" s="48"/>
      <c r="F4" s="48"/>
      <c r="G4" s="48"/>
    </row>
    <row r="5" spans="2:13" x14ac:dyDescent="0.2">
      <c r="C5" s="570" t="str">
        <f>IF(Import.Ofício.Num=0,"Preencher o número do Ofício","")</f>
        <v>Preencher o número do Ofício</v>
      </c>
    </row>
    <row r="6" spans="2:13" x14ac:dyDescent="0.2">
      <c r="B6" s="393" t="s">
        <v>896</v>
      </c>
      <c r="C6" s="860"/>
      <c r="D6" s="860"/>
      <c r="E6" s="393"/>
      <c r="F6" s="393"/>
      <c r="G6" s="48"/>
      <c r="J6" s="9"/>
    </row>
    <row r="7" spans="2:13" x14ac:dyDescent="0.2">
      <c r="B7" s="48"/>
      <c r="C7" s="48"/>
      <c r="D7" s="48"/>
      <c r="E7" s="48"/>
      <c r="F7" s="48"/>
      <c r="G7" s="48"/>
    </row>
    <row r="8" spans="2:13" x14ac:dyDescent="0.2">
      <c r="B8" s="861" t="str">
        <f>CONCATENATE(RRE!$E$35,", ",TEXT(RRE!$L$35,"dd"" de ""mmmm"" de ""aaaa"))</f>
        <v>Marialva-PR, 00 de janeiro de 1900</v>
      </c>
      <c r="C8" s="861"/>
      <c r="D8" s="861"/>
      <c r="E8" s="861"/>
      <c r="F8" s="861"/>
      <c r="G8" s="861"/>
      <c r="H8" s="394"/>
      <c r="J8" s="394"/>
      <c r="K8" s="394"/>
      <c r="L8" s="394"/>
      <c r="M8" s="394"/>
    </row>
    <row r="9" spans="2:13" x14ac:dyDescent="0.2">
      <c r="B9" s="395" t="s">
        <v>897</v>
      </c>
      <c r="C9" s="48"/>
      <c r="D9" s="48"/>
      <c r="G9" s="48"/>
      <c r="H9" s="394"/>
      <c r="J9" s="394"/>
      <c r="K9" s="394"/>
      <c r="L9" s="394"/>
      <c r="M9" s="394"/>
    </row>
    <row r="10" spans="2:13" x14ac:dyDescent="0.2">
      <c r="B10" s="855" t="s">
        <v>898</v>
      </c>
      <c r="C10" s="855"/>
      <c r="D10" s="855"/>
      <c r="G10" s="48"/>
      <c r="H10" s="394"/>
      <c r="J10" s="394"/>
      <c r="K10" s="394"/>
      <c r="L10" s="394"/>
      <c r="M10" s="394"/>
    </row>
    <row r="11" spans="2:13" x14ac:dyDescent="0.2">
      <c r="B11" s="396" t="s">
        <v>899</v>
      </c>
      <c r="C11" s="805"/>
      <c r="D11" s="805"/>
      <c r="G11" s="48"/>
      <c r="H11" s="394"/>
      <c r="J11" s="394"/>
      <c r="K11" s="394"/>
      <c r="L11" s="394"/>
      <c r="M11" s="394"/>
    </row>
    <row r="12" spans="2:13" x14ac:dyDescent="0.2">
      <c r="B12" s="397"/>
      <c r="C12" s="397"/>
      <c r="D12" s="397"/>
      <c r="E12" s="397"/>
      <c r="F12" s="397"/>
      <c r="G12" s="48"/>
      <c r="H12" s="394"/>
      <c r="J12" s="394"/>
      <c r="K12" s="394"/>
      <c r="L12" s="394"/>
      <c r="M12" s="394"/>
    </row>
    <row r="13" spans="2:13" x14ac:dyDescent="0.2">
      <c r="B13" s="48"/>
      <c r="C13" s="48"/>
      <c r="D13" s="48"/>
      <c r="E13" s="48"/>
      <c r="F13" s="48"/>
      <c r="G13" s="48"/>
    </row>
    <row r="14" spans="2:13" x14ac:dyDescent="0.2">
      <c r="B14" s="395" t="s">
        <v>900</v>
      </c>
      <c r="C14" s="855" t="str" cm="1">
        <f t="array" aca="1" ref="C14" ca="1">CONCATENATE(RRE.Numero,"ª"," Solicitação de ",IF(import.recurso="OGU","Desbloqueio","Desembolso")," de Recursos.")</f>
        <v>1ª Solicitação de Desbloqueio de Recursos.</v>
      </c>
      <c r="D14" s="855"/>
      <c r="E14" s="855"/>
      <c r="F14" s="855"/>
      <c r="G14" s="855"/>
    </row>
    <row r="15" spans="2:13" ht="12.75" customHeight="1" x14ac:dyDescent="0.2">
      <c r="B15" s="395" t="s">
        <v>901</v>
      </c>
      <c r="C15" s="856" t="str">
        <f>CONCATENATE("Contrato de ",IF(import.recurso="OGU","Repasse","Financiamento")," - Operação nº ",Import.CR,IF(Import.TransfereGOV="","",CONCATENATE(" - TransfereGOV nº ",Import.TransfereGOV)))</f>
        <v>Contrato de Repasse - Operação nº 1091265-71 - TransfereGOV nº 060795/2023</v>
      </c>
      <c r="D15" s="856"/>
      <c r="E15" s="856"/>
      <c r="F15" s="856"/>
      <c r="G15" s="856"/>
    </row>
    <row r="16" spans="2:13" x14ac:dyDescent="0.2">
      <c r="B16" s="395"/>
      <c r="C16" s="856"/>
      <c r="D16" s="856"/>
      <c r="E16" s="856"/>
      <c r="F16" s="856"/>
      <c r="G16" s="856"/>
    </row>
    <row r="17" spans="2:7" x14ac:dyDescent="0.2">
      <c r="B17" s="48"/>
      <c r="C17" s="48"/>
      <c r="D17" s="48"/>
      <c r="E17" s="48"/>
      <c r="F17" s="48"/>
      <c r="G17" s="48"/>
    </row>
    <row r="18" spans="2:7" ht="12.75" customHeight="1" x14ac:dyDescent="0.2">
      <c r="B18" s="270" t="s">
        <v>902</v>
      </c>
      <c r="C18" s="857" t="str">
        <f>Import.DescLote</f>
        <v>RECAPEAMENTO ASFÁLTICO DE VIAS PÚBLICAS NO MÚNICIPIO DE MARIALVA/PR</v>
      </c>
      <c r="D18" s="857"/>
      <c r="E18" s="857"/>
      <c r="F18" s="857"/>
      <c r="G18" s="857"/>
    </row>
    <row r="19" spans="2:7" ht="12.75" customHeight="1" x14ac:dyDescent="0.2">
      <c r="B19" s="853" t="s">
        <v>903</v>
      </c>
      <c r="C19" s="854" t="str">
        <f>Import.Proponente</f>
        <v>PREFEITURA MUNICIPAL DE MARIALVA</v>
      </c>
      <c r="D19" s="854"/>
      <c r="E19" s="854"/>
      <c r="F19" s="854"/>
      <c r="G19" s="854"/>
    </row>
    <row r="20" spans="2:7" x14ac:dyDescent="0.2">
      <c r="B20" s="853"/>
      <c r="C20" s="854"/>
      <c r="D20" s="854"/>
      <c r="E20" s="854"/>
      <c r="F20" s="854"/>
      <c r="G20" s="854"/>
    </row>
    <row r="21" spans="2:7" x14ac:dyDescent="0.2">
      <c r="B21" s="48"/>
      <c r="C21" s="48"/>
      <c r="D21" s="48"/>
      <c r="E21" s="48"/>
      <c r="F21" s="48"/>
      <c r="G21" s="48"/>
    </row>
    <row r="22" spans="2:7" x14ac:dyDescent="0.2">
      <c r="B22" t="str">
        <f>IF(B11="GIGOV","Senhor Gerente","Senhor Superintendente")</f>
        <v>Senhor Gerente</v>
      </c>
      <c r="D22" s="48"/>
      <c r="E22" s="48"/>
      <c r="F22" s="48"/>
      <c r="G22" s="48"/>
    </row>
    <row r="23" spans="2:7" x14ac:dyDescent="0.2">
      <c r="B23" s="48"/>
      <c r="C23" s="48"/>
      <c r="D23" s="48"/>
      <c r="E23" s="48"/>
      <c r="F23" s="48"/>
      <c r="G23" s="48"/>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8"/>
      <c r="C27" s="48"/>
      <c r="D27" s="48"/>
      <c r="E27" s="48"/>
      <c r="F27" s="48"/>
      <c r="G27" s="48"/>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8">
        <f ca="1">RRE!L25</f>
        <v>2870210</v>
      </c>
      <c r="E30" s="398">
        <f ca="1">RRE!N25</f>
        <v>0</v>
      </c>
      <c r="F30" s="848">
        <f ca="1">RRE!O25</f>
        <v>0</v>
      </c>
      <c r="G30" s="848"/>
    </row>
    <row r="31" spans="2:7" x14ac:dyDescent="0.2">
      <c r="B31" s="847" t="s">
        <v>906</v>
      </c>
      <c r="C31" s="847"/>
      <c r="D31" s="398">
        <f ca="1">RRE!L26</f>
        <v>221743.04</v>
      </c>
      <c r="E31" s="398">
        <f ca="1">RRE!N26</f>
        <v>0</v>
      </c>
      <c r="F31" s="848">
        <f ca="1">RRE!O26</f>
        <v>0</v>
      </c>
      <c r="G31" s="848"/>
    </row>
    <row r="32" spans="2:7" x14ac:dyDescent="0.2">
      <c r="B32" s="847" t="s">
        <v>801</v>
      </c>
      <c r="C32" s="847"/>
      <c r="D32" s="398">
        <f ca="1">RRE!L27</f>
        <v>0</v>
      </c>
      <c r="E32" s="398">
        <f ca="1">RRE!N27</f>
        <v>0</v>
      </c>
      <c r="F32" s="848">
        <f ca="1">RRE!O27</f>
        <v>0</v>
      </c>
      <c r="G32" s="848"/>
    </row>
    <row r="33" spans="2:7" x14ac:dyDescent="0.2">
      <c r="B33" s="847" t="s">
        <v>802</v>
      </c>
      <c r="C33" s="847"/>
      <c r="D33" s="398">
        <f ca="1">RRE!L28</f>
        <v>3091953.04</v>
      </c>
      <c r="E33" s="398">
        <f ca="1">RRE!N28</f>
        <v>0</v>
      </c>
      <c r="F33" s="848">
        <f ca="1">RRE!O28</f>
        <v>0</v>
      </c>
      <c r="G33" s="848"/>
    </row>
    <row r="34" spans="2:7" x14ac:dyDescent="0.2">
      <c r="B34" s="849" t="s">
        <v>907</v>
      </c>
      <c r="C34" s="849"/>
      <c r="D34" s="399" t="s">
        <v>688</v>
      </c>
      <c r="E34" s="400">
        <f ca="1">RRE!$N$28/(RRE!$L$28+10^-12)</f>
        <v>0</v>
      </c>
      <c r="F34" s="850">
        <f ca="1">RRE!P24</f>
        <v>0</v>
      </c>
      <c r="G34" s="850"/>
    </row>
    <row r="35" spans="2:7" x14ac:dyDescent="0.2">
      <c r="B35" s="180"/>
      <c r="C35" s="48"/>
      <c r="D35" s="48"/>
      <c r="E35" s="48"/>
      <c r="F35" s="48"/>
      <c r="G35" s="48"/>
    </row>
    <row r="36" spans="2:7" x14ac:dyDescent="0.2">
      <c r="B36" s="180"/>
      <c r="C36" s="180"/>
      <c r="D36" s="180"/>
      <c r="E36" s="180"/>
      <c r="F36" s="180"/>
      <c r="G36" s="48"/>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1"/>
      <c r="C41" s="396"/>
      <c r="D41" s="396"/>
      <c r="E41" s="396"/>
      <c r="F41" s="396"/>
      <c r="G41" s="396"/>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6"/>
    </row>
    <row r="48" spans="2:7" x14ac:dyDescent="0.2">
      <c r="G48" s="276"/>
    </row>
    <row r="49" spans="2:7" x14ac:dyDescent="0.2">
      <c r="B49" s="48" t="s">
        <v>908</v>
      </c>
      <c r="G49" s="276"/>
    </row>
    <row r="50" spans="2:7" x14ac:dyDescent="0.2">
      <c r="B50" s="276"/>
      <c r="C50" s="276"/>
      <c r="D50" s="276"/>
      <c r="E50" s="276"/>
      <c r="F50" s="276"/>
      <c r="G50" s="276"/>
    </row>
    <row r="51" spans="2:7" x14ac:dyDescent="0.2">
      <c r="B51" s="48"/>
      <c r="C51" s="48"/>
      <c r="D51" s="48"/>
      <c r="E51" s="48"/>
      <c r="F51" s="48"/>
      <c r="G51" s="48"/>
    </row>
    <row r="52" spans="2:7" x14ac:dyDescent="0.2">
      <c r="B52" s="48"/>
      <c r="C52" s="48"/>
      <c r="D52" s="48"/>
      <c r="E52" s="48"/>
      <c r="F52" s="48"/>
      <c r="G52" s="48"/>
    </row>
    <row r="53" spans="2:7" x14ac:dyDescent="0.2">
      <c r="B53" s="402"/>
      <c r="C53" s="402"/>
      <c r="D53" s="402"/>
      <c r="E53" s="48"/>
      <c r="F53" s="48"/>
      <c r="G53" s="48"/>
    </row>
    <row r="54" spans="2:7" x14ac:dyDescent="0.2">
      <c r="B54" s="845" t="str">
        <f>DADOS!$C$28</f>
        <v>Flávia Cheroni Brita da Silva</v>
      </c>
      <c r="C54" s="845"/>
      <c r="D54" s="845"/>
      <c r="E54" s="845"/>
      <c r="F54" s="845"/>
      <c r="G54" s="845"/>
    </row>
    <row r="55" spans="2:7" x14ac:dyDescent="0.2">
      <c r="B55" s="845" t="str">
        <f>DADOS!$C$29</f>
        <v>Prefeita</v>
      </c>
      <c r="C55" s="845"/>
      <c r="D55" s="845"/>
      <c r="E55" s="845"/>
      <c r="F55" s="845"/>
      <c r="G55" s="845"/>
    </row>
    <row r="56" spans="2:7" x14ac:dyDescent="0.2">
      <c r="B56" s="846"/>
      <c r="C56" s="846"/>
      <c r="D56" s="846"/>
      <c r="E56" s="846"/>
      <c r="F56" s="846"/>
      <c r="G56" s="846"/>
    </row>
  </sheetData>
  <sheetProtection algorithmName="SHA-512" hashValue="r2R2zv6DG8hPS8uopmHPOVK+UYuQAmsHa1oAGdlrUMTEW+gjfLBCPEPDI89f7WcrkG/z2JmQDXjV8uJi01ndWw==" saltValue="SoI5ecPTmvYs1iVH5AQOj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703125" style="515" customWidth="1"/>
    <col min="20" max="16384" width="9.140625" style="515"/>
  </cols>
  <sheetData>
    <row r="1" spans="1:19"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25">
      <c r="A2" s="666"/>
      <c r="B2" s="667"/>
      <c r="C2" s="666"/>
      <c r="D2" s="666"/>
      <c r="E2" s="666"/>
      <c r="F2" s="668"/>
      <c r="G2" s="666"/>
      <c r="H2" s="669"/>
      <c r="I2" s="669"/>
      <c r="J2" s="670"/>
      <c r="K2" s="671"/>
      <c r="L2" s="672"/>
      <c r="M2" s="666"/>
      <c r="N2" s="673"/>
      <c r="O2" s="666"/>
      <c r="P2" s="673"/>
      <c r="Q2" s="666"/>
      <c r="R2" s="674"/>
      <c r="S2" s="671"/>
    </row>
  </sheetData>
  <sheetProtection algorithmName="SHA-512" hashValue="DP/sE0qVYRuAiAaTZ2cjmUUQSZi0DQyflHWWMp+crwGJQFgPJngpm21Thb+vdiGThqwkWrBqRwj3eopAS/r68A==" saltValue="bcb0Fvnku4kGYtmZvdgPPQ==" spinCount="100000" sheet="1" objects="1" scenarios="1"/>
  <conditionalFormatting sqref="A2">
    <cfRule type="expression" dxfId="37" priority="70">
      <formula>AND(A2&lt;&gt;"Macrosserviço",A2&lt;&gt;"Serviço",A2&lt;&gt;"")</formula>
    </cfRule>
  </conditionalFormatting>
  <conditionalFormatting sqref="A2:S2">
    <cfRule type="expression" dxfId="36" priority="77">
      <formula>$A2="Macrosserviço"</formula>
    </cfRule>
  </conditionalFormatting>
  <conditionalFormatting sqref="C2">
    <cfRule type="expression" dxfId="35" priority="69">
      <formula>IF($A2="Serviço",AND(C2&lt;&gt;"Composição",C2&lt;&gt;"Cotação",C2&lt;&gt;"SINAPI",C2&lt;&gt;"Outros"),C2&lt;&gt;"")</formula>
    </cfRule>
  </conditionalFormatting>
  <conditionalFormatting sqref="D2">
    <cfRule type="expression" dxfId="34" priority="68">
      <formula>IF($A2="Serviço",OR(D2="",LEN($D2)&gt;13),D2&lt;&gt;"")</formula>
    </cfRule>
  </conditionalFormatting>
  <conditionalFormatting sqref="E2">
    <cfRule type="expression" dxfId="33" priority="83">
      <formula>IF($A2="Macrosserviço",LEN($E2)&gt;100,LEN($E2)&gt;500)</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M2">
    <cfRule type="expression" dxfId="28" priority="78">
      <formula>IF($A2="Serviço",LEN(M2)&gt;500,M2&lt;&gt;"")</formula>
    </cfRule>
  </conditionalFormatting>
  <conditionalFormatting sqref="N2">
    <cfRule type="expression" dxfId="27" priority="64">
      <formula>IF($A2="Serviço",OR(NOT(ISNUMBER(N2)),N2&lt;&gt;ROUND(N2,0),N2&lt;1,N2&gt;999),N2&lt;&gt;"")</formula>
    </cfRule>
  </conditionalFormatting>
  <conditionalFormatting sqref="O2">
    <cfRule type="expression" dxfId="26" priority="63">
      <formula>IF($A2="Serviço",OR(O2="",LEN(O2)&gt;100),O2&lt;&gt;"")</formula>
    </cfRule>
  </conditionalFormatting>
  <conditionalFormatting sqref="P2">
    <cfRule type="expression" dxfId="25" priority="62">
      <formula>IF($A2="Macrosserviço",P2&lt;&gt;"",OR(NOT(ISNUMBER(P2)),P2&lt;&gt;ROUND(P2,0),P2&lt;1,P2&gt;999))</formula>
    </cfRule>
  </conditionalFormatting>
  <conditionalFormatting sqref="Q2">
    <cfRule type="expression" dxfId="24" priority="61">
      <formula>IF($A2="Macrosserviço",Q2&lt;&gt;"",OR(Q2="",LEN(Q2)&gt;100))</formula>
    </cfRule>
  </conditionalFormatting>
  <conditionalFormatting sqref="R2">
    <cfRule type="expression" dxfId="23"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5" customWidth="1"/>
    <col min="2" max="2" width="50" style="515" customWidth="1"/>
    <col min="3" max="3" width="20" style="515" customWidth="1"/>
    <col min="4" max="4" width="50" style="515" customWidth="1"/>
    <col min="5" max="5" width="35" style="515" customWidth="1"/>
    <col min="6" max="16384" width="9.140625" style="515"/>
  </cols>
  <sheetData>
    <row r="1" spans="1:5" x14ac:dyDescent="0.25">
      <c r="A1" s="514" t="s">
        <v>925</v>
      </c>
      <c r="B1" s="514" t="s">
        <v>761</v>
      </c>
      <c r="C1" s="514" t="s">
        <v>926</v>
      </c>
      <c r="D1" s="514" t="s">
        <v>922</v>
      </c>
      <c r="E1" s="514" t="s">
        <v>927</v>
      </c>
    </row>
    <row r="2" spans="1:5" ht="45" customHeight="1" x14ac:dyDescent="0.25">
      <c r="A2" s="665"/>
      <c r="B2" s="665"/>
      <c r="C2" s="665"/>
      <c r="D2" s="665"/>
      <c r="E2" s="665"/>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703125" style="515" customWidth="1"/>
    <col min="18" max="16384" width="9.140625" style="515"/>
  </cols>
  <sheetData>
    <row r="1" spans="1:17"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25">
      <c r="A2" s="587"/>
      <c r="B2" s="588"/>
      <c r="C2" s="587"/>
      <c r="D2" s="587"/>
      <c r="E2" s="587"/>
      <c r="F2" s="589"/>
      <c r="G2" s="587"/>
      <c r="H2" s="590"/>
      <c r="I2" s="590"/>
      <c r="J2" s="591"/>
      <c r="K2" s="592"/>
      <c r="L2" s="592"/>
      <c r="M2" s="587"/>
      <c r="N2" s="593"/>
      <c r="O2" s="587"/>
      <c r="P2" s="594"/>
      <c r="Q2" s="592"/>
    </row>
  </sheetData>
  <sheetProtection algorithmName="SHA-512" hashValue="AmWKGkps/9+HNgfzJ5ilwBpYYVz3XDN45R/9Lcp3+uoVL14JMsyoF6yYd/XJo8x876lM+B+vHiE83e8MJiq/oQ==" saltValue="BcJzM4QXFqmqqe8g/+76SA==" spinCount="100000" sheet="1" objects="1" scenarios="1"/>
  <conditionalFormatting sqref="A2">
    <cfRule type="expression" dxfId="17" priority="37">
      <formula>AND(A2&lt;&gt;"Macrosserviço",A2&lt;&gt;"Serviço")</formula>
    </cfRule>
  </conditionalFormatting>
  <conditionalFormatting sqref="A2:Q2">
    <cfRule type="expression" dxfId="16" priority="38">
      <formula>$A2="Macrosserviço"</formula>
    </cfRule>
  </conditionalFormatting>
  <conditionalFormatting sqref="B2">
    <cfRule type="cellIs" dxfId="15" priority="31" operator="equal">
      <formula>""</formula>
    </cfRule>
  </conditionalFormatting>
  <conditionalFormatting sqref="C2">
    <cfRule type="expression" dxfId="14" priority="36">
      <formula>IF($A2="Serviço",AND(C2&lt;&gt;"Composição",C2&lt;&gt;"Cotação",C2&lt;&gt;"SINAPI",C2&lt;&gt;"Outros"),C2&lt;&gt;"")</formula>
    </cfRule>
  </conditionalFormatting>
  <conditionalFormatting sqref="D2">
    <cfRule type="expression" dxfId="13" priority="35">
      <formula>IF($A2="Serviço",OR(D2="",LEN($D2)&gt;13),D2&lt;&gt;"")</formula>
    </cfRule>
  </conditionalFormatting>
  <conditionalFormatting sqref="E2">
    <cfRule type="expression" dxfId="12" priority="40">
      <formula>OR(E2="",IF($A2="Macrosserviço",LEN($E2)&gt;100,LEN($E2)&gt;500))</formula>
    </cfRule>
  </conditionalFormatting>
  <conditionalFormatting sqref="H2">
    <cfRule type="expression" dxfId="10" priority="34">
      <formula>IF(A2="Serviço",OR(NOT(ISNUMBER(H2)),H2&lt;&gt;ROUND(H2,2),AND(C2&lt;&gt;"SINAPI",H2=0),H2&lt;0,H2&gt;9999999999.99),H2&lt;&gt;"")</formula>
    </cfRule>
  </conditionalFormatting>
  <conditionalFormatting sqref="I2">
    <cfRule type="expression" dxfId="9" priority="33">
      <formula>IF($A2="Serviço",OR(NOT(ISNUMBER(I2)),I2&lt;&gt;ROUND(I2,2),I2&lt;=0,I2&gt;9999999999.99,AND(I2&gt;H2,H2&gt;0)),I2&lt;&gt;"")</formula>
    </cfRule>
  </conditionalFormatting>
  <conditionalFormatting sqref="J2">
    <cfRule type="expression" dxfId="8" priority="32">
      <formula>IF($A2="Serviço",OR(NOT(ISNUMBER(VALUE(J2))),VALUE(J2)&lt;&gt;ROUND(VALUE(J2),4),VALUE(J2)&lt;=0,VALUE(J2)&gt;100%),J2&lt;&gt;"")</formula>
    </cfRule>
  </conditionalFormatting>
  <conditionalFormatting sqref="M2">
    <cfRule type="expression" dxfId="7" priority="39">
      <formula>IF($A2="Serviço",LEN(M2)&gt;500,M2&lt;&gt;"")</formula>
    </cfRule>
  </conditionalFormatting>
  <conditionalFormatting sqref="N2">
    <cfRule type="expression" dxfId="6" priority="29">
      <formula>IF($A2="Macrosserviço",N2&lt;&gt;"",OR(NOT(ISNUMBER(N2)),N2&lt;&gt;ROUND(N2,0),N2&lt;1,N2&gt;999))</formula>
    </cfRule>
  </conditionalFormatting>
  <conditionalFormatting sqref="O2">
    <cfRule type="expression" dxfId="5" priority="28">
      <formula>IF($A2="Macrosserviço",O2&lt;&gt;"",OR(O2="",LEN(O2)&gt;100))</formula>
    </cfRule>
  </conditionalFormatting>
  <conditionalFormatting sqref="P2">
    <cfRule type="expression" dxfId="4"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5" customWidth="1"/>
    <col min="2" max="2" width="70" style="515" customWidth="1"/>
    <col min="3" max="3" width="10" style="515" customWidth="1"/>
    <col min="4" max="4" width="20" style="515" customWidth="1"/>
    <col min="5" max="16384" width="9.140625" style="515"/>
  </cols>
  <sheetData>
    <row r="1" spans="1:4" x14ac:dyDescent="0.25">
      <c r="A1" s="514" t="s">
        <v>928</v>
      </c>
      <c r="B1" s="514" t="s">
        <v>929</v>
      </c>
      <c r="C1" s="514" t="s">
        <v>780</v>
      </c>
      <c r="D1" s="514" t="s">
        <v>930</v>
      </c>
    </row>
    <row r="2" spans="1:4" ht="45" customHeight="1" x14ac:dyDescent="0.25">
      <c r="A2" s="597"/>
      <c r="B2" s="597"/>
      <c r="C2" s="649"/>
      <c r="D2" s="595"/>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1">
      <formula>OR(NOT(ISNUMBER(D2)),D2&lt;&gt;ROUND(D2,2),D2&lt;=0,D2&gt;100)</formula>
    </cfRule>
    <cfRule type="expression" dxfId="0" priority="2">
      <formula>$A2="Macrosserviço"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marcos santos</cp:lastModifiedBy>
  <cp:revision>5</cp:revision>
  <cp:lastPrinted>2026-09-30T13:37:39Z</cp:lastPrinted>
  <dcterms:created xsi:type="dcterms:W3CDTF">1997-01-10T22:22:50Z</dcterms:created>
  <dcterms:modified xsi:type="dcterms:W3CDTF">2026-10-23T12:27:41Z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